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PETANQUE\HTM\tur_2020\"/>
    </mc:Choice>
  </mc:AlternateContent>
  <bookViews>
    <workbookView xWindow="0" yWindow="0" windowWidth="26880" windowHeight="11085" tabRatio="500" activeTab="5"/>
  </bookViews>
  <sheets>
    <sheet name="Instrukce" sheetId="1" r:id="rId1"/>
    <sheet name="Turnaje" sheetId="2" r:id="rId2"/>
    <sheet name="Kluby" sheetId="3" state="hidden" r:id="rId3"/>
    <sheet name="Hraci" sheetId="4" r:id="rId4"/>
    <sheet name="Internet" sheetId="5" r:id="rId5"/>
    <sheet name="Start.listina" sheetId="6" r:id="rId6"/>
    <sheet name="Kvalita turnaje" sheetId="7" state="hidden" r:id="rId7"/>
    <sheet name="Skupiny" sheetId="8" r:id="rId8"/>
    <sheet name="Zápis" sheetId="9" r:id="rId9"/>
    <sheet name="Tisk_skupin" sheetId="10" r:id="rId10"/>
    <sheet name="Sk.A" sheetId="11" r:id="rId11"/>
    <sheet name="Sk.B" sheetId="12" r:id="rId12"/>
    <sheet name="Sk.C" sheetId="13" r:id="rId13"/>
    <sheet name="Sk.D" sheetId="14" r:id="rId14"/>
    <sheet name="Sk.E" sheetId="15" r:id="rId15"/>
    <sheet name="Sk.F" sheetId="16" r:id="rId16"/>
    <sheet name="Sk.G" sheetId="17" r:id="rId17"/>
    <sheet name="Sk.H" sheetId="18" r:id="rId18"/>
    <sheet name="Sk.I" sheetId="19" r:id="rId19"/>
    <sheet name="Sk.J" sheetId="20" r:id="rId20"/>
    <sheet name="Sk.K" sheetId="21" r:id="rId21"/>
    <sheet name="Sk.L" sheetId="22" r:id="rId22"/>
    <sheet name="Sk.M" sheetId="23" r:id="rId23"/>
    <sheet name="Sk.N" sheetId="24" r:id="rId24"/>
    <sheet name="Sk.O" sheetId="25" r:id="rId25"/>
    <sheet name="Sk.P" sheetId="26" r:id="rId26"/>
    <sheet name="Sk.Q" sheetId="27" r:id="rId27"/>
    <sheet name="Sk.R" sheetId="28" r:id="rId28"/>
    <sheet name="Sk.S" sheetId="29" r:id="rId29"/>
    <sheet name="Sk.T" sheetId="30" r:id="rId30"/>
    <sheet name="Sk.U" sheetId="31" r:id="rId31"/>
    <sheet name="Sk.V" sheetId="32" r:id="rId32"/>
    <sheet name="Sk.W" sheetId="33" r:id="rId33"/>
    <sheet name="Sk.X" sheetId="34" r:id="rId34"/>
    <sheet name="Sk.Y" sheetId="35" r:id="rId35"/>
    <sheet name="Sk.Z" sheetId="36" r:id="rId36"/>
    <sheet name="Sk.AA" sheetId="37" r:id="rId37"/>
    <sheet name="Sk.AB" sheetId="38" r:id="rId38"/>
    <sheet name="Sk.AC" sheetId="39" r:id="rId39"/>
    <sheet name="Sk.AD" sheetId="40" r:id="rId40"/>
    <sheet name="Sk.AE" sheetId="41" r:id="rId41"/>
    <sheet name="Sk.AF" sheetId="42" r:id="rId42"/>
    <sheet name="Výsledky_skupin" sheetId="43" state="hidden" r:id="rId43"/>
    <sheet name="Postupy" sheetId="44" state="hidden" r:id="rId44"/>
    <sheet name="Hřiště" sheetId="45" state="hidden" r:id="rId45"/>
    <sheet name="KO64" sheetId="46" r:id="rId46"/>
    <sheet name="KO32" sheetId="47" r:id="rId47"/>
    <sheet name="KO16" sheetId="48" r:id="rId48"/>
    <sheet name="Dohrávka_9-16" sheetId="49" r:id="rId49"/>
    <sheet name="KO8" sheetId="50" r:id="rId50"/>
    <sheet name="Dohrávka_5-8" sheetId="51" r:id="rId51"/>
    <sheet name="KO4" sheetId="52" r:id="rId52"/>
    <sheet name="Konečné_pořadí_1_16" sheetId="53" state="hidden" r:id="rId53"/>
    <sheet name="Nasazení" sheetId="54" state="hidden" r:id="rId54"/>
    <sheet name="Rozpis" sheetId="55" state="hidden" r:id="rId55"/>
    <sheet name="RozpisKK" sheetId="56" state="hidden" r:id="rId56"/>
    <sheet name="Body" sheetId="57" state="hidden" r:id="rId57"/>
    <sheet name="Bonusy" sheetId="58" state="hidden" r:id="rId58"/>
    <sheet name="Paušál" sheetId="59" state="hidden" r:id="rId59"/>
    <sheet name="Počet kol" sheetId="60" state="hidden" r:id="rId60"/>
    <sheet name="Vysledky" sheetId="61" state="hidden" r:id="rId61"/>
  </sheets>
  <definedNames>
    <definedName name="_xlnm._FilterDatabase" localSheetId="7">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E1028" i="61" l="1"/>
  <c r="D1028" i="61"/>
  <c r="C1028" i="61"/>
  <c r="B1028" i="61"/>
  <c r="E1027" i="61"/>
  <c r="D1027" i="61"/>
  <c r="C1027" i="61"/>
  <c r="B1027" i="61"/>
  <c r="E1026" i="61"/>
  <c r="D1026" i="61"/>
  <c r="C1026" i="61"/>
  <c r="B1026" i="61"/>
  <c r="I1025" i="61"/>
  <c r="H1025" i="61"/>
  <c r="G1025" i="61"/>
  <c r="E1025" i="61"/>
  <c r="D1025" i="61"/>
  <c r="C1025" i="61"/>
  <c r="B1025" i="61"/>
  <c r="A1025" i="61"/>
  <c r="E1024" i="61"/>
  <c r="D1024" i="61"/>
  <c r="C1024" i="61"/>
  <c r="B1024" i="61"/>
  <c r="E1023" i="61"/>
  <c r="D1023" i="61"/>
  <c r="C1023" i="61"/>
  <c r="B1023" i="61"/>
  <c r="E1022" i="61"/>
  <c r="D1022" i="61"/>
  <c r="C1022" i="61"/>
  <c r="B1022" i="61"/>
  <c r="I1021" i="61"/>
  <c r="H1021" i="61"/>
  <c r="G1021" i="61"/>
  <c r="E1021" i="61"/>
  <c r="D1021" i="61"/>
  <c r="C1021" i="61"/>
  <c r="B1021" i="61"/>
  <c r="A1021" i="61"/>
  <c r="E1020" i="61"/>
  <c r="D1020" i="61"/>
  <c r="C1020" i="61"/>
  <c r="B1020" i="61"/>
  <c r="E1019" i="61"/>
  <c r="D1019" i="61"/>
  <c r="C1019" i="61"/>
  <c r="B1019" i="61"/>
  <c r="E1018" i="61"/>
  <c r="D1018" i="61"/>
  <c r="C1018" i="61"/>
  <c r="B1018" i="61"/>
  <c r="I1017" i="61"/>
  <c r="H1017" i="61"/>
  <c r="G1017" i="61"/>
  <c r="E1017" i="61"/>
  <c r="D1017" i="61"/>
  <c r="C1017" i="61"/>
  <c r="B1017" i="61"/>
  <c r="A1017" i="61"/>
  <c r="E1016" i="61"/>
  <c r="D1016" i="61"/>
  <c r="C1016" i="61"/>
  <c r="B1016" i="61"/>
  <c r="E1015" i="61"/>
  <c r="D1015" i="61"/>
  <c r="C1015" i="61"/>
  <c r="B1015" i="61"/>
  <c r="E1014" i="61"/>
  <c r="D1014" i="61"/>
  <c r="C1014" i="61"/>
  <c r="B1014" i="61"/>
  <c r="H1013" i="61"/>
  <c r="G1013" i="61"/>
  <c r="E1013" i="61"/>
  <c r="D1013" i="61"/>
  <c r="C1013" i="61"/>
  <c r="B1013" i="61"/>
  <c r="A1013" i="61"/>
  <c r="I1013" i="61" s="1"/>
  <c r="E1012" i="61"/>
  <c r="D1012" i="61"/>
  <c r="C1012" i="61"/>
  <c r="B1012" i="61"/>
  <c r="E1011" i="61"/>
  <c r="D1011" i="61"/>
  <c r="C1011" i="61"/>
  <c r="B1011" i="61"/>
  <c r="E1010" i="61"/>
  <c r="D1010" i="61"/>
  <c r="C1010" i="61"/>
  <c r="B1010" i="61"/>
  <c r="H1009" i="61"/>
  <c r="G1009" i="61"/>
  <c r="E1009" i="61"/>
  <c r="D1009" i="61"/>
  <c r="C1009" i="61"/>
  <c r="B1009" i="61"/>
  <c r="A1009" i="61"/>
  <c r="I1009" i="61" s="1"/>
  <c r="E1008" i="61"/>
  <c r="D1008" i="61"/>
  <c r="C1008" i="61"/>
  <c r="B1008" i="61"/>
  <c r="E1007" i="61"/>
  <c r="D1007" i="61"/>
  <c r="C1007" i="61"/>
  <c r="B1007" i="61"/>
  <c r="E1006" i="61"/>
  <c r="D1006" i="61"/>
  <c r="C1006" i="61"/>
  <c r="B1006" i="61"/>
  <c r="H1005" i="61"/>
  <c r="G1005" i="61"/>
  <c r="E1005" i="61"/>
  <c r="D1005" i="61"/>
  <c r="C1005" i="61"/>
  <c r="B1005" i="61"/>
  <c r="A1005" i="61"/>
  <c r="I1005" i="61" s="1"/>
  <c r="E1004" i="61"/>
  <c r="D1004" i="61"/>
  <c r="C1004" i="61"/>
  <c r="B1004" i="61"/>
  <c r="E1003" i="61"/>
  <c r="D1003" i="61"/>
  <c r="C1003" i="61"/>
  <c r="B1003" i="61"/>
  <c r="E1002" i="61"/>
  <c r="D1002" i="61"/>
  <c r="C1002" i="61"/>
  <c r="B1002" i="61"/>
  <c r="H1001" i="61"/>
  <c r="G1001" i="61"/>
  <c r="E1001" i="61"/>
  <c r="D1001" i="61"/>
  <c r="C1001" i="61"/>
  <c r="B1001" i="61"/>
  <c r="A1001" i="61"/>
  <c r="I1001" i="61" s="1"/>
  <c r="E1000" i="61"/>
  <c r="D1000" i="61"/>
  <c r="C1000" i="61"/>
  <c r="B1000" i="61"/>
  <c r="E999" i="61"/>
  <c r="D999" i="61"/>
  <c r="C999" i="61"/>
  <c r="B999" i="61"/>
  <c r="E998" i="61"/>
  <c r="D998" i="61"/>
  <c r="C998" i="61"/>
  <c r="B998" i="61"/>
  <c r="H997" i="61"/>
  <c r="G997" i="61"/>
  <c r="E997" i="61"/>
  <c r="D997" i="61"/>
  <c r="C997" i="61"/>
  <c r="B997" i="61"/>
  <c r="A997" i="61"/>
  <c r="I997" i="61" s="1"/>
  <c r="E996" i="61"/>
  <c r="D996" i="61"/>
  <c r="C996" i="61"/>
  <c r="B996" i="61"/>
  <c r="E995" i="61"/>
  <c r="D995" i="61"/>
  <c r="C995" i="61"/>
  <c r="B995" i="61"/>
  <c r="E994" i="61"/>
  <c r="D994" i="61"/>
  <c r="C994" i="61"/>
  <c r="B994" i="61"/>
  <c r="H993" i="61"/>
  <c r="G993" i="61"/>
  <c r="E993" i="61"/>
  <c r="D993" i="61"/>
  <c r="C993" i="61"/>
  <c r="B993" i="61"/>
  <c r="A993" i="61"/>
  <c r="I993" i="61" s="1"/>
  <c r="E992" i="61"/>
  <c r="D992" i="61"/>
  <c r="C992" i="61"/>
  <c r="B992" i="61"/>
  <c r="E991" i="61"/>
  <c r="D991" i="61"/>
  <c r="C991" i="61"/>
  <c r="B991" i="61"/>
  <c r="E990" i="61"/>
  <c r="D990" i="61"/>
  <c r="C990" i="61"/>
  <c r="B990" i="61"/>
  <c r="H989" i="61"/>
  <c r="G989" i="61"/>
  <c r="E989" i="61"/>
  <c r="D989" i="61"/>
  <c r="C989" i="61"/>
  <c r="B989" i="61"/>
  <c r="A989" i="61"/>
  <c r="I989" i="61" s="1"/>
  <c r="E988" i="61"/>
  <c r="D988" i="61"/>
  <c r="C988" i="61"/>
  <c r="B988" i="61"/>
  <c r="E987" i="61"/>
  <c r="D987" i="61"/>
  <c r="C987" i="61"/>
  <c r="B987" i="61"/>
  <c r="E986" i="61"/>
  <c r="D986" i="61"/>
  <c r="C986" i="61"/>
  <c r="B986" i="61"/>
  <c r="H985" i="61"/>
  <c r="G985" i="61"/>
  <c r="E985" i="61"/>
  <c r="D985" i="61"/>
  <c r="C985" i="61"/>
  <c r="B985" i="61"/>
  <c r="A985" i="61"/>
  <c r="I985" i="61" s="1"/>
  <c r="E984" i="61"/>
  <c r="D984" i="61"/>
  <c r="C984" i="61"/>
  <c r="B984" i="61"/>
  <c r="E983" i="61"/>
  <c r="D983" i="61"/>
  <c r="C983" i="61"/>
  <c r="B983" i="61"/>
  <c r="E982" i="61"/>
  <c r="D982" i="61"/>
  <c r="C982" i="61"/>
  <c r="B982" i="61"/>
  <c r="H981" i="61"/>
  <c r="G981" i="61"/>
  <c r="E981" i="61"/>
  <c r="D981" i="61"/>
  <c r="C981" i="61"/>
  <c r="B981" i="61"/>
  <c r="A981" i="61"/>
  <c r="I981" i="61" s="1"/>
  <c r="E980" i="61"/>
  <c r="D980" i="61"/>
  <c r="C980" i="61"/>
  <c r="B980" i="61"/>
  <c r="E979" i="61"/>
  <c r="D979" i="61"/>
  <c r="C979" i="61"/>
  <c r="B979" i="61"/>
  <c r="E978" i="61"/>
  <c r="D978" i="61"/>
  <c r="C978" i="61"/>
  <c r="B978" i="61"/>
  <c r="H977" i="61"/>
  <c r="G977" i="61"/>
  <c r="E977" i="61"/>
  <c r="D977" i="61"/>
  <c r="C977" i="61"/>
  <c r="B977" i="61"/>
  <c r="A977" i="61"/>
  <c r="I977" i="61" s="1"/>
  <c r="E976" i="61"/>
  <c r="D976" i="61"/>
  <c r="C976" i="61"/>
  <c r="B976" i="61"/>
  <c r="E975" i="61"/>
  <c r="D975" i="61"/>
  <c r="C975" i="61"/>
  <c r="B975" i="61"/>
  <c r="E974" i="61"/>
  <c r="D974" i="61"/>
  <c r="C974" i="61"/>
  <c r="B974" i="61"/>
  <c r="H973" i="61"/>
  <c r="G973" i="61"/>
  <c r="E973" i="61"/>
  <c r="D973" i="61"/>
  <c r="C973" i="61"/>
  <c r="B973" i="61"/>
  <c r="A973" i="61"/>
  <c r="I973" i="61" s="1"/>
  <c r="E972" i="61"/>
  <c r="D972" i="61"/>
  <c r="C972" i="61"/>
  <c r="B972" i="61"/>
  <c r="E971" i="61"/>
  <c r="D971" i="61"/>
  <c r="C971" i="61"/>
  <c r="B971" i="61"/>
  <c r="E970" i="61"/>
  <c r="D970" i="61"/>
  <c r="C970" i="61"/>
  <c r="B970" i="61"/>
  <c r="H969" i="61"/>
  <c r="G969" i="61"/>
  <c r="E969" i="61"/>
  <c r="D969" i="61"/>
  <c r="C969" i="61"/>
  <c r="B969" i="61"/>
  <c r="A969" i="61"/>
  <c r="I969" i="61" s="1"/>
  <c r="E968" i="61"/>
  <c r="D968" i="61"/>
  <c r="C968" i="61"/>
  <c r="B968" i="61"/>
  <c r="E967" i="61"/>
  <c r="D967" i="61"/>
  <c r="C967" i="61"/>
  <c r="B967" i="61"/>
  <c r="E966" i="61"/>
  <c r="D966" i="61"/>
  <c r="C966" i="61"/>
  <c r="B966" i="61"/>
  <c r="H965" i="61"/>
  <c r="G965" i="61"/>
  <c r="E965" i="61"/>
  <c r="D965" i="61"/>
  <c r="C965" i="61"/>
  <c r="B965" i="61"/>
  <c r="A965" i="61"/>
  <c r="I965" i="61" s="1"/>
  <c r="E964" i="61"/>
  <c r="D964" i="61"/>
  <c r="C964" i="61"/>
  <c r="B964" i="61"/>
  <c r="E963" i="61"/>
  <c r="D963" i="61"/>
  <c r="C963" i="61"/>
  <c r="B963" i="61"/>
  <c r="E962" i="61"/>
  <c r="D962" i="61"/>
  <c r="C962" i="61"/>
  <c r="B962" i="61"/>
  <c r="H961" i="61"/>
  <c r="G961" i="61"/>
  <c r="E961" i="61"/>
  <c r="D961" i="61"/>
  <c r="C961" i="61"/>
  <c r="B961" i="61"/>
  <c r="A961" i="61"/>
  <c r="I961" i="61" s="1"/>
  <c r="E960" i="61"/>
  <c r="D960" i="61"/>
  <c r="C960" i="61"/>
  <c r="B960" i="61"/>
  <c r="E959" i="61"/>
  <c r="D959" i="61"/>
  <c r="C959" i="61"/>
  <c r="B959" i="61"/>
  <c r="E958" i="61"/>
  <c r="D958" i="61"/>
  <c r="C958" i="61"/>
  <c r="B958" i="61"/>
  <c r="H957" i="61"/>
  <c r="G957" i="61"/>
  <c r="E957" i="61"/>
  <c r="D957" i="61"/>
  <c r="C957" i="61"/>
  <c r="B957" i="61"/>
  <c r="A957" i="61"/>
  <c r="I957" i="61" s="1"/>
  <c r="E956" i="61"/>
  <c r="D956" i="61"/>
  <c r="C956" i="61"/>
  <c r="B956" i="61"/>
  <c r="E955" i="61"/>
  <c r="D955" i="61"/>
  <c r="C955" i="61"/>
  <c r="B955" i="61"/>
  <c r="E954" i="61"/>
  <c r="D954" i="61"/>
  <c r="C954" i="61"/>
  <c r="B954" i="61"/>
  <c r="H953" i="61"/>
  <c r="G953" i="61"/>
  <c r="E953" i="61"/>
  <c r="D953" i="61"/>
  <c r="C953" i="61"/>
  <c r="B953" i="61"/>
  <c r="A953" i="61"/>
  <c r="I953" i="61" s="1"/>
  <c r="E952" i="61"/>
  <c r="D952" i="61"/>
  <c r="C952" i="61"/>
  <c r="B952" i="61"/>
  <c r="E951" i="61"/>
  <c r="D951" i="61"/>
  <c r="C951" i="61"/>
  <c r="B951" i="61"/>
  <c r="E950" i="61"/>
  <c r="D950" i="61"/>
  <c r="C950" i="61"/>
  <c r="B950" i="61"/>
  <c r="H949" i="61"/>
  <c r="G949" i="61"/>
  <c r="E949" i="61"/>
  <c r="D949" i="61"/>
  <c r="C949" i="61"/>
  <c r="B949" i="61"/>
  <c r="A949" i="61"/>
  <c r="I949" i="61" s="1"/>
  <c r="E948" i="61"/>
  <c r="D948" i="61"/>
  <c r="C948" i="61"/>
  <c r="B948" i="61"/>
  <c r="E947" i="61"/>
  <c r="D947" i="61"/>
  <c r="C947" i="61"/>
  <c r="B947" i="61"/>
  <c r="E946" i="61"/>
  <c r="D946" i="61"/>
  <c r="C946" i="61"/>
  <c r="B946" i="61"/>
  <c r="H945" i="61"/>
  <c r="G945" i="61"/>
  <c r="E945" i="61"/>
  <c r="D945" i="61"/>
  <c r="C945" i="61"/>
  <c r="B945" i="61"/>
  <c r="A945" i="61"/>
  <c r="I945" i="61" s="1"/>
  <c r="E944" i="61"/>
  <c r="D944" i="61"/>
  <c r="C944" i="61"/>
  <c r="B944" i="61"/>
  <c r="E943" i="61"/>
  <c r="D943" i="61"/>
  <c r="C943" i="61"/>
  <c r="B943" i="61"/>
  <c r="E942" i="61"/>
  <c r="D942" i="61"/>
  <c r="C942" i="61"/>
  <c r="B942" i="61"/>
  <c r="H941" i="61"/>
  <c r="G941" i="61"/>
  <c r="E941" i="61"/>
  <c r="D941" i="61"/>
  <c r="C941" i="61"/>
  <c r="B941" i="61"/>
  <c r="A941" i="61"/>
  <c r="I941" i="61" s="1"/>
  <c r="E940" i="61"/>
  <c r="D940" i="61"/>
  <c r="C940" i="61"/>
  <c r="B940" i="61"/>
  <c r="E939" i="61"/>
  <c r="D939" i="61"/>
  <c r="C939" i="61"/>
  <c r="B939" i="61"/>
  <c r="E938" i="61"/>
  <c r="D938" i="61"/>
  <c r="C938" i="61"/>
  <c r="B938" i="61"/>
  <c r="H937" i="61"/>
  <c r="G937" i="61"/>
  <c r="E937" i="61"/>
  <c r="D937" i="61"/>
  <c r="C937" i="61"/>
  <c r="B937" i="61"/>
  <c r="A937" i="61"/>
  <c r="I937" i="61" s="1"/>
  <c r="E936" i="61"/>
  <c r="D936" i="61"/>
  <c r="C936" i="61"/>
  <c r="B936" i="61"/>
  <c r="E935" i="61"/>
  <c r="D935" i="61"/>
  <c r="C935" i="61"/>
  <c r="B935" i="61"/>
  <c r="E934" i="61"/>
  <c r="D934" i="61"/>
  <c r="C934" i="61"/>
  <c r="B934" i="61"/>
  <c r="H933" i="61"/>
  <c r="G933" i="61"/>
  <c r="E933" i="61"/>
  <c r="D933" i="61"/>
  <c r="C933" i="61"/>
  <c r="B933" i="61"/>
  <c r="A933" i="61"/>
  <c r="I933" i="61" s="1"/>
  <c r="E932" i="61"/>
  <c r="D932" i="61"/>
  <c r="C932" i="61"/>
  <c r="B932" i="61"/>
  <c r="E931" i="61"/>
  <c r="D931" i="61"/>
  <c r="C931" i="61"/>
  <c r="B931" i="61"/>
  <c r="E930" i="61"/>
  <c r="D930" i="61"/>
  <c r="C930" i="61"/>
  <c r="B930" i="61"/>
  <c r="H929" i="61"/>
  <c r="G929" i="61"/>
  <c r="E929" i="61"/>
  <c r="D929" i="61"/>
  <c r="C929" i="61"/>
  <c r="B929" i="61"/>
  <c r="A929" i="61"/>
  <c r="I929" i="61" s="1"/>
  <c r="E928" i="61"/>
  <c r="D928" i="61"/>
  <c r="C928" i="61"/>
  <c r="B928" i="61"/>
  <c r="E927" i="61"/>
  <c r="D927" i="61"/>
  <c r="C927" i="61"/>
  <c r="B927" i="61"/>
  <c r="E926" i="61"/>
  <c r="D926" i="61"/>
  <c r="C926" i="61"/>
  <c r="B926" i="61"/>
  <c r="H925" i="61"/>
  <c r="G925" i="61"/>
  <c r="E925" i="61"/>
  <c r="D925" i="61"/>
  <c r="C925" i="61"/>
  <c r="B925" i="61"/>
  <c r="A925" i="61"/>
  <c r="I925" i="61" s="1"/>
  <c r="E924" i="61"/>
  <c r="D924" i="61"/>
  <c r="C924" i="61"/>
  <c r="B924" i="61"/>
  <c r="E923" i="61"/>
  <c r="D923" i="61"/>
  <c r="C923" i="61"/>
  <c r="B923" i="61"/>
  <c r="E922" i="61"/>
  <c r="D922" i="61"/>
  <c r="C922" i="61"/>
  <c r="B922" i="61"/>
  <c r="H921" i="61"/>
  <c r="G921" i="61"/>
  <c r="E921" i="61"/>
  <c r="D921" i="61"/>
  <c r="C921" i="61"/>
  <c r="B921" i="61"/>
  <c r="A921" i="61"/>
  <c r="I921" i="61" s="1"/>
  <c r="E920" i="61"/>
  <c r="D920" i="61"/>
  <c r="C920" i="61"/>
  <c r="B920" i="61"/>
  <c r="E919" i="61"/>
  <c r="D919" i="61"/>
  <c r="C919" i="61"/>
  <c r="B919" i="61"/>
  <c r="E918" i="61"/>
  <c r="D918" i="61"/>
  <c r="C918" i="61"/>
  <c r="B918" i="61"/>
  <c r="H917" i="61"/>
  <c r="G917" i="61"/>
  <c r="E917" i="61"/>
  <c r="D917" i="61"/>
  <c r="C917" i="61"/>
  <c r="B917" i="61"/>
  <c r="A917" i="61"/>
  <c r="I917" i="61" s="1"/>
  <c r="E916" i="61"/>
  <c r="D916" i="61"/>
  <c r="C916" i="61"/>
  <c r="B916" i="61"/>
  <c r="E915" i="61"/>
  <c r="D915" i="61"/>
  <c r="C915" i="61"/>
  <c r="B915" i="61"/>
  <c r="E914" i="61"/>
  <c r="D914" i="61"/>
  <c r="C914" i="61"/>
  <c r="B914" i="61"/>
  <c r="H913" i="61"/>
  <c r="G913" i="61"/>
  <c r="E913" i="61"/>
  <c r="D913" i="61"/>
  <c r="C913" i="61"/>
  <c r="B913" i="61"/>
  <c r="A913" i="61"/>
  <c r="I913" i="61" s="1"/>
  <c r="E912" i="61"/>
  <c r="D912" i="61"/>
  <c r="C912" i="61"/>
  <c r="B912" i="61"/>
  <c r="E911" i="61"/>
  <c r="D911" i="61"/>
  <c r="C911" i="61"/>
  <c r="B911" i="61"/>
  <c r="E910" i="61"/>
  <c r="D910" i="61"/>
  <c r="C910" i="61"/>
  <c r="B910" i="61"/>
  <c r="H909" i="61"/>
  <c r="G909" i="61"/>
  <c r="E909" i="61"/>
  <c r="D909" i="61"/>
  <c r="C909" i="61"/>
  <c r="B909" i="61"/>
  <c r="A909" i="61"/>
  <c r="I909" i="61" s="1"/>
  <c r="E908" i="61"/>
  <c r="D908" i="61"/>
  <c r="C908" i="61"/>
  <c r="B908" i="61"/>
  <c r="E907" i="61"/>
  <c r="D907" i="61"/>
  <c r="C907" i="61"/>
  <c r="B907" i="61"/>
  <c r="E906" i="61"/>
  <c r="D906" i="61"/>
  <c r="C906" i="61"/>
  <c r="B906" i="61"/>
  <c r="H905" i="61"/>
  <c r="G905" i="61"/>
  <c r="E905" i="61"/>
  <c r="D905" i="61"/>
  <c r="C905" i="61"/>
  <c r="B905" i="61"/>
  <c r="A905" i="61"/>
  <c r="I905" i="61" s="1"/>
  <c r="E904" i="61"/>
  <c r="D904" i="61"/>
  <c r="C904" i="61"/>
  <c r="B904" i="61"/>
  <c r="E903" i="61"/>
  <c r="D903" i="61"/>
  <c r="C903" i="61"/>
  <c r="B903" i="61"/>
  <c r="E902" i="61"/>
  <c r="D902" i="61"/>
  <c r="C902" i="61"/>
  <c r="B902" i="61"/>
  <c r="H901" i="61"/>
  <c r="G901" i="61"/>
  <c r="E901" i="61"/>
  <c r="D901" i="61"/>
  <c r="C901" i="61"/>
  <c r="B901" i="61"/>
  <c r="A901" i="61"/>
  <c r="I901" i="61" s="1"/>
  <c r="E900" i="61"/>
  <c r="D900" i="61"/>
  <c r="C900" i="61"/>
  <c r="B900" i="61"/>
  <c r="E899" i="61"/>
  <c r="D899" i="61"/>
  <c r="C899" i="61"/>
  <c r="B899" i="61"/>
  <c r="E898" i="61"/>
  <c r="D898" i="61"/>
  <c r="C898" i="61"/>
  <c r="B898" i="61"/>
  <c r="H897" i="61"/>
  <c r="G897" i="61"/>
  <c r="E897" i="61"/>
  <c r="D897" i="61"/>
  <c r="C897" i="61"/>
  <c r="B897" i="61"/>
  <c r="A897" i="61"/>
  <c r="I897" i="61" s="1"/>
  <c r="E896" i="61"/>
  <c r="D896" i="61"/>
  <c r="C896" i="61"/>
  <c r="B896" i="61"/>
  <c r="E895" i="61"/>
  <c r="D895" i="61"/>
  <c r="C895" i="61"/>
  <c r="B895" i="61"/>
  <c r="E894" i="61"/>
  <c r="D894" i="61"/>
  <c r="C894" i="61"/>
  <c r="B894" i="61"/>
  <c r="H893" i="61"/>
  <c r="G893" i="61"/>
  <c r="E893" i="61"/>
  <c r="D893" i="61"/>
  <c r="C893" i="61"/>
  <c r="B893" i="61"/>
  <c r="A893" i="61"/>
  <c r="I893" i="61" s="1"/>
  <c r="E892" i="61"/>
  <c r="D892" i="61"/>
  <c r="C892" i="61"/>
  <c r="B892" i="61"/>
  <c r="E891" i="61"/>
  <c r="D891" i="61"/>
  <c r="C891" i="61"/>
  <c r="B891" i="61"/>
  <c r="E890" i="61"/>
  <c r="D890" i="61"/>
  <c r="C890" i="61"/>
  <c r="B890" i="61"/>
  <c r="H889" i="61"/>
  <c r="G889" i="61"/>
  <c r="E889" i="61"/>
  <c r="D889" i="61"/>
  <c r="C889" i="61"/>
  <c r="B889" i="61"/>
  <c r="A889" i="61"/>
  <c r="I889" i="61" s="1"/>
  <c r="E888" i="61"/>
  <c r="D888" i="61"/>
  <c r="C888" i="61"/>
  <c r="B888" i="61"/>
  <c r="E887" i="61"/>
  <c r="D887" i="61"/>
  <c r="C887" i="61"/>
  <c r="B887" i="61"/>
  <c r="E886" i="61"/>
  <c r="D886" i="61"/>
  <c r="C886" i="61"/>
  <c r="B886" i="61"/>
  <c r="H885" i="61"/>
  <c r="G885" i="61"/>
  <c r="E885" i="61"/>
  <c r="D885" i="61"/>
  <c r="C885" i="61"/>
  <c r="B885" i="61"/>
  <c r="A885" i="61"/>
  <c r="I885" i="61" s="1"/>
  <c r="E884" i="61"/>
  <c r="D884" i="61"/>
  <c r="C884" i="61"/>
  <c r="B884" i="61"/>
  <c r="E883" i="61"/>
  <c r="D883" i="61"/>
  <c r="C883" i="61"/>
  <c r="B883" i="61"/>
  <c r="E882" i="61"/>
  <c r="D882" i="61"/>
  <c r="C882" i="61"/>
  <c r="B882" i="61"/>
  <c r="H881" i="61"/>
  <c r="G881" i="61"/>
  <c r="E881" i="61"/>
  <c r="D881" i="61"/>
  <c r="C881" i="61"/>
  <c r="B881" i="61"/>
  <c r="A881" i="61"/>
  <c r="I881" i="61" s="1"/>
  <c r="E880" i="61"/>
  <c r="D880" i="61"/>
  <c r="C880" i="61"/>
  <c r="B880" i="61"/>
  <c r="E879" i="61"/>
  <c r="D879" i="61"/>
  <c r="C879" i="61"/>
  <c r="B879" i="61"/>
  <c r="E878" i="61"/>
  <c r="D878" i="61"/>
  <c r="C878" i="61"/>
  <c r="B878" i="61"/>
  <c r="H877" i="61"/>
  <c r="G877" i="61"/>
  <c r="E877" i="61"/>
  <c r="D877" i="61"/>
  <c r="C877" i="61"/>
  <c r="B877" i="61"/>
  <c r="A877" i="61"/>
  <c r="I877" i="61" s="1"/>
  <c r="E876" i="61"/>
  <c r="D876" i="61"/>
  <c r="C876" i="61"/>
  <c r="B876" i="61"/>
  <c r="E875" i="61"/>
  <c r="D875" i="61"/>
  <c r="C875" i="61"/>
  <c r="B875" i="61"/>
  <c r="E874" i="61"/>
  <c r="D874" i="61"/>
  <c r="C874" i="61"/>
  <c r="B874" i="61"/>
  <c r="H873" i="61"/>
  <c r="G873" i="61"/>
  <c r="E873" i="61"/>
  <c r="D873" i="61"/>
  <c r="C873" i="61"/>
  <c r="B873" i="61"/>
  <c r="A873" i="61"/>
  <c r="I873" i="61" s="1"/>
  <c r="E872" i="61"/>
  <c r="D872" i="61"/>
  <c r="C872" i="61"/>
  <c r="B872" i="61"/>
  <c r="E871" i="61"/>
  <c r="D871" i="61"/>
  <c r="C871" i="61"/>
  <c r="B871" i="61"/>
  <c r="E870" i="61"/>
  <c r="D870" i="61"/>
  <c r="C870" i="61"/>
  <c r="B870" i="61"/>
  <c r="H869" i="61"/>
  <c r="G869" i="61"/>
  <c r="E869" i="61"/>
  <c r="D869" i="61"/>
  <c r="C869" i="61"/>
  <c r="B869" i="61"/>
  <c r="A869" i="61"/>
  <c r="I869" i="61" s="1"/>
  <c r="E868" i="61"/>
  <c r="D868" i="61"/>
  <c r="C868" i="61"/>
  <c r="B868" i="61"/>
  <c r="E867" i="61"/>
  <c r="D867" i="61"/>
  <c r="C867" i="61"/>
  <c r="B867" i="61"/>
  <c r="E866" i="61"/>
  <c r="D866" i="61"/>
  <c r="C866" i="61"/>
  <c r="B866" i="61"/>
  <c r="H865" i="61"/>
  <c r="G865" i="61"/>
  <c r="E865" i="61"/>
  <c r="D865" i="61"/>
  <c r="C865" i="61"/>
  <c r="B865" i="61"/>
  <c r="A865" i="61"/>
  <c r="I865" i="61" s="1"/>
  <c r="E864" i="61"/>
  <c r="D864" i="61"/>
  <c r="C864" i="61"/>
  <c r="B864" i="61"/>
  <c r="E863" i="61"/>
  <c r="D863" i="61"/>
  <c r="C863" i="61"/>
  <c r="B863" i="61"/>
  <c r="E862" i="61"/>
  <c r="D862" i="61"/>
  <c r="C862" i="61"/>
  <c r="B862" i="61"/>
  <c r="H861" i="61"/>
  <c r="G861" i="61"/>
  <c r="E861" i="61"/>
  <c r="D861" i="61"/>
  <c r="C861" i="61"/>
  <c r="B861" i="61"/>
  <c r="A861" i="61"/>
  <c r="I861" i="61" s="1"/>
  <c r="E860" i="61"/>
  <c r="D860" i="61"/>
  <c r="C860" i="61"/>
  <c r="B860" i="61"/>
  <c r="E859" i="61"/>
  <c r="D859" i="61"/>
  <c r="C859" i="61"/>
  <c r="B859" i="61"/>
  <c r="E858" i="61"/>
  <c r="D858" i="61"/>
  <c r="C858" i="61"/>
  <c r="B858" i="61"/>
  <c r="H857" i="61"/>
  <c r="G857" i="61"/>
  <c r="E857" i="61"/>
  <c r="D857" i="61"/>
  <c r="C857" i="61"/>
  <c r="B857" i="61"/>
  <c r="A857" i="61"/>
  <c r="I857" i="61" s="1"/>
  <c r="E856" i="61"/>
  <c r="D856" i="61"/>
  <c r="C856" i="61"/>
  <c r="B856" i="61"/>
  <c r="E855" i="61"/>
  <c r="D855" i="61"/>
  <c r="C855" i="61"/>
  <c r="B855" i="61"/>
  <c r="E854" i="61"/>
  <c r="D854" i="61"/>
  <c r="C854" i="61"/>
  <c r="B854" i="61"/>
  <c r="H853" i="61"/>
  <c r="G853" i="61"/>
  <c r="E853" i="61"/>
  <c r="D853" i="61"/>
  <c r="C853" i="61"/>
  <c r="B853" i="61"/>
  <c r="A853" i="61"/>
  <c r="I853" i="61" s="1"/>
  <c r="E852" i="61"/>
  <c r="D852" i="61"/>
  <c r="C852" i="61"/>
  <c r="B852" i="61"/>
  <c r="E851" i="61"/>
  <c r="D851" i="61"/>
  <c r="C851" i="61"/>
  <c r="B851" i="61"/>
  <c r="E850" i="61"/>
  <c r="D850" i="61"/>
  <c r="C850" i="61"/>
  <c r="B850" i="61"/>
  <c r="H849" i="61"/>
  <c r="G849" i="61"/>
  <c r="E849" i="61"/>
  <c r="D849" i="61"/>
  <c r="C849" i="61"/>
  <c r="B849" i="61"/>
  <c r="A849" i="61"/>
  <c r="I849" i="61" s="1"/>
  <c r="E848" i="61"/>
  <c r="D848" i="61"/>
  <c r="C848" i="61"/>
  <c r="B848" i="61"/>
  <c r="E847" i="61"/>
  <c r="D847" i="61"/>
  <c r="C847" i="61"/>
  <c r="B847" i="61"/>
  <c r="E846" i="61"/>
  <c r="D846" i="61"/>
  <c r="C846" i="61"/>
  <c r="B846" i="61"/>
  <c r="H845" i="61"/>
  <c r="G845" i="61"/>
  <c r="E845" i="61"/>
  <c r="D845" i="61"/>
  <c r="C845" i="61"/>
  <c r="B845" i="61"/>
  <c r="A845" i="61"/>
  <c r="I845" i="61" s="1"/>
  <c r="E844" i="61"/>
  <c r="D844" i="61"/>
  <c r="C844" i="61"/>
  <c r="B844" i="61"/>
  <c r="E843" i="61"/>
  <c r="D843" i="61"/>
  <c r="C843" i="61"/>
  <c r="B843" i="61"/>
  <c r="E842" i="61"/>
  <c r="D842" i="61"/>
  <c r="C842" i="61"/>
  <c r="B842" i="61"/>
  <c r="H841" i="61"/>
  <c r="G841" i="61"/>
  <c r="E841" i="61"/>
  <c r="D841" i="61"/>
  <c r="C841" i="61"/>
  <c r="B841" i="61"/>
  <c r="A841" i="61"/>
  <c r="I841" i="61" s="1"/>
  <c r="E840" i="61"/>
  <c r="D840" i="61"/>
  <c r="C840" i="61"/>
  <c r="B840" i="61"/>
  <c r="E839" i="61"/>
  <c r="D839" i="61"/>
  <c r="C839" i="61"/>
  <c r="B839" i="61"/>
  <c r="E838" i="61"/>
  <c r="D838" i="61"/>
  <c r="C838" i="61"/>
  <c r="B838" i="61"/>
  <c r="H837" i="61"/>
  <c r="G837" i="61"/>
  <c r="E837" i="61"/>
  <c r="D837" i="61"/>
  <c r="C837" i="61"/>
  <c r="B837" i="61"/>
  <c r="A837" i="61"/>
  <c r="I837" i="61" s="1"/>
  <c r="E836" i="61"/>
  <c r="D836" i="61"/>
  <c r="C836" i="61"/>
  <c r="B836" i="61"/>
  <c r="E835" i="61"/>
  <c r="D835" i="61"/>
  <c r="C835" i="61"/>
  <c r="B835" i="61"/>
  <c r="E834" i="61"/>
  <c r="D834" i="61"/>
  <c r="C834" i="61"/>
  <c r="B834" i="61"/>
  <c r="H833" i="61"/>
  <c r="G833" i="61"/>
  <c r="E833" i="61"/>
  <c r="D833" i="61"/>
  <c r="C833" i="61"/>
  <c r="B833" i="61"/>
  <c r="A833" i="61"/>
  <c r="I833" i="61" s="1"/>
  <c r="E832" i="61"/>
  <c r="D832" i="61"/>
  <c r="C832" i="61"/>
  <c r="B832" i="61"/>
  <c r="E831" i="61"/>
  <c r="D831" i="61"/>
  <c r="C831" i="61"/>
  <c r="B831" i="61"/>
  <c r="E830" i="61"/>
  <c r="D830" i="61"/>
  <c r="C830" i="61"/>
  <c r="B830" i="61"/>
  <c r="H829" i="61"/>
  <c r="G829" i="61"/>
  <c r="E829" i="61"/>
  <c r="D829" i="61"/>
  <c r="C829" i="61"/>
  <c r="B829" i="61"/>
  <c r="A829" i="61"/>
  <c r="I829" i="61" s="1"/>
  <c r="E828" i="61"/>
  <c r="D828" i="61"/>
  <c r="C828" i="61"/>
  <c r="B828" i="61"/>
  <c r="E827" i="61"/>
  <c r="D827" i="61"/>
  <c r="C827" i="61"/>
  <c r="B827" i="61"/>
  <c r="E826" i="61"/>
  <c r="D826" i="61"/>
  <c r="C826" i="61"/>
  <c r="B826" i="61"/>
  <c r="I825" i="61"/>
  <c r="H825" i="61"/>
  <c r="G825" i="61"/>
  <c r="E825" i="61"/>
  <c r="D825" i="61"/>
  <c r="C825" i="61"/>
  <c r="B825" i="61"/>
  <c r="A825" i="61"/>
  <c r="E824" i="61"/>
  <c r="D824" i="61"/>
  <c r="C824" i="61"/>
  <c r="B824" i="61"/>
  <c r="E823" i="61"/>
  <c r="D823" i="61"/>
  <c r="C823" i="61"/>
  <c r="B823" i="61"/>
  <c r="E822" i="61"/>
  <c r="D822" i="61"/>
  <c r="C822" i="61"/>
  <c r="B822" i="61"/>
  <c r="I821" i="61"/>
  <c r="H821" i="61"/>
  <c r="G821" i="61"/>
  <c r="E821" i="61"/>
  <c r="D821" i="61"/>
  <c r="C821" i="61"/>
  <c r="B821" i="61"/>
  <c r="A821" i="61"/>
  <c r="E820" i="61"/>
  <c r="D820" i="61"/>
  <c r="C820" i="61"/>
  <c r="B820" i="61"/>
  <c r="E819" i="61"/>
  <c r="D819" i="61"/>
  <c r="C819" i="61"/>
  <c r="B819" i="61"/>
  <c r="E818" i="61"/>
  <c r="D818" i="61"/>
  <c r="C818" i="61"/>
  <c r="B818" i="61"/>
  <c r="I817" i="61"/>
  <c r="H817" i="61"/>
  <c r="G817" i="61"/>
  <c r="E817" i="61"/>
  <c r="D817" i="61"/>
  <c r="C817" i="61"/>
  <c r="B817" i="61"/>
  <c r="A817" i="61"/>
  <c r="E816" i="61"/>
  <c r="D816" i="61"/>
  <c r="C816" i="61"/>
  <c r="B816" i="61"/>
  <c r="E815" i="61"/>
  <c r="D815" i="61"/>
  <c r="C815" i="61"/>
  <c r="B815" i="61"/>
  <c r="E814" i="61"/>
  <c r="D814" i="61"/>
  <c r="C814" i="61"/>
  <c r="B814" i="61"/>
  <c r="I813" i="61"/>
  <c r="H813" i="61"/>
  <c r="G813" i="61"/>
  <c r="E813" i="61"/>
  <c r="D813" i="61"/>
  <c r="C813" i="61"/>
  <c r="B813" i="61"/>
  <c r="A813" i="61"/>
  <c r="E812" i="61"/>
  <c r="D812" i="61"/>
  <c r="C812" i="61"/>
  <c r="B812" i="61"/>
  <c r="E811" i="61"/>
  <c r="D811" i="61"/>
  <c r="C811" i="61"/>
  <c r="B811" i="61"/>
  <c r="E810" i="61"/>
  <c r="D810" i="61"/>
  <c r="C810" i="61"/>
  <c r="B810" i="61"/>
  <c r="I809" i="61"/>
  <c r="H809" i="61"/>
  <c r="G809" i="61"/>
  <c r="E809" i="61"/>
  <c r="D809" i="61"/>
  <c r="C809" i="61"/>
  <c r="B809" i="61"/>
  <c r="A809" i="61"/>
  <c r="E808" i="61"/>
  <c r="D808" i="61"/>
  <c r="C808" i="61"/>
  <c r="B808" i="61"/>
  <c r="E807" i="61"/>
  <c r="D807" i="61"/>
  <c r="C807" i="61"/>
  <c r="B807" i="61"/>
  <c r="E806" i="61"/>
  <c r="D806" i="61"/>
  <c r="C806" i="61"/>
  <c r="B806" i="61"/>
  <c r="I805" i="61"/>
  <c r="H805" i="61"/>
  <c r="G805" i="61"/>
  <c r="E805" i="61"/>
  <c r="D805" i="61"/>
  <c r="C805" i="61"/>
  <c r="B805" i="61"/>
  <c r="A805" i="61"/>
  <c r="E804" i="61"/>
  <c r="D804" i="61"/>
  <c r="C804" i="61"/>
  <c r="B804" i="61"/>
  <c r="E803" i="61"/>
  <c r="D803" i="61"/>
  <c r="C803" i="61"/>
  <c r="B803" i="61"/>
  <c r="E802" i="61"/>
  <c r="D802" i="61"/>
  <c r="C802" i="61"/>
  <c r="B802" i="61"/>
  <c r="I801" i="61"/>
  <c r="H801" i="61"/>
  <c r="G801" i="61"/>
  <c r="E801" i="61"/>
  <c r="D801" i="61"/>
  <c r="C801" i="61"/>
  <c r="B801" i="61"/>
  <c r="A801" i="61"/>
  <c r="E800" i="61"/>
  <c r="D800" i="61"/>
  <c r="C800" i="61"/>
  <c r="B800" i="61"/>
  <c r="E799" i="61"/>
  <c r="D799" i="61"/>
  <c r="C799" i="61"/>
  <c r="B799" i="61"/>
  <c r="E798" i="61"/>
  <c r="D798" i="61"/>
  <c r="C798" i="61"/>
  <c r="B798" i="61"/>
  <c r="I797" i="61"/>
  <c r="H797" i="61"/>
  <c r="G797" i="61"/>
  <c r="E797" i="61"/>
  <c r="D797" i="61"/>
  <c r="C797" i="61"/>
  <c r="B797" i="61"/>
  <c r="A797" i="61"/>
  <c r="E796" i="61"/>
  <c r="D796" i="61"/>
  <c r="C796" i="61"/>
  <c r="B796" i="61"/>
  <c r="E795" i="61"/>
  <c r="D795" i="61"/>
  <c r="C795" i="61"/>
  <c r="B795" i="61"/>
  <c r="E794" i="61"/>
  <c r="D794" i="61"/>
  <c r="C794" i="61"/>
  <c r="B794" i="61"/>
  <c r="I793" i="61"/>
  <c r="H793" i="61"/>
  <c r="G793" i="61"/>
  <c r="E793" i="61"/>
  <c r="D793" i="61"/>
  <c r="C793" i="61"/>
  <c r="B793" i="61"/>
  <c r="A793" i="61"/>
  <c r="E792" i="61"/>
  <c r="D792" i="61"/>
  <c r="C792" i="61"/>
  <c r="B792" i="61"/>
  <c r="E791" i="61"/>
  <c r="D791" i="61"/>
  <c r="C791" i="61"/>
  <c r="B791" i="61"/>
  <c r="E790" i="61"/>
  <c r="D790" i="61"/>
  <c r="C790" i="61"/>
  <c r="B790" i="61"/>
  <c r="I789" i="61"/>
  <c r="H789" i="61"/>
  <c r="G789" i="61"/>
  <c r="E789" i="61"/>
  <c r="D789" i="61"/>
  <c r="C789" i="61"/>
  <c r="B789" i="61"/>
  <c r="A789" i="61"/>
  <c r="E788" i="61"/>
  <c r="D788" i="61"/>
  <c r="C788" i="61"/>
  <c r="B788" i="61"/>
  <c r="E787" i="61"/>
  <c r="D787" i="61"/>
  <c r="C787" i="61"/>
  <c r="B787" i="61"/>
  <c r="E786" i="61"/>
  <c r="D786" i="61"/>
  <c r="C786" i="61"/>
  <c r="B786" i="61"/>
  <c r="I785" i="61"/>
  <c r="H785" i="61"/>
  <c r="G785" i="61"/>
  <c r="E785" i="61"/>
  <c r="D785" i="61"/>
  <c r="C785" i="61"/>
  <c r="B785" i="61"/>
  <c r="A785" i="61"/>
  <c r="E784" i="61"/>
  <c r="D784" i="61"/>
  <c r="C784" i="61"/>
  <c r="B784" i="61"/>
  <c r="E783" i="61"/>
  <c r="D783" i="61"/>
  <c r="C783" i="61"/>
  <c r="B783" i="61"/>
  <c r="E782" i="61"/>
  <c r="D782" i="61"/>
  <c r="C782" i="61"/>
  <c r="B782" i="61"/>
  <c r="I781" i="61"/>
  <c r="H781" i="61"/>
  <c r="G781" i="61"/>
  <c r="E781" i="61"/>
  <c r="D781" i="61"/>
  <c r="C781" i="61"/>
  <c r="B781" i="61"/>
  <c r="A781" i="61"/>
  <c r="E780" i="61"/>
  <c r="D780" i="61"/>
  <c r="C780" i="61"/>
  <c r="B780" i="61"/>
  <c r="E779" i="61"/>
  <c r="D779" i="61"/>
  <c r="C779" i="61"/>
  <c r="B779" i="61"/>
  <c r="E778" i="61"/>
  <c r="D778" i="61"/>
  <c r="C778" i="61"/>
  <c r="B778" i="61"/>
  <c r="I777" i="61"/>
  <c r="H777" i="61"/>
  <c r="G777" i="61"/>
  <c r="E777" i="61"/>
  <c r="D777" i="61"/>
  <c r="C777" i="61"/>
  <c r="B777" i="61"/>
  <c r="A777" i="61"/>
  <c r="E776" i="61"/>
  <c r="D776" i="61"/>
  <c r="C776" i="61"/>
  <c r="B776" i="61"/>
  <c r="E775" i="61"/>
  <c r="D775" i="61"/>
  <c r="C775" i="61"/>
  <c r="B775" i="61"/>
  <c r="E774" i="61"/>
  <c r="D774" i="61"/>
  <c r="C774" i="61"/>
  <c r="B774" i="61"/>
  <c r="I773" i="61"/>
  <c r="H773" i="61"/>
  <c r="G773" i="61"/>
  <c r="E773" i="61"/>
  <c r="D773" i="61"/>
  <c r="C773" i="61"/>
  <c r="B773" i="61"/>
  <c r="A773" i="61"/>
  <c r="E772" i="61"/>
  <c r="D772" i="61"/>
  <c r="C772" i="61"/>
  <c r="B772" i="61"/>
  <c r="E771" i="61"/>
  <c r="D771" i="61"/>
  <c r="C771" i="61"/>
  <c r="B771" i="61"/>
  <c r="E770" i="61"/>
  <c r="D770" i="61"/>
  <c r="C770" i="61"/>
  <c r="B770" i="61"/>
  <c r="I769" i="61"/>
  <c r="H769" i="61"/>
  <c r="G769" i="61"/>
  <c r="E769" i="61"/>
  <c r="D769" i="61"/>
  <c r="C769" i="61"/>
  <c r="B769" i="61"/>
  <c r="A769" i="61"/>
  <c r="E768" i="61"/>
  <c r="D768" i="61"/>
  <c r="C768" i="61"/>
  <c r="B768" i="61"/>
  <c r="E767" i="61"/>
  <c r="D767" i="61"/>
  <c r="C767" i="61"/>
  <c r="B767" i="61"/>
  <c r="E766" i="61"/>
  <c r="D766" i="61"/>
  <c r="C766" i="61"/>
  <c r="B766" i="61"/>
  <c r="I765" i="61"/>
  <c r="H765" i="61"/>
  <c r="G765" i="61"/>
  <c r="E765" i="61"/>
  <c r="D765" i="61"/>
  <c r="C765" i="61"/>
  <c r="B765" i="61"/>
  <c r="A765" i="61"/>
  <c r="E764" i="61"/>
  <c r="D764" i="61"/>
  <c r="C764" i="61"/>
  <c r="B764" i="61"/>
  <c r="E763" i="61"/>
  <c r="D763" i="61"/>
  <c r="C763" i="61"/>
  <c r="B763" i="61"/>
  <c r="E762" i="61"/>
  <c r="D762" i="61"/>
  <c r="C762" i="61"/>
  <c r="B762" i="61"/>
  <c r="I761" i="61"/>
  <c r="H761" i="61"/>
  <c r="G761" i="61"/>
  <c r="E761" i="61"/>
  <c r="D761" i="61"/>
  <c r="C761" i="61"/>
  <c r="B761" i="61"/>
  <c r="A761" i="61"/>
  <c r="E760" i="61"/>
  <c r="D760" i="61"/>
  <c r="C760" i="61"/>
  <c r="B760" i="61"/>
  <c r="E759" i="61"/>
  <c r="D759" i="61"/>
  <c r="C759" i="61"/>
  <c r="B759" i="61"/>
  <c r="E758" i="61"/>
  <c r="D758" i="61"/>
  <c r="C758" i="61"/>
  <c r="B758" i="61"/>
  <c r="I757" i="61"/>
  <c r="H757" i="61"/>
  <c r="G757" i="61"/>
  <c r="E757" i="61"/>
  <c r="D757" i="61"/>
  <c r="C757" i="61"/>
  <c r="B757" i="61"/>
  <c r="A757" i="61"/>
  <c r="E756" i="61"/>
  <c r="D756" i="61"/>
  <c r="C756" i="61"/>
  <c r="B756" i="61"/>
  <c r="E755" i="61"/>
  <c r="D755" i="61"/>
  <c r="C755" i="61"/>
  <c r="B755" i="61"/>
  <c r="E754" i="61"/>
  <c r="D754" i="61"/>
  <c r="C754" i="61"/>
  <c r="B754" i="61"/>
  <c r="I753" i="61"/>
  <c r="H753" i="61"/>
  <c r="G753" i="61"/>
  <c r="E753" i="61"/>
  <c r="D753" i="61"/>
  <c r="C753" i="61"/>
  <c r="B753" i="61"/>
  <c r="A753" i="61"/>
  <c r="E752" i="61"/>
  <c r="D752" i="61"/>
  <c r="C752" i="61"/>
  <c r="B752" i="61"/>
  <c r="E751" i="61"/>
  <c r="D751" i="61"/>
  <c r="C751" i="61"/>
  <c r="B751" i="61"/>
  <c r="E750" i="61"/>
  <c r="D750" i="61"/>
  <c r="C750" i="61"/>
  <c r="B750" i="61"/>
  <c r="I749" i="61"/>
  <c r="H749" i="61"/>
  <c r="G749" i="61"/>
  <c r="E749" i="61"/>
  <c r="D749" i="61"/>
  <c r="C749" i="61"/>
  <c r="B749" i="61"/>
  <c r="A749" i="61"/>
  <c r="E748" i="61"/>
  <c r="D748" i="61"/>
  <c r="C748" i="61"/>
  <c r="B748" i="61"/>
  <c r="E747" i="61"/>
  <c r="D747" i="61"/>
  <c r="C747" i="61"/>
  <c r="B747" i="61"/>
  <c r="E746" i="61"/>
  <c r="D746" i="61"/>
  <c r="C746" i="61"/>
  <c r="B746" i="61"/>
  <c r="I745" i="61"/>
  <c r="H745" i="61"/>
  <c r="G745" i="61"/>
  <c r="E745" i="61"/>
  <c r="D745" i="61"/>
  <c r="C745" i="61"/>
  <c r="B745" i="61"/>
  <c r="A745" i="61"/>
  <c r="E744" i="61"/>
  <c r="D744" i="61"/>
  <c r="C744" i="61"/>
  <c r="B744" i="61"/>
  <c r="E743" i="61"/>
  <c r="D743" i="61"/>
  <c r="C743" i="61"/>
  <c r="B743" i="61"/>
  <c r="E742" i="61"/>
  <c r="D742" i="61"/>
  <c r="C742" i="61"/>
  <c r="B742" i="61"/>
  <c r="I741" i="61"/>
  <c r="H741" i="61"/>
  <c r="G741" i="61"/>
  <c r="E741" i="61"/>
  <c r="D741" i="61"/>
  <c r="C741" i="61"/>
  <c r="B741" i="61"/>
  <c r="A741" i="61"/>
  <c r="E740" i="61"/>
  <c r="D740" i="61"/>
  <c r="C740" i="61"/>
  <c r="B740" i="61"/>
  <c r="E739" i="61"/>
  <c r="D739" i="61"/>
  <c r="C739" i="61"/>
  <c r="B739" i="61"/>
  <c r="E738" i="61"/>
  <c r="D738" i="61"/>
  <c r="C738" i="61"/>
  <c r="B738" i="61"/>
  <c r="I737" i="61"/>
  <c r="H737" i="61"/>
  <c r="G737" i="61"/>
  <c r="E737" i="61"/>
  <c r="D737" i="61"/>
  <c r="C737" i="61"/>
  <c r="B737" i="61"/>
  <c r="A737" i="61"/>
  <c r="E736" i="61"/>
  <c r="D736" i="61"/>
  <c r="C736" i="61"/>
  <c r="B736" i="61"/>
  <c r="E735" i="61"/>
  <c r="D735" i="61"/>
  <c r="C735" i="61"/>
  <c r="B735" i="61"/>
  <c r="E734" i="61"/>
  <c r="D734" i="61"/>
  <c r="C734" i="61"/>
  <c r="B734" i="61"/>
  <c r="I733" i="61"/>
  <c r="H733" i="61"/>
  <c r="G733" i="61"/>
  <c r="E733" i="61"/>
  <c r="D733" i="61"/>
  <c r="C733" i="61"/>
  <c r="B733" i="61"/>
  <c r="A733" i="61"/>
  <c r="E732" i="61"/>
  <c r="D732" i="61"/>
  <c r="C732" i="61"/>
  <c r="B732" i="61"/>
  <c r="E731" i="61"/>
  <c r="D731" i="61"/>
  <c r="C731" i="61"/>
  <c r="B731" i="61"/>
  <c r="E730" i="61"/>
  <c r="D730" i="61"/>
  <c r="C730" i="61"/>
  <c r="B730" i="61"/>
  <c r="I729" i="61"/>
  <c r="H729" i="61"/>
  <c r="G729" i="61"/>
  <c r="E729" i="61"/>
  <c r="D729" i="61"/>
  <c r="C729" i="61"/>
  <c r="B729" i="61"/>
  <c r="A729" i="61"/>
  <c r="E728" i="61"/>
  <c r="D728" i="61"/>
  <c r="C728" i="61"/>
  <c r="B728" i="61"/>
  <c r="E727" i="61"/>
  <c r="D727" i="61"/>
  <c r="C727" i="61"/>
  <c r="B727" i="61"/>
  <c r="E726" i="61"/>
  <c r="D726" i="61"/>
  <c r="C726" i="61"/>
  <c r="B726" i="61"/>
  <c r="I725" i="61"/>
  <c r="H725" i="61"/>
  <c r="G725" i="61"/>
  <c r="E725" i="61"/>
  <c r="D725" i="61"/>
  <c r="C725" i="61"/>
  <c r="B725" i="61"/>
  <c r="A725" i="61"/>
  <c r="E724" i="61"/>
  <c r="D724" i="61"/>
  <c r="C724" i="61"/>
  <c r="B724" i="61"/>
  <c r="E723" i="61"/>
  <c r="D723" i="61"/>
  <c r="C723" i="61"/>
  <c r="B723" i="61"/>
  <c r="E722" i="61"/>
  <c r="D722" i="61"/>
  <c r="C722" i="61"/>
  <c r="B722" i="61"/>
  <c r="I721" i="61"/>
  <c r="H721" i="61"/>
  <c r="G721" i="61"/>
  <c r="E721" i="61"/>
  <c r="D721" i="61"/>
  <c r="C721" i="61"/>
  <c r="B721" i="61"/>
  <c r="A721" i="61"/>
  <c r="E720" i="61"/>
  <c r="D720" i="61"/>
  <c r="C720" i="61"/>
  <c r="B720" i="61"/>
  <c r="E719" i="61"/>
  <c r="D719" i="61"/>
  <c r="C719" i="61"/>
  <c r="B719" i="61"/>
  <c r="E718" i="61"/>
  <c r="D718" i="61"/>
  <c r="C718" i="61"/>
  <c r="B718" i="61"/>
  <c r="I717" i="61"/>
  <c r="H717" i="61"/>
  <c r="G717" i="61"/>
  <c r="E717" i="61"/>
  <c r="D717" i="61"/>
  <c r="C717" i="61"/>
  <c r="B717" i="61"/>
  <c r="A717" i="61"/>
  <c r="E716" i="61"/>
  <c r="D716" i="61"/>
  <c r="C716" i="61"/>
  <c r="B716" i="61"/>
  <c r="E715" i="61"/>
  <c r="D715" i="61"/>
  <c r="C715" i="61"/>
  <c r="B715" i="61"/>
  <c r="E714" i="61"/>
  <c r="D714" i="61"/>
  <c r="C714" i="61"/>
  <c r="B714" i="61"/>
  <c r="I713" i="61"/>
  <c r="H713" i="61"/>
  <c r="G713" i="61"/>
  <c r="E713" i="61"/>
  <c r="D713" i="61"/>
  <c r="C713" i="61"/>
  <c r="B713" i="61"/>
  <c r="A713" i="61"/>
  <c r="E712" i="61"/>
  <c r="D712" i="61"/>
  <c r="C712" i="61"/>
  <c r="B712" i="61"/>
  <c r="E711" i="61"/>
  <c r="D711" i="61"/>
  <c r="C711" i="61"/>
  <c r="B711" i="61"/>
  <c r="E710" i="61"/>
  <c r="D710" i="61"/>
  <c r="C710" i="61"/>
  <c r="B710" i="61"/>
  <c r="I709" i="61"/>
  <c r="H709" i="61"/>
  <c r="G709" i="61"/>
  <c r="E709" i="61"/>
  <c r="D709" i="61"/>
  <c r="C709" i="61"/>
  <c r="B709" i="61"/>
  <c r="A709" i="61"/>
  <c r="E708" i="61"/>
  <c r="D708" i="61"/>
  <c r="C708" i="61"/>
  <c r="B708" i="61"/>
  <c r="E707" i="61"/>
  <c r="D707" i="61"/>
  <c r="C707" i="61"/>
  <c r="B707" i="61"/>
  <c r="E706" i="61"/>
  <c r="D706" i="61"/>
  <c r="C706" i="61"/>
  <c r="B706" i="61"/>
  <c r="I705" i="61"/>
  <c r="H705" i="61"/>
  <c r="G705" i="61"/>
  <c r="E705" i="61"/>
  <c r="D705" i="61"/>
  <c r="C705" i="61"/>
  <c r="B705" i="61"/>
  <c r="A705" i="61"/>
  <c r="E704" i="61"/>
  <c r="D704" i="61"/>
  <c r="C704" i="61"/>
  <c r="B704" i="61"/>
  <c r="E703" i="61"/>
  <c r="D703" i="61"/>
  <c r="C703" i="61"/>
  <c r="B703" i="61"/>
  <c r="E702" i="61"/>
  <c r="D702" i="61"/>
  <c r="C702" i="61"/>
  <c r="B702" i="61"/>
  <c r="I701" i="61"/>
  <c r="H701" i="61"/>
  <c r="G701" i="61"/>
  <c r="E701" i="61"/>
  <c r="D701" i="61"/>
  <c r="C701" i="61"/>
  <c r="B701" i="61"/>
  <c r="A701" i="61"/>
  <c r="E700" i="61"/>
  <c r="D700" i="61"/>
  <c r="C700" i="61"/>
  <c r="B700" i="61"/>
  <c r="E699" i="61"/>
  <c r="D699" i="61"/>
  <c r="C699" i="61"/>
  <c r="B699" i="61"/>
  <c r="E698" i="61"/>
  <c r="D698" i="61"/>
  <c r="C698" i="61"/>
  <c r="B698" i="61"/>
  <c r="I697" i="61"/>
  <c r="H697" i="61"/>
  <c r="G697" i="61"/>
  <c r="E697" i="61"/>
  <c r="D697" i="61"/>
  <c r="C697" i="61"/>
  <c r="B697" i="61"/>
  <c r="A697" i="61"/>
  <c r="E696" i="61"/>
  <c r="D696" i="61"/>
  <c r="C696" i="61"/>
  <c r="B696" i="61"/>
  <c r="E695" i="61"/>
  <c r="D695" i="61"/>
  <c r="C695" i="61"/>
  <c r="B695" i="61"/>
  <c r="E694" i="61"/>
  <c r="D694" i="61"/>
  <c r="C694" i="61"/>
  <c r="B694" i="61"/>
  <c r="I693" i="61"/>
  <c r="H693" i="61"/>
  <c r="G693" i="61"/>
  <c r="E693" i="61"/>
  <c r="D693" i="61"/>
  <c r="C693" i="61"/>
  <c r="B693" i="61"/>
  <c r="A693" i="61"/>
  <c r="E692" i="61"/>
  <c r="D692" i="61"/>
  <c r="C692" i="61"/>
  <c r="B692" i="61"/>
  <c r="E691" i="61"/>
  <c r="D691" i="61"/>
  <c r="C691" i="61"/>
  <c r="B691" i="61"/>
  <c r="E690" i="61"/>
  <c r="D690" i="61"/>
  <c r="C690" i="61"/>
  <c r="B690" i="61"/>
  <c r="I689" i="61"/>
  <c r="H689" i="61"/>
  <c r="G689" i="61"/>
  <c r="E689" i="61"/>
  <c r="D689" i="61"/>
  <c r="C689" i="61"/>
  <c r="B689" i="61"/>
  <c r="A689" i="61"/>
  <c r="E688" i="61"/>
  <c r="D688" i="61"/>
  <c r="C688" i="61"/>
  <c r="B688" i="61"/>
  <c r="E687" i="61"/>
  <c r="D687" i="61"/>
  <c r="C687" i="61"/>
  <c r="B687" i="61"/>
  <c r="E686" i="61"/>
  <c r="D686" i="61"/>
  <c r="C686" i="61"/>
  <c r="B686" i="61"/>
  <c r="I685" i="61"/>
  <c r="H685" i="61"/>
  <c r="G685" i="61"/>
  <c r="E685" i="61"/>
  <c r="D685" i="61"/>
  <c r="C685" i="61"/>
  <c r="B685" i="61"/>
  <c r="A685" i="61"/>
  <c r="E684" i="61"/>
  <c r="D684" i="61"/>
  <c r="C684" i="61"/>
  <c r="B684" i="61"/>
  <c r="E683" i="61"/>
  <c r="D683" i="61"/>
  <c r="C683" i="61"/>
  <c r="B683" i="61"/>
  <c r="E682" i="61"/>
  <c r="D682" i="61"/>
  <c r="C682" i="61"/>
  <c r="B682" i="61"/>
  <c r="I681" i="61"/>
  <c r="H681" i="61"/>
  <c r="G681" i="61"/>
  <c r="E681" i="61"/>
  <c r="D681" i="61"/>
  <c r="C681" i="61"/>
  <c r="B681" i="61"/>
  <c r="A681" i="61"/>
  <c r="E680" i="61"/>
  <c r="D680" i="61"/>
  <c r="C680" i="61"/>
  <c r="B680" i="61"/>
  <c r="E679" i="61"/>
  <c r="D679" i="61"/>
  <c r="C679" i="61"/>
  <c r="B679" i="61"/>
  <c r="E678" i="61"/>
  <c r="D678" i="61"/>
  <c r="C678" i="61"/>
  <c r="B678" i="61"/>
  <c r="I677" i="61"/>
  <c r="H677" i="61"/>
  <c r="G677" i="61"/>
  <c r="E677" i="61"/>
  <c r="D677" i="61"/>
  <c r="C677" i="61"/>
  <c r="B677" i="61"/>
  <c r="A677" i="61"/>
  <c r="E676" i="61"/>
  <c r="D676" i="61"/>
  <c r="C676" i="61"/>
  <c r="B676" i="61"/>
  <c r="E675" i="61"/>
  <c r="D675" i="61"/>
  <c r="C675" i="61"/>
  <c r="B675" i="61"/>
  <c r="E674" i="61"/>
  <c r="D674" i="61"/>
  <c r="C674" i="61"/>
  <c r="B674" i="61"/>
  <c r="I673" i="61"/>
  <c r="H673" i="61"/>
  <c r="G673" i="61"/>
  <c r="E673" i="61"/>
  <c r="D673" i="61"/>
  <c r="C673" i="61"/>
  <c r="B673" i="61"/>
  <c r="A673" i="61"/>
  <c r="E672" i="61"/>
  <c r="D672" i="61"/>
  <c r="C672" i="61"/>
  <c r="B672" i="61"/>
  <c r="E671" i="61"/>
  <c r="D671" i="61"/>
  <c r="C671" i="61"/>
  <c r="B671" i="61"/>
  <c r="E670" i="61"/>
  <c r="D670" i="61"/>
  <c r="C670" i="61"/>
  <c r="B670" i="61"/>
  <c r="I669" i="61"/>
  <c r="H669" i="61"/>
  <c r="G669" i="61"/>
  <c r="E669" i="61"/>
  <c r="D669" i="61"/>
  <c r="C669" i="61"/>
  <c r="B669" i="61"/>
  <c r="A669" i="61"/>
  <c r="E668" i="61"/>
  <c r="D668" i="61"/>
  <c r="C668" i="61"/>
  <c r="B668" i="61"/>
  <c r="E667" i="61"/>
  <c r="D667" i="61"/>
  <c r="C667" i="61"/>
  <c r="B667" i="61"/>
  <c r="E666" i="61"/>
  <c r="D666" i="61"/>
  <c r="C666" i="61"/>
  <c r="B666" i="61"/>
  <c r="I665" i="61"/>
  <c r="H665" i="61"/>
  <c r="G665" i="61"/>
  <c r="E665" i="61"/>
  <c r="D665" i="61"/>
  <c r="C665" i="61"/>
  <c r="B665" i="61"/>
  <c r="A665" i="61"/>
  <c r="E664" i="61"/>
  <c r="D664" i="61"/>
  <c r="C664" i="61"/>
  <c r="B664" i="61"/>
  <c r="E663" i="61"/>
  <c r="D663" i="61"/>
  <c r="C663" i="61"/>
  <c r="B663" i="61"/>
  <c r="E662" i="61"/>
  <c r="D662" i="61"/>
  <c r="C662" i="61"/>
  <c r="B662" i="61"/>
  <c r="I661" i="61"/>
  <c r="H661" i="61"/>
  <c r="G661" i="61"/>
  <c r="E661" i="61"/>
  <c r="D661" i="61"/>
  <c r="C661" i="61"/>
  <c r="B661" i="61"/>
  <c r="A661" i="61"/>
  <c r="E660" i="61"/>
  <c r="D660" i="61"/>
  <c r="C660" i="61"/>
  <c r="B660" i="61"/>
  <c r="E659" i="61"/>
  <c r="D659" i="61"/>
  <c r="C659" i="61"/>
  <c r="B659" i="61"/>
  <c r="E658" i="61"/>
  <c r="D658" i="61"/>
  <c r="C658" i="61"/>
  <c r="B658" i="61"/>
  <c r="I657" i="61"/>
  <c r="H657" i="61"/>
  <c r="G657" i="61"/>
  <c r="E657" i="61"/>
  <c r="D657" i="61"/>
  <c r="C657" i="61"/>
  <c r="B657" i="61"/>
  <c r="A657" i="61"/>
  <c r="E656" i="61"/>
  <c r="D656" i="61"/>
  <c r="C656" i="61"/>
  <c r="B656" i="61"/>
  <c r="E655" i="61"/>
  <c r="D655" i="61"/>
  <c r="C655" i="61"/>
  <c r="B655" i="61"/>
  <c r="E654" i="61"/>
  <c r="D654" i="61"/>
  <c r="C654" i="61"/>
  <c r="B654" i="61"/>
  <c r="I653" i="61"/>
  <c r="H653" i="61"/>
  <c r="G653" i="61"/>
  <c r="E653" i="61"/>
  <c r="D653" i="61"/>
  <c r="C653" i="61"/>
  <c r="B653" i="61"/>
  <c r="A653" i="61"/>
  <c r="E652" i="61"/>
  <c r="D652" i="61"/>
  <c r="C652" i="61"/>
  <c r="B652" i="61"/>
  <c r="E651" i="61"/>
  <c r="D651" i="61"/>
  <c r="C651" i="61"/>
  <c r="B651" i="61"/>
  <c r="E650" i="61"/>
  <c r="D650" i="61"/>
  <c r="C650" i="61"/>
  <c r="B650" i="61"/>
  <c r="I649" i="61"/>
  <c r="H649" i="61"/>
  <c r="G649" i="61"/>
  <c r="E649" i="61"/>
  <c r="D649" i="61"/>
  <c r="C649" i="61"/>
  <c r="B649" i="61"/>
  <c r="A649" i="61"/>
  <c r="E648" i="61"/>
  <c r="D648" i="61"/>
  <c r="C648" i="61"/>
  <c r="B648" i="61"/>
  <c r="E647" i="61"/>
  <c r="D647" i="61"/>
  <c r="C647" i="61"/>
  <c r="B647" i="61"/>
  <c r="E646" i="61"/>
  <c r="D646" i="61"/>
  <c r="C646" i="61"/>
  <c r="B646" i="61"/>
  <c r="I645" i="61"/>
  <c r="H645" i="61"/>
  <c r="G645" i="61"/>
  <c r="E645" i="61"/>
  <c r="D645" i="61"/>
  <c r="C645" i="61"/>
  <c r="B645" i="61"/>
  <c r="A645" i="61"/>
  <c r="E644" i="61"/>
  <c r="D644" i="61"/>
  <c r="C644" i="61"/>
  <c r="B644" i="61"/>
  <c r="E643" i="61"/>
  <c r="D643" i="61"/>
  <c r="C643" i="61"/>
  <c r="B643" i="61"/>
  <c r="E642" i="61"/>
  <c r="D642" i="61"/>
  <c r="C642" i="61"/>
  <c r="B642" i="61"/>
  <c r="I641" i="61"/>
  <c r="H641" i="61"/>
  <c r="G641" i="61"/>
  <c r="E641" i="61"/>
  <c r="D641" i="61"/>
  <c r="C641" i="61"/>
  <c r="B641" i="61"/>
  <c r="A641" i="61"/>
  <c r="E640" i="61"/>
  <c r="D640" i="61"/>
  <c r="C640" i="61"/>
  <c r="B640" i="61"/>
  <c r="E639" i="61"/>
  <c r="D639" i="61"/>
  <c r="C639" i="61"/>
  <c r="B639" i="61"/>
  <c r="E638" i="61"/>
  <c r="D638" i="61"/>
  <c r="C638" i="61"/>
  <c r="B638" i="61"/>
  <c r="I637" i="61"/>
  <c r="H637" i="61"/>
  <c r="G637" i="61"/>
  <c r="E637" i="61"/>
  <c r="D637" i="61"/>
  <c r="C637" i="61"/>
  <c r="B637" i="61"/>
  <c r="A637" i="61"/>
  <c r="E636" i="61"/>
  <c r="D636" i="61"/>
  <c r="C636" i="61"/>
  <c r="B636" i="61"/>
  <c r="E635" i="61"/>
  <c r="D635" i="61"/>
  <c r="C635" i="61"/>
  <c r="B635" i="61"/>
  <c r="E634" i="61"/>
  <c r="D634" i="61"/>
  <c r="C634" i="61"/>
  <c r="B634" i="61"/>
  <c r="I633" i="61"/>
  <c r="H633" i="61"/>
  <c r="G633" i="61"/>
  <c r="E633" i="61"/>
  <c r="D633" i="61"/>
  <c r="C633" i="61"/>
  <c r="B633" i="61"/>
  <c r="A633" i="61"/>
  <c r="E632" i="61"/>
  <c r="D632" i="61"/>
  <c r="C632" i="61"/>
  <c r="B632" i="61"/>
  <c r="E631" i="61"/>
  <c r="D631" i="61"/>
  <c r="C631" i="61"/>
  <c r="B631" i="61"/>
  <c r="E630" i="61"/>
  <c r="D630" i="61"/>
  <c r="C630" i="61"/>
  <c r="B630" i="61"/>
  <c r="I629" i="61"/>
  <c r="H629" i="61"/>
  <c r="G629" i="61"/>
  <c r="E629" i="61"/>
  <c r="D629" i="61"/>
  <c r="C629" i="61"/>
  <c r="B629" i="61"/>
  <c r="A629" i="61"/>
  <c r="E628" i="61"/>
  <c r="D628" i="61"/>
  <c r="C628" i="61"/>
  <c r="B628" i="61"/>
  <c r="E627" i="61"/>
  <c r="D627" i="61"/>
  <c r="C627" i="61"/>
  <c r="B627" i="61"/>
  <c r="E626" i="61"/>
  <c r="D626" i="61"/>
  <c r="C626" i="61"/>
  <c r="B626" i="61"/>
  <c r="I625" i="61"/>
  <c r="H625" i="61"/>
  <c r="G625" i="61"/>
  <c r="E625" i="61"/>
  <c r="D625" i="61"/>
  <c r="C625" i="61"/>
  <c r="B625" i="61"/>
  <c r="A625" i="61"/>
  <c r="E624" i="61"/>
  <c r="D624" i="61"/>
  <c r="C624" i="61"/>
  <c r="B624" i="61"/>
  <c r="E623" i="61"/>
  <c r="D623" i="61"/>
  <c r="C623" i="61"/>
  <c r="B623" i="61"/>
  <c r="E622" i="61"/>
  <c r="D622" i="61"/>
  <c r="C622" i="61"/>
  <c r="B622" i="61"/>
  <c r="I621" i="61"/>
  <c r="H621" i="61"/>
  <c r="G621" i="61"/>
  <c r="E621" i="61"/>
  <c r="D621" i="61"/>
  <c r="C621" i="61"/>
  <c r="B621" i="61"/>
  <c r="A621" i="61"/>
  <c r="E620" i="61"/>
  <c r="D620" i="61"/>
  <c r="C620" i="61"/>
  <c r="B620" i="61"/>
  <c r="E619" i="61"/>
  <c r="D619" i="61"/>
  <c r="C619" i="61"/>
  <c r="B619" i="61"/>
  <c r="E618" i="61"/>
  <c r="D618" i="61"/>
  <c r="C618" i="61"/>
  <c r="B618" i="61"/>
  <c r="I617" i="61"/>
  <c r="H617" i="61"/>
  <c r="G617" i="61"/>
  <c r="E617" i="61"/>
  <c r="D617" i="61"/>
  <c r="C617" i="61"/>
  <c r="B617" i="61"/>
  <c r="A617" i="61"/>
  <c r="E616" i="61"/>
  <c r="D616" i="61"/>
  <c r="C616" i="61"/>
  <c r="B616" i="61"/>
  <c r="E615" i="61"/>
  <c r="D615" i="61"/>
  <c r="C615" i="61"/>
  <c r="B615" i="61"/>
  <c r="E614" i="61"/>
  <c r="D614" i="61"/>
  <c r="C614" i="61"/>
  <c r="B614" i="61"/>
  <c r="I613" i="61"/>
  <c r="H613" i="61"/>
  <c r="G613" i="61"/>
  <c r="E613" i="61"/>
  <c r="D613" i="61"/>
  <c r="C613" i="61"/>
  <c r="B613" i="61"/>
  <c r="A613" i="61"/>
  <c r="E612" i="61"/>
  <c r="D612" i="61"/>
  <c r="C612" i="61"/>
  <c r="B612" i="61"/>
  <c r="E611" i="61"/>
  <c r="D611" i="61"/>
  <c r="C611" i="61"/>
  <c r="B611" i="61"/>
  <c r="E610" i="61"/>
  <c r="D610" i="61"/>
  <c r="C610" i="61"/>
  <c r="B610" i="61"/>
  <c r="I609" i="61"/>
  <c r="H609" i="61"/>
  <c r="G609" i="61"/>
  <c r="E609" i="61"/>
  <c r="D609" i="61"/>
  <c r="C609" i="61"/>
  <c r="B609" i="61"/>
  <c r="A609" i="61"/>
  <c r="E608" i="61"/>
  <c r="D608" i="61"/>
  <c r="C608" i="61"/>
  <c r="B608" i="61"/>
  <c r="E607" i="61"/>
  <c r="D607" i="61"/>
  <c r="C607" i="61"/>
  <c r="B607" i="61"/>
  <c r="E606" i="61"/>
  <c r="D606" i="61"/>
  <c r="C606" i="61"/>
  <c r="B606" i="61"/>
  <c r="I605" i="61"/>
  <c r="H605" i="61"/>
  <c r="G605" i="61"/>
  <c r="E605" i="61"/>
  <c r="D605" i="61"/>
  <c r="C605" i="61"/>
  <c r="B605" i="61"/>
  <c r="A605" i="61"/>
  <c r="E604" i="61"/>
  <c r="D604" i="61"/>
  <c r="C604" i="61"/>
  <c r="B604" i="61"/>
  <c r="E603" i="61"/>
  <c r="D603" i="61"/>
  <c r="C603" i="61"/>
  <c r="B603" i="61"/>
  <c r="E602" i="61"/>
  <c r="D602" i="61"/>
  <c r="C602" i="61"/>
  <c r="B602" i="61"/>
  <c r="I601" i="61"/>
  <c r="H601" i="61"/>
  <c r="G601" i="61"/>
  <c r="E601" i="61"/>
  <c r="D601" i="61"/>
  <c r="C601" i="61"/>
  <c r="B601" i="61"/>
  <c r="A601" i="61"/>
  <c r="E600" i="61"/>
  <c r="D600" i="61"/>
  <c r="C600" i="61"/>
  <c r="B600" i="61"/>
  <c r="E599" i="61"/>
  <c r="D599" i="61"/>
  <c r="C599" i="61"/>
  <c r="B599" i="61"/>
  <c r="E598" i="61"/>
  <c r="D598" i="61"/>
  <c r="C598" i="61"/>
  <c r="B598" i="61"/>
  <c r="I597" i="61"/>
  <c r="H597" i="61"/>
  <c r="G597" i="61"/>
  <c r="E597" i="61"/>
  <c r="D597" i="61"/>
  <c r="C597" i="61"/>
  <c r="B597" i="61"/>
  <c r="A597" i="61"/>
  <c r="E596" i="61"/>
  <c r="D596" i="61"/>
  <c r="C596" i="61"/>
  <c r="B596" i="61"/>
  <c r="E595" i="61"/>
  <c r="D595" i="61"/>
  <c r="C595" i="61"/>
  <c r="B595" i="61"/>
  <c r="E594" i="61"/>
  <c r="D594" i="61"/>
  <c r="C594" i="61"/>
  <c r="B594" i="61"/>
  <c r="I593" i="61"/>
  <c r="H593" i="61"/>
  <c r="G593" i="61"/>
  <c r="E593" i="61"/>
  <c r="D593" i="61"/>
  <c r="C593" i="61"/>
  <c r="B593" i="61"/>
  <c r="A593" i="61"/>
  <c r="E592" i="61"/>
  <c r="D592" i="61"/>
  <c r="C592" i="61"/>
  <c r="B592" i="61"/>
  <c r="E591" i="61"/>
  <c r="D591" i="61"/>
  <c r="C591" i="61"/>
  <c r="B591" i="61"/>
  <c r="E590" i="61"/>
  <c r="D590" i="61"/>
  <c r="C590" i="61"/>
  <c r="B590" i="61"/>
  <c r="I589" i="61"/>
  <c r="H589" i="61"/>
  <c r="G589" i="61"/>
  <c r="E589" i="61"/>
  <c r="D589" i="61"/>
  <c r="C589" i="61"/>
  <c r="B589" i="61"/>
  <c r="A589" i="61"/>
  <c r="E588" i="61"/>
  <c r="D588" i="61"/>
  <c r="C588" i="61"/>
  <c r="B588" i="61"/>
  <c r="E587" i="61"/>
  <c r="D587" i="61"/>
  <c r="C587" i="61"/>
  <c r="B587" i="61"/>
  <c r="E586" i="61"/>
  <c r="D586" i="61"/>
  <c r="C586" i="61"/>
  <c r="B586" i="61"/>
  <c r="I585" i="61"/>
  <c r="H585" i="61"/>
  <c r="G585" i="61"/>
  <c r="E585" i="61"/>
  <c r="D585" i="61"/>
  <c r="C585" i="61"/>
  <c r="B585" i="61"/>
  <c r="A585" i="61"/>
  <c r="E584" i="61"/>
  <c r="D584" i="61"/>
  <c r="C584" i="61"/>
  <c r="B584" i="61"/>
  <c r="E583" i="61"/>
  <c r="D583" i="61"/>
  <c r="C583" i="61"/>
  <c r="B583" i="61"/>
  <c r="E582" i="61"/>
  <c r="D582" i="61"/>
  <c r="C582" i="61"/>
  <c r="B582" i="61"/>
  <c r="I581" i="61"/>
  <c r="H581" i="61"/>
  <c r="G581" i="61"/>
  <c r="E581" i="61"/>
  <c r="D581" i="61"/>
  <c r="C581" i="61"/>
  <c r="B581" i="61"/>
  <c r="A581" i="61"/>
  <c r="E580" i="61"/>
  <c r="D580" i="61"/>
  <c r="C580" i="61"/>
  <c r="B580" i="61"/>
  <c r="E579" i="61"/>
  <c r="D579" i="61"/>
  <c r="C579" i="61"/>
  <c r="B579" i="61"/>
  <c r="E578" i="61"/>
  <c r="D578" i="61"/>
  <c r="C578" i="61"/>
  <c r="B578" i="61"/>
  <c r="I577" i="61"/>
  <c r="H577" i="61"/>
  <c r="G577" i="61"/>
  <c r="E577" i="61"/>
  <c r="D577" i="61"/>
  <c r="C577" i="61"/>
  <c r="B577" i="61"/>
  <c r="A577" i="61"/>
  <c r="E576" i="61"/>
  <c r="D576" i="61"/>
  <c r="C576" i="61"/>
  <c r="B576" i="61"/>
  <c r="E575" i="61"/>
  <c r="D575" i="61"/>
  <c r="C575" i="61"/>
  <c r="B575" i="61"/>
  <c r="E574" i="61"/>
  <c r="D574" i="61"/>
  <c r="C574" i="61"/>
  <c r="B574" i="61"/>
  <c r="I573" i="61"/>
  <c r="H573" i="61"/>
  <c r="G573" i="61"/>
  <c r="E573" i="61"/>
  <c r="D573" i="61"/>
  <c r="C573" i="61"/>
  <c r="B573" i="61"/>
  <c r="A573" i="61"/>
  <c r="E572" i="61"/>
  <c r="D572" i="61"/>
  <c r="C572" i="61"/>
  <c r="B572" i="61"/>
  <c r="E571" i="61"/>
  <c r="D571" i="61"/>
  <c r="C571" i="61"/>
  <c r="B571" i="61"/>
  <c r="E570" i="61"/>
  <c r="D570" i="61"/>
  <c r="C570" i="61"/>
  <c r="B570" i="61"/>
  <c r="I569" i="61"/>
  <c r="H569" i="61"/>
  <c r="G569" i="61"/>
  <c r="E569" i="61"/>
  <c r="D569" i="61"/>
  <c r="C569" i="61"/>
  <c r="B569" i="61"/>
  <c r="A569" i="61"/>
  <c r="E568" i="61"/>
  <c r="D568" i="61"/>
  <c r="C568" i="61"/>
  <c r="B568" i="61"/>
  <c r="E567" i="61"/>
  <c r="D567" i="61"/>
  <c r="C567" i="61"/>
  <c r="B567" i="61"/>
  <c r="E566" i="61"/>
  <c r="D566" i="61"/>
  <c r="C566" i="61"/>
  <c r="B566" i="61"/>
  <c r="I565" i="61"/>
  <c r="H565" i="61"/>
  <c r="G565" i="61"/>
  <c r="E565" i="61"/>
  <c r="D565" i="61"/>
  <c r="C565" i="61"/>
  <c r="B565" i="61"/>
  <c r="A565" i="61"/>
  <c r="E564" i="61"/>
  <c r="D564" i="61"/>
  <c r="C564" i="61"/>
  <c r="B564" i="61"/>
  <c r="E563" i="61"/>
  <c r="D563" i="61"/>
  <c r="C563" i="61"/>
  <c r="B563" i="61"/>
  <c r="E562" i="61"/>
  <c r="D562" i="61"/>
  <c r="C562" i="61"/>
  <c r="B562" i="61"/>
  <c r="I561" i="61"/>
  <c r="H561" i="61"/>
  <c r="G561" i="61"/>
  <c r="E561" i="61"/>
  <c r="D561" i="61"/>
  <c r="C561" i="61"/>
  <c r="B561" i="61"/>
  <c r="A561" i="61"/>
  <c r="E560" i="61"/>
  <c r="D560" i="61"/>
  <c r="C560" i="61"/>
  <c r="B560" i="61"/>
  <c r="E559" i="61"/>
  <c r="D559" i="61"/>
  <c r="C559" i="61"/>
  <c r="B559" i="61"/>
  <c r="E558" i="61"/>
  <c r="D558" i="61"/>
  <c r="C558" i="61"/>
  <c r="B558" i="61"/>
  <c r="I557" i="61"/>
  <c r="H557" i="61"/>
  <c r="G557" i="61"/>
  <c r="E557" i="61"/>
  <c r="D557" i="61"/>
  <c r="C557" i="61"/>
  <c r="B557" i="61"/>
  <c r="A557" i="61"/>
  <c r="E556" i="61"/>
  <c r="D556" i="61"/>
  <c r="C556" i="61"/>
  <c r="B556" i="61"/>
  <c r="E555" i="61"/>
  <c r="D555" i="61"/>
  <c r="C555" i="61"/>
  <c r="B555" i="61"/>
  <c r="E554" i="61"/>
  <c r="D554" i="61"/>
  <c r="C554" i="61"/>
  <c r="B554" i="61"/>
  <c r="I553" i="61"/>
  <c r="H553" i="61"/>
  <c r="G553" i="61"/>
  <c r="E553" i="61"/>
  <c r="D553" i="61"/>
  <c r="C553" i="61"/>
  <c r="B553" i="61"/>
  <c r="A553" i="61"/>
  <c r="E552" i="61"/>
  <c r="D552" i="61"/>
  <c r="C552" i="61"/>
  <c r="B552" i="61"/>
  <c r="E551" i="61"/>
  <c r="D551" i="61"/>
  <c r="C551" i="61"/>
  <c r="B551" i="61"/>
  <c r="E550" i="61"/>
  <c r="D550" i="61"/>
  <c r="C550" i="61"/>
  <c r="B550" i="61"/>
  <c r="I549" i="61"/>
  <c r="H549" i="61"/>
  <c r="G549" i="61"/>
  <c r="E549" i="61"/>
  <c r="D549" i="61"/>
  <c r="C549" i="61"/>
  <c r="B549" i="61"/>
  <c r="A549" i="61"/>
  <c r="E548" i="61"/>
  <c r="D548" i="61"/>
  <c r="C548" i="61"/>
  <c r="B548" i="61"/>
  <c r="E547" i="61"/>
  <c r="D547" i="61"/>
  <c r="C547" i="61"/>
  <c r="B547" i="61"/>
  <c r="E546" i="61"/>
  <c r="D546" i="61"/>
  <c r="C546" i="61"/>
  <c r="B546" i="61"/>
  <c r="I545" i="61"/>
  <c r="H545" i="61"/>
  <c r="G545" i="61"/>
  <c r="E545" i="61"/>
  <c r="D545" i="61"/>
  <c r="C545" i="61"/>
  <c r="B545" i="61"/>
  <c r="A545" i="61"/>
  <c r="E544" i="61"/>
  <c r="D544" i="61"/>
  <c r="C544" i="61"/>
  <c r="B544" i="61"/>
  <c r="E543" i="61"/>
  <c r="D543" i="61"/>
  <c r="C543" i="61"/>
  <c r="B543" i="61"/>
  <c r="E542" i="61"/>
  <c r="D542" i="61"/>
  <c r="C542" i="61"/>
  <c r="B542" i="61"/>
  <c r="I541" i="61"/>
  <c r="H541" i="61"/>
  <c r="G541" i="61"/>
  <c r="E541" i="61"/>
  <c r="D541" i="61"/>
  <c r="C541" i="61"/>
  <c r="B541" i="61"/>
  <c r="A541" i="61"/>
  <c r="E540" i="61"/>
  <c r="D540" i="61"/>
  <c r="C540" i="61"/>
  <c r="B540" i="61"/>
  <c r="E539" i="61"/>
  <c r="D539" i="61"/>
  <c r="C539" i="61"/>
  <c r="B539" i="61"/>
  <c r="E538" i="61"/>
  <c r="D538" i="61"/>
  <c r="C538" i="61"/>
  <c r="B538" i="61"/>
  <c r="I537" i="61"/>
  <c r="H537" i="61"/>
  <c r="G537" i="61"/>
  <c r="E537" i="61"/>
  <c r="D537" i="61"/>
  <c r="C537" i="61"/>
  <c r="B537" i="61"/>
  <c r="A537" i="61"/>
  <c r="E536" i="61"/>
  <c r="D536" i="61"/>
  <c r="C536" i="61"/>
  <c r="B536" i="61"/>
  <c r="E535" i="61"/>
  <c r="D535" i="61"/>
  <c r="C535" i="61"/>
  <c r="B535" i="61"/>
  <c r="E534" i="61"/>
  <c r="D534" i="61"/>
  <c r="C534" i="61"/>
  <c r="B534" i="61"/>
  <c r="I533" i="61"/>
  <c r="H533" i="61"/>
  <c r="G533" i="61"/>
  <c r="E533" i="61"/>
  <c r="D533" i="61"/>
  <c r="C533" i="61"/>
  <c r="B533" i="61"/>
  <c r="A533" i="61"/>
  <c r="E532" i="61"/>
  <c r="D532" i="61"/>
  <c r="C532" i="61"/>
  <c r="B532" i="61"/>
  <c r="E531" i="61"/>
  <c r="D531" i="61"/>
  <c r="C531" i="61"/>
  <c r="B531" i="61"/>
  <c r="E530" i="61"/>
  <c r="D530" i="61"/>
  <c r="C530" i="61"/>
  <c r="B530" i="61"/>
  <c r="I529" i="61"/>
  <c r="H529" i="61"/>
  <c r="G529" i="61"/>
  <c r="E529" i="61"/>
  <c r="D529" i="61"/>
  <c r="C529" i="61"/>
  <c r="B529" i="61"/>
  <c r="A529" i="61"/>
  <c r="E528" i="61"/>
  <c r="D528" i="61"/>
  <c r="C528" i="61"/>
  <c r="B528" i="61"/>
  <c r="E527" i="61"/>
  <c r="D527" i="61"/>
  <c r="C527" i="61"/>
  <c r="B527" i="61"/>
  <c r="E526" i="61"/>
  <c r="D526" i="61"/>
  <c r="C526" i="61"/>
  <c r="B526" i="61"/>
  <c r="I525" i="61"/>
  <c r="H525" i="61"/>
  <c r="G525" i="61"/>
  <c r="E525" i="61"/>
  <c r="D525" i="61"/>
  <c r="C525" i="61"/>
  <c r="B525" i="61"/>
  <c r="A525" i="61"/>
  <c r="E524" i="61"/>
  <c r="D524" i="61"/>
  <c r="C524" i="61"/>
  <c r="B524" i="61"/>
  <c r="E523" i="61"/>
  <c r="D523" i="61"/>
  <c r="C523" i="61"/>
  <c r="B523" i="61"/>
  <c r="E522" i="61"/>
  <c r="D522" i="61"/>
  <c r="C522" i="61"/>
  <c r="B522" i="61"/>
  <c r="I521" i="61"/>
  <c r="H521" i="61"/>
  <c r="G521" i="61"/>
  <c r="E521" i="61"/>
  <c r="D521" i="61"/>
  <c r="C521" i="61"/>
  <c r="B521" i="61"/>
  <c r="A521" i="61"/>
  <c r="E520" i="61"/>
  <c r="D520" i="61"/>
  <c r="C520" i="61"/>
  <c r="B520" i="61"/>
  <c r="E519" i="61"/>
  <c r="D519" i="61"/>
  <c r="C519" i="61"/>
  <c r="B519" i="61"/>
  <c r="E518" i="61"/>
  <c r="D518" i="61"/>
  <c r="C518" i="61"/>
  <c r="B518" i="61"/>
  <c r="I517" i="61"/>
  <c r="H517" i="61"/>
  <c r="G517" i="61"/>
  <c r="E517" i="61"/>
  <c r="D517" i="61"/>
  <c r="C517" i="61"/>
  <c r="B517" i="61"/>
  <c r="A517" i="61"/>
  <c r="A65" i="61"/>
  <c r="A61" i="61"/>
  <c r="A57" i="61"/>
  <c r="A53" i="61"/>
  <c r="A49" i="61"/>
  <c r="A45" i="61"/>
  <c r="A41" i="61"/>
  <c r="A37" i="61"/>
  <c r="A33" i="61"/>
  <c r="A29" i="61"/>
  <c r="A25" i="61"/>
  <c r="A21" i="61"/>
  <c r="A17" i="61"/>
  <c r="A13" i="61"/>
  <c r="A9" i="61"/>
  <c r="A5" i="61"/>
  <c r="A2" i="61"/>
  <c r="G1" i="61"/>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4" i="57"/>
  <c r="D33" i="57"/>
  <c r="D32" i="57"/>
  <c r="D31" i="57"/>
  <c r="D30" i="57"/>
  <c r="D29" i="57"/>
  <c r="D28" i="57"/>
  <c r="D27" i="57"/>
  <c r="D26" i="57"/>
  <c r="D25" i="57"/>
  <c r="D24" i="57"/>
  <c r="D23" i="57"/>
  <c r="D22" i="57"/>
  <c r="D21" i="57"/>
  <c r="D20" i="57"/>
  <c r="D18" i="57"/>
  <c r="D17" i="57"/>
  <c r="D16" i="57"/>
  <c r="D15" i="57"/>
  <c r="D14" i="57"/>
  <c r="D13" i="57"/>
  <c r="D12" i="57"/>
  <c r="D10" i="57"/>
  <c r="D9" i="57"/>
  <c r="D8" i="57"/>
  <c r="D6" i="57"/>
  <c r="L1" i="57"/>
  <c r="AA76" i="56"/>
  <c r="AA75" i="56"/>
  <c r="AA74" i="56"/>
  <c r="AA73" i="56"/>
  <c r="AA72" i="56"/>
  <c r="AA71" i="56"/>
  <c r="AA70" i="56"/>
  <c r="AA69" i="56"/>
  <c r="AA68" i="56"/>
  <c r="AA67" i="56"/>
  <c r="AA66" i="56"/>
  <c r="AA65" i="56"/>
  <c r="AA64" i="56"/>
  <c r="AA63" i="56"/>
  <c r="AA62" i="56"/>
  <c r="AA61" i="56"/>
  <c r="AA60" i="56"/>
  <c r="AA59" i="56"/>
  <c r="AA58" i="56"/>
  <c r="AA57" i="56"/>
  <c r="AA56" i="56"/>
  <c r="AA55" i="56"/>
  <c r="AA54" i="56"/>
  <c r="AA53" i="56"/>
  <c r="AA52" i="56"/>
  <c r="AA51" i="56"/>
  <c r="AA50" i="56"/>
  <c r="AA49" i="56"/>
  <c r="AA48" i="56"/>
  <c r="AA47" i="56"/>
  <c r="AA44" i="56"/>
  <c r="AA43" i="56"/>
  <c r="AA42" i="56"/>
  <c r="AA41" i="56"/>
  <c r="AA40" i="56"/>
  <c r="AA39" i="56"/>
  <c r="AA38" i="56"/>
  <c r="AA37" i="56"/>
  <c r="AA36" i="56"/>
  <c r="AA35" i="56"/>
  <c r="AA34" i="56"/>
  <c r="AA33" i="56"/>
  <c r="AA32" i="56"/>
  <c r="AA31" i="56"/>
  <c r="AA30" i="56"/>
  <c r="AA29" i="56"/>
  <c r="AA28" i="56"/>
  <c r="AA27" i="56"/>
  <c r="AA26" i="56"/>
  <c r="AA25" i="56"/>
  <c r="AA22" i="56"/>
  <c r="AA21" i="56"/>
  <c r="AA20" i="56"/>
  <c r="AA19" i="56"/>
  <c r="AA18" i="56"/>
  <c r="AA17" i="56"/>
  <c r="AA16" i="56"/>
  <c r="AA15" i="56"/>
  <c r="AA14" i="56"/>
  <c r="AA13" i="56"/>
  <c r="AA12" i="56"/>
  <c r="AA11" i="56"/>
  <c r="AA8" i="56"/>
  <c r="AA7" i="56"/>
  <c r="AA6" i="56"/>
  <c r="AA5" i="56"/>
  <c r="AA4" i="56"/>
  <c r="AA3" i="56"/>
  <c r="I121" i="55"/>
  <c r="H121" i="55"/>
  <c r="F121" i="55"/>
  <c r="G121" i="55" s="1"/>
  <c r="I120" i="55"/>
  <c r="H120" i="55"/>
  <c r="F120" i="55"/>
  <c r="G120" i="55" s="1"/>
  <c r="I119" i="55"/>
  <c r="H119" i="55"/>
  <c r="F119" i="55"/>
  <c r="G119" i="55" s="1"/>
  <c r="I118" i="55"/>
  <c r="H118" i="55"/>
  <c r="F118" i="55"/>
  <c r="G118" i="55" s="1"/>
  <c r="I117" i="55"/>
  <c r="H117" i="55"/>
  <c r="F117" i="55"/>
  <c r="G117" i="55" s="1"/>
  <c r="I116" i="55"/>
  <c r="H116" i="55"/>
  <c r="F116" i="55"/>
  <c r="G116" i="55" s="1"/>
  <c r="I115" i="55"/>
  <c r="H115" i="55"/>
  <c r="F115" i="55"/>
  <c r="G115" i="55" s="1"/>
  <c r="I114" i="55"/>
  <c r="H114" i="55"/>
  <c r="F114" i="55"/>
  <c r="G114" i="55" s="1"/>
  <c r="I113" i="55"/>
  <c r="H113" i="55"/>
  <c r="F113" i="55"/>
  <c r="G113" i="55" s="1"/>
  <c r="I112" i="55"/>
  <c r="H112" i="55"/>
  <c r="F112" i="55"/>
  <c r="G112" i="55" s="1"/>
  <c r="I111" i="55"/>
  <c r="H111" i="55"/>
  <c r="F111" i="55"/>
  <c r="G111" i="55" s="1"/>
  <c r="I110" i="55"/>
  <c r="H110" i="55"/>
  <c r="F110" i="55"/>
  <c r="G110" i="55" s="1"/>
  <c r="I109" i="55"/>
  <c r="H109" i="55"/>
  <c r="F109" i="55"/>
  <c r="G109" i="55" s="1"/>
  <c r="I108" i="55"/>
  <c r="H108" i="55"/>
  <c r="F108" i="55"/>
  <c r="G108" i="55" s="1"/>
  <c r="I107" i="55"/>
  <c r="H107" i="55"/>
  <c r="F107" i="55"/>
  <c r="G107" i="55" s="1"/>
  <c r="I106" i="55"/>
  <c r="H106" i="55"/>
  <c r="F106" i="55"/>
  <c r="G106" i="55" s="1"/>
  <c r="I105" i="55"/>
  <c r="H105" i="55"/>
  <c r="F105" i="55"/>
  <c r="G105" i="55" s="1"/>
  <c r="I104" i="55"/>
  <c r="H104" i="55"/>
  <c r="F104" i="55"/>
  <c r="G104" i="55" s="1"/>
  <c r="I103" i="55"/>
  <c r="H103" i="55"/>
  <c r="F103" i="55"/>
  <c r="G103" i="55" s="1"/>
  <c r="I102" i="55"/>
  <c r="H102" i="55"/>
  <c r="F102" i="55"/>
  <c r="G102" i="55" s="1"/>
  <c r="I101" i="55"/>
  <c r="H101" i="55"/>
  <c r="F101" i="55"/>
  <c r="G101" i="55" s="1"/>
  <c r="I100" i="55"/>
  <c r="H100" i="55"/>
  <c r="F100" i="55"/>
  <c r="G100" i="55" s="1"/>
  <c r="I99" i="55"/>
  <c r="H99" i="55"/>
  <c r="F99" i="55"/>
  <c r="G99" i="55" s="1"/>
  <c r="I98" i="55"/>
  <c r="H98" i="55"/>
  <c r="F98" i="55"/>
  <c r="G98" i="55" s="1"/>
  <c r="I97" i="55"/>
  <c r="H97" i="55"/>
  <c r="F97" i="55"/>
  <c r="G97" i="55" s="1"/>
  <c r="I96" i="55"/>
  <c r="H96" i="55"/>
  <c r="F96" i="55"/>
  <c r="G96" i="55" s="1"/>
  <c r="I95" i="55"/>
  <c r="H95" i="55"/>
  <c r="F95" i="55"/>
  <c r="G95" i="55" s="1"/>
  <c r="I94" i="55"/>
  <c r="H94" i="55"/>
  <c r="F94" i="55"/>
  <c r="G94" i="55" s="1"/>
  <c r="I93" i="55"/>
  <c r="G93" i="55"/>
  <c r="F93" i="55"/>
  <c r="H93" i="55" s="1"/>
  <c r="I92" i="55"/>
  <c r="G92" i="55"/>
  <c r="F92" i="55"/>
  <c r="H92" i="55" s="1"/>
  <c r="I91" i="55"/>
  <c r="G91" i="55"/>
  <c r="F91" i="55"/>
  <c r="H91" i="55" s="1"/>
  <c r="I90" i="55"/>
  <c r="G90" i="55"/>
  <c r="F90" i="55"/>
  <c r="H90" i="55" s="1"/>
  <c r="I89" i="55"/>
  <c r="G89" i="55"/>
  <c r="F89" i="55"/>
  <c r="H89" i="55" s="1"/>
  <c r="I88" i="55"/>
  <c r="G88" i="55"/>
  <c r="F88" i="55"/>
  <c r="H88" i="55" s="1"/>
  <c r="I87" i="55"/>
  <c r="G87" i="55"/>
  <c r="F87" i="55"/>
  <c r="H87" i="55" s="1"/>
  <c r="I86" i="55"/>
  <c r="G86" i="55"/>
  <c r="F86" i="55"/>
  <c r="H86" i="55" s="1"/>
  <c r="I85" i="55"/>
  <c r="G85" i="55"/>
  <c r="F85" i="55"/>
  <c r="H85" i="55" s="1"/>
  <c r="I84" i="55"/>
  <c r="G84" i="55"/>
  <c r="F84" i="55"/>
  <c r="H84" i="55" s="1"/>
  <c r="I83" i="55"/>
  <c r="G83" i="55"/>
  <c r="F83" i="55"/>
  <c r="H83" i="55" s="1"/>
  <c r="I82" i="55"/>
  <c r="G82" i="55"/>
  <c r="F82" i="55"/>
  <c r="H82" i="55" s="1"/>
  <c r="I81" i="55"/>
  <c r="H81" i="55"/>
  <c r="G81" i="55"/>
  <c r="F81" i="55"/>
  <c r="I80" i="55"/>
  <c r="H80" i="55"/>
  <c r="G80" i="55"/>
  <c r="F80" i="55"/>
  <c r="I79" i="55"/>
  <c r="H79" i="55"/>
  <c r="G79" i="55"/>
  <c r="F79" i="55"/>
  <c r="I78" i="55"/>
  <c r="H78" i="55"/>
  <c r="G78" i="55"/>
  <c r="F78" i="55"/>
  <c r="I77" i="55"/>
  <c r="H77" i="55"/>
  <c r="G77" i="55"/>
  <c r="F77" i="55"/>
  <c r="I76" i="55"/>
  <c r="H76" i="55"/>
  <c r="G76" i="55"/>
  <c r="F76" i="55"/>
  <c r="I75" i="55"/>
  <c r="H75" i="55"/>
  <c r="G75" i="55"/>
  <c r="F75" i="55"/>
  <c r="I74" i="55"/>
  <c r="H74" i="55"/>
  <c r="G74" i="55"/>
  <c r="F74" i="55"/>
  <c r="I73" i="55"/>
  <c r="H73" i="55"/>
  <c r="G73" i="55"/>
  <c r="F73" i="55"/>
  <c r="I72" i="55"/>
  <c r="H72" i="55"/>
  <c r="G72" i="55"/>
  <c r="F72" i="55"/>
  <c r="I71" i="55"/>
  <c r="H71" i="55"/>
  <c r="G71" i="55"/>
  <c r="F71" i="55"/>
  <c r="I70" i="55"/>
  <c r="H70" i="55"/>
  <c r="G70" i="55"/>
  <c r="F70" i="55"/>
  <c r="I69" i="55"/>
  <c r="H69" i="55"/>
  <c r="G69" i="55"/>
  <c r="F69" i="55"/>
  <c r="I68" i="55"/>
  <c r="H68" i="55"/>
  <c r="G68" i="55"/>
  <c r="F68" i="55"/>
  <c r="I67" i="55"/>
  <c r="H67" i="55"/>
  <c r="G67" i="55"/>
  <c r="F67" i="55"/>
  <c r="I66" i="55"/>
  <c r="H66" i="55"/>
  <c r="G66" i="55"/>
  <c r="F66" i="55"/>
  <c r="I65" i="55"/>
  <c r="H65" i="55"/>
  <c r="G65" i="55"/>
  <c r="F65" i="55"/>
  <c r="I64" i="55"/>
  <c r="H64" i="55"/>
  <c r="G64" i="55"/>
  <c r="F64" i="55"/>
  <c r="I63" i="55"/>
  <c r="H63" i="55"/>
  <c r="G63" i="55"/>
  <c r="F63" i="55"/>
  <c r="I62" i="55"/>
  <c r="H62" i="55"/>
  <c r="G62" i="55"/>
  <c r="F62" i="55"/>
  <c r="I61" i="55"/>
  <c r="H61" i="55"/>
  <c r="G61" i="55"/>
  <c r="F61" i="55"/>
  <c r="I60" i="55"/>
  <c r="H60" i="55"/>
  <c r="G60" i="55"/>
  <c r="F60" i="55"/>
  <c r="I59" i="55"/>
  <c r="H59" i="55"/>
  <c r="G59" i="55"/>
  <c r="F59" i="55"/>
  <c r="I58" i="55"/>
  <c r="H58" i="55"/>
  <c r="G58" i="55"/>
  <c r="F58" i="55"/>
  <c r="I57" i="55"/>
  <c r="H57" i="55"/>
  <c r="G57" i="55"/>
  <c r="F57" i="55"/>
  <c r="I56" i="55"/>
  <c r="H56" i="55"/>
  <c r="G56" i="55"/>
  <c r="F56" i="55"/>
  <c r="I55" i="55"/>
  <c r="H55" i="55"/>
  <c r="G55" i="55"/>
  <c r="F55" i="55"/>
  <c r="I54" i="55"/>
  <c r="H54" i="55"/>
  <c r="G54" i="55"/>
  <c r="F54" i="55"/>
  <c r="I53" i="55"/>
  <c r="H53" i="55"/>
  <c r="G53" i="55"/>
  <c r="F53" i="55"/>
  <c r="I52" i="55"/>
  <c r="H52" i="55"/>
  <c r="G52" i="55"/>
  <c r="F52" i="55"/>
  <c r="I51" i="55"/>
  <c r="H51" i="55"/>
  <c r="G51" i="55"/>
  <c r="F51" i="55"/>
  <c r="I50" i="55"/>
  <c r="H50" i="55"/>
  <c r="G50" i="55"/>
  <c r="F50" i="55"/>
  <c r="I49" i="55"/>
  <c r="H49" i="55"/>
  <c r="G49" i="55"/>
  <c r="F49" i="55"/>
  <c r="I48" i="55"/>
  <c r="H48" i="55"/>
  <c r="G48" i="55"/>
  <c r="F48" i="55"/>
  <c r="I47" i="55"/>
  <c r="H47" i="55"/>
  <c r="G47" i="55"/>
  <c r="F47" i="55"/>
  <c r="I46" i="55"/>
  <c r="H46" i="55"/>
  <c r="G46" i="55"/>
  <c r="F46" i="55"/>
  <c r="I45" i="55"/>
  <c r="H45" i="55"/>
  <c r="G45" i="55"/>
  <c r="F45" i="55"/>
  <c r="I44" i="55"/>
  <c r="H44" i="55"/>
  <c r="G44" i="55"/>
  <c r="F44" i="55"/>
  <c r="I43" i="55"/>
  <c r="H43" i="55"/>
  <c r="G43" i="55"/>
  <c r="F43" i="55"/>
  <c r="I42" i="55"/>
  <c r="H42" i="55"/>
  <c r="G42" i="55"/>
  <c r="F42" i="55"/>
  <c r="I41" i="55"/>
  <c r="H41" i="55"/>
  <c r="G41" i="55"/>
  <c r="F41" i="55"/>
  <c r="I40" i="55"/>
  <c r="H40" i="55"/>
  <c r="G40" i="55"/>
  <c r="F40" i="55"/>
  <c r="I39" i="55"/>
  <c r="H39" i="55"/>
  <c r="G39" i="55"/>
  <c r="F39" i="55"/>
  <c r="I38" i="55"/>
  <c r="H38" i="55"/>
  <c r="G38" i="55"/>
  <c r="F38" i="55"/>
  <c r="I37" i="55"/>
  <c r="H37" i="55"/>
  <c r="G37" i="55"/>
  <c r="F37" i="55"/>
  <c r="I36" i="55"/>
  <c r="H36" i="55"/>
  <c r="G36" i="55"/>
  <c r="F36" i="55"/>
  <c r="I35" i="55"/>
  <c r="H35" i="55"/>
  <c r="G35" i="55"/>
  <c r="F35" i="55"/>
  <c r="I34" i="55"/>
  <c r="H34" i="55"/>
  <c r="G34" i="55"/>
  <c r="F34" i="55"/>
  <c r="I33" i="55"/>
  <c r="H33" i="55"/>
  <c r="G33" i="55"/>
  <c r="F33" i="55"/>
  <c r="I32" i="55"/>
  <c r="H32" i="55"/>
  <c r="G32" i="55"/>
  <c r="F32" i="55"/>
  <c r="I31" i="55"/>
  <c r="H31" i="55"/>
  <c r="G31" i="55"/>
  <c r="F31" i="55"/>
  <c r="I30" i="55"/>
  <c r="H30" i="55"/>
  <c r="G30" i="55"/>
  <c r="F30" i="55"/>
  <c r="I29" i="55"/>
  <c r="H29" i="55"/>
  <c r="G29" i="55"/>
  <c r="F29" i="55"/>
  <c r="I28" i="55"/>
  <c r="H28" i="55"/>
  <c r="G28" i="55"/>
  <c r="F28" i="55"/>
  <c r="I27" i="55"/>
  <c r="H27" i="55"/>
  <c r="G27" i="55"/>
  <c r="F27" i="55"/>
  <c r="I26" i="55"/>
  <c r="H26" i="55"/>
  <c r="G26" i="55"/>
  <c r="F26" i="55"/>
  <c r="I25" i="55"/>
  <c r="H25" i="55"/>
  <c r="G25" i="55"/>
  <c r="F25" i="55"/>
  <c r="I24" i="55"/>
  <c r="H24" i="55"/>
  <c r="G24" i="55"/>
  <c r="F24" i="55"/>
  <c r="I23" i="55"/>
  <c r="H23" i="55"/>
  <c r="G23" i="55"/>
  <c r="F23" i="55"/>
  <c r="I22" i="55"/>
  <c r="H22" i="55"/>
  <c r="G22" i="55"/>
  <c r="F22" i="55"/>
  <c r="I21" i="55"/>
  <c r="H21" i="55"/>
  <c r="G21" i="55"/>
  <c r="F21" i="55"/>
  <c r="I20" i="55"/>
  <c r="H20" i="55"/>
  <c r="G20" i="55"/>
  <c r="F20" i="55"/>
  <c r="I19" i="55"/>
  <c r="H19" i="55"/>
  <c r="G19" i="55"/>
  <c r="F19" i="55"/>
  <c r="I18" i="55"/>
  <c r="H18" i="55"/>
  <c r="G18" i="55"/>
  <c r="F18" i="55"/>
  <c r="I17" i="55"/>
  <c r="H17" i="55"/>
  <c r="G17" i="55"/>
  <c r="F17" i="55"/>
  <c r="I16" i="55"/>
  <c r="H16" i="55"/>
  <c r="G16" i="55"/>
  <c r="F16" i="55"/>
  <c r="I15" i="55"/>
  <c r="H15" i="55"/>
  <c r="G15" i="55"/>
  <c r="F15" i="55"/>
  <c r="I14" i="55"/>
  <c r="H14" i="55"/>
  <c r="G14" i="55"/>
  <c r="F14" i="55"/>
  <c r="I13" i="55"/>
  <c r="H13" i="55"/>
  <c r="G13" i="55"/>
  <c r="F13" i="55"/>
  <c r="I12" i="55"/>
  <c r="H12" i="55"/>
  <c r="G12" i="55"/>
  <c r="F12" i="55"/>
  <c r="I11" i="55"/>
  <c r="H11" i="55"/>
  <c r="G11" i="55"/>
  <c r="F11" i="55"/>
  <c r="I10" i="55"/>
  <c r="H10" i="55"/>
  <c r="G10" i="55"/>
  <c r="F10" i="55"/>
  <c r="I9" i="55"/>
  <c r="H9" i="55"/>
  <c r="G9" i="55"/>
  <c r="F9" i="55"/>
  <c r="I8" i="55"/>
  <c r="H8" i="55"/>
  <c r="G8" i="55"/>
  <c r="F8" i="55"/>
  <c r="I7" i="55"/>
  <c r="H7" i="55"/>
  <c r="G7" i="55"/>
  <c r="F7" i="55"/>
  <c r="I6" i="55"/>
  <c r="H6" i="55"/>
  <c r="G6" i="55"/>
  <c r="F6" i="55"/>
  <c r="I5" i="55"/>
  <c r="H5" i="55"/>
  <c r="G5" i="55"/>
  <c r="F5" i="55"/>
  <c r="O1" i="54"/>
  <c r="L13" i="51"/>
  <c r="L12" i="51"/>
  <c r="L7" i="51"/>
  <c r="L6" i="51"/>
  <c r="P35" i="49"/>
  <c r="P34" i="49"/>
  <c r="P27" i="49"/>
  <c r="P26" i="49"/>
  <c r="P19" i="49"/>
  <c r="P18" i="49"/>
  <c r="P11" i="49"/>
  <c r="P10" i="49"/>
  <c r="C34" i="48"/>
  <c r="F66" i="47"/>
  <c r="C66" i="47"/>
  <c r="C62" i="47"/>
  <c r="F58" i="47"/>
  <c r="C58" i="47"/>
  <c r="C54" i="47"/>
  <c r="C50" i="47"/>
  <c r="C46" i="47"/>
  <c r="F50" i="47" s="1"/>
  <c r="F42" i="47"/>
  <c r="C42" i="47"/>
  <c r="C38" i="47"/>
  <c r="C34" i="47"/>
  <c r="C30" i="47"/>
  <c r="F34" i="47" s="1"/>
  <c r="F26" i="47"/>
  <c r="C26" i="47"/>
  <c r="C22" i="47"/>
  <c r="F18" i="47"/>
  <c r="C18" i="47"/>
  <c r="C14" i="47"/>
  <c r="C10" i="47"/>
  <c r="C6" i="47"/>
  <c r="F10" i="47" s="1"/>
  <c r="F130" i="46"/>
  <c r="C130" i="46"/>
  <c r="C126" i="46"/>
  <c r="F122" i="46"/>
  <c r="C122" i="46"/>
  <c r="C118" i="46"/>
  <c r="C114" i="46"/>
  <c r="C110" i="46"/>
  <c r="F114" i="46" s="1"/>
  <c r="AB107" i="46"/>
  <c r="AB106" i="46"/>
  <c r="C106" i="46"/>
  <c r="C102" i="46"/>
  <c r="F106" i="46" s="1"/>
  <c r="C98" i="46"/>
  <c r="C94" i="46"/>
  <c r="F98" i="46" s="1"/>
  <c r="F90" i="46"/>
  <c r="C90" i="46"/>
  <c r="C86" i="46"/>
  <c r="C82" i="46"/>
  <c r="F82" i="46" s="1"/>
  <c r="C78" i="46"/>
  <c r="C74" i="46"/>
  <c r="C70" i="46"/>
  <c r="AB67" i="46"/>
  <c r="AB66" i="46"/>
  <c r="F66" i="46"/>
  <c r="C66" i="46"/>
  <c r="C62" i="46"/>
  <c r="C58" i="46"/>
  <c r="C54" i="46"/>
  <c r="F58" i="46" s="1"/>
  <c r="C50" i="46"/>
  <c r="C46" i="46"/>
  <c r="F50" i="46" s="1"/>
  <c r="F42" i="46"/>
  <c r="C42" i="46"/>
  <c r="C38" i="46"/>
  <c r="F34" i="46"/>
  <c r="C34" i="46"/>
  <c r="C30" i="46"/>
  <c r="C26" i="46"/>
  <c r="C22" i="46"/>
  <c r="F26" i="46" s="1"/>
  <c r="C18" i="46"/>
  <c r="C14" i="46"/>
  <c r="F18" i="46" s="1"/>
  <c r="F10" i="46"/>
  <c r="C10" i="46"/>
  <c r="C6" i="46"/>
  <c r="C42" i="45"/>
  <c r="E41" i="45"/>
  <c r="C41" i="45"/>
  <c r="C40" i="45"/>
  <c r="E39" i="45"/>
  <c r="C39" i="45"/>
  <c r="C38" i="45"/>
  <c r="E37" i="45"/>
  <c r="C37" i="45"/>
  <c r="C36" i="45"/>
  <c r="E35" i="45"/>
  <c r="C35" i="45"/>
  <c r="C34" i="45"/>
  <c r="E33" i="45"/>
  <c r="C33" i="45"/>
  <c r="C32" i="45"/>
  <c r="E31" i="45"/>
  <c r="C31" i="45"/>
  <c r="C30" i="45"/>
  <c r="E29" i="45"/>
  <c r="C29" i="45"/>
  <c r="C28" i="45"/>
  <c r="E27" i="45"/>
  <c r="C27" i="45"/>
  <c r="C26" i="45"/>
  <c r="E25" i="45"/>
  <c r="C25" i="45"/>
  <c r="C24" i="45"/>
  <c r="E23" i="45"/>
  <c r="C23" i="45"/>
  <c r="C22" i="45"/>
  <c r="E21" i="45"/>
  <c r="C21" i="45"/>
  <c r="C20" i="45"/>
  <c r="E19" i="45"/>
  <c r="C19" i="45"/>
  <c r="C18" i="45"/>
  <c r="E17" i="45"/>
  <c r="C17" i="45"/>
  <c r="C16" i="45"/>
  <c r="E15" i="45"/>
  <c r="C15" i="45"/>
  <c r="C14" i="45"/>
  <c r="E13" i="45"/>
  <c r="C13" i="45"/>
  <c r="C12" i="45"/>
  <c r="E11" i="45"/>
  <c r="C11" i="45"/>
  <c r="E8" i="45"/>
  <c r="E42" i="45" s="1"/>
  <c r="H2" i="44"/>
  <c r="A54" i="42"/>
  <c r="A53" i="42"/>
  <c r="A52" i="42"/>
  <c r="A51" i="42"/>
  <c r="A50" i="42"/>
  <c r="A49" i="42"/>
  <c r="A45" i="42"/>
  <c r="A44" i="42"/>
  <c r="A43" i="42"/>
  <c r="A42" i="42"/>
  <c r="A41" i="42"/>
  <c r="A40" i="42"/>
  <c r="A36" i="42"/>
  <c r="A35" i="42"/>
  <c r="A34" i="42"/>
  <c r="A33" i="42"/>
  <c r="A32" i="42"/>
  <c r="A31" i="42"/>
  <c r="A27" i="42"/>
  <c r="A26" i="42"/>
  <c r="A25" i="42"/>
  <c r="A24" i="42"/>
  <c r="A23" i="42"/>
  <c r="A22" i="42"/>
  <c r="C17" i="42"/>
  <c r="C130" i="43" s="1"/>
  <c r="C16" i="42"/>
  <c r="C129" i="43" s="1"/>
  <c r="C15" i="42"/>
  <c r="C128" i="43" s="1"/>
  <c r="C14" i="42"/>
  <c r="C127" i="43" s="1"/>
  <c r="BS11" i="42"/>
  <c r="BR11" i="42"/>
  <c r="BQ11" i="42"/>
  <c r="BP11" i="42"/>
  <c r="BO11" i="42"/>
  <c r="BN11" i="42"/>
  <c r="BT11" i="42" s="1"/>
  <c r="BK11" i="42"/>
  <c r="BJ11" i="42"/>
  <c r="BI11" i="42"/>
  <c r="BH11" i="42"/>
  <c r="BG11" i="42"/>
  <c r="AP11" i="42" s="1"/>
  <c r="BF11" i="42"/>
  <c r="BL11" i="42" s="1"/>
  <c r="BC11" i="42"/>
  <c r="BB11" i="42"/>
  <c r="BA11" i="42"/>
  <c r="AZ11" i="42"/>
  <c r="AY11" i="42"/>
  <c r="AX11" i="42"/>
  <c r="BD11" i="42" s="1"/>
  <c r="AQ11" i="42"/>
  <c r="AE11" i="42"/>
  <c r="AD11" i="42"/>
  <c r="BR10" i="42"/>
  <c r="BQ10" i="42"/>
  <c r="BP10" i="42"/>
  <c r="BO10" i="42"/>
  <c r="BN10" i="42"/>
  <c r="BJ10" i="42"/>
  <c r="BI10" i="42"/>
  <c r="BH10" i="42"/>
  <c r="BG10" i="42"/>
  <c r="BF10" i="42"/>
  <c r="BB10" i="42"/>
  <c r="BA10" i="42"/>
  <c r="AZ10" i="42"/>
  <c r="AY10" i="42"/>
  <c r="AX10" i="42"/>
  <c r="AA10" i="42"/>
  <c r="BK10" i="42" s="1"/>
  <c r="Z10" i="42"/>
  <c r="BS10" i="42" s="1"/>
  <c r="AQ10" i="42" s="1"/>
  <c r="BR9" i="42"/>
  <c r="BQ9" i="42"/>
  <c r="BP9" i="42"/>
  <c r="BO9" i="42"/>
  <c r="BN9" i="42"/>
  <c r="BI9" i="42"/>
  <c r="BH9" i="42"/>
  <c r="BG9" i="42"/>
  <c r="BF9" i="42"/>
  <c r="BA9" i="42"/>
  <c r="AZ9" i="42"/>
  <c r="AY9" i="42"/>
  <c r="AX9" i="42"/>
  <c r="AA9" i="42"/>
  <c r="BC9" i="42" s="1"/>
  <c r="Z9" i="42"/>
  <c r="BS9" i="42" s="1"/>
  <c r="AQ9" i="42" s="1"/>
  <c r="W9" i="42"/>
  <c r="AD9" i="42" s="1"/>
  <c r="V9" i="42"/>
  <c r="BJ9" i="42" s="1"/>
  <c r="BP8" i="42"/>
  <c r="BO8" i="42"/>
  <c r="BN8" i="42"/>
  <c r="BH8" i="42"/>
  <c r="BG8" i="42"/>
  <c r="BF8" i="42"/>
  <c r="AZ8" i="42"/>
  <c r="AY8" i="42"/>
  <c r="AX8" i="42"/>
  <c r="AA8" i="42"/>
  <c r="BK8" i="42" s="1"/>
  <c r="Z8" i="42"/>
  <c r="BS8" i="42" s="1"/>
  <c r="W8" i="42"/>
  <c r="BB8" i="42" s="1"/>
  <c r="V8" i="42"/>
  <c r="BJ8" i="42" s="1"/>
  <c r="S8" i="42"/>
  <c r="R8" i="42"/>
  <c r="BA8" i="42" s="1"/>
  <c r="BR7" i="42"/>
  <c r="BQ7" i="42"/>
  <c r="BP7" i="42"/>
  <c r="BO7" i="42"/>
  <c r="BN7" i="42"/>
  <c r="BG7" i="42"/>
  <c r="BF7" i="42"/>
  <c r="AY7" i="42"/>
  <c r="AX7" i="42"/>
  <c r="AA7" i="42"/>
  <c r="BC7" i="42" s="1"/>
  <c r="Z7" i="42"/>
  <c r="BS7" i="42" s="1"/>
  <c r="AQ7" i="42" s="1"/>
  <c r="W7" i="42"/>
  <c r="BB7" i="42" s="1"/>
  <c r="V7" i="42"/>
  <c r="BJ7" i="42" s="1"/>
  <c r="S7" i="42"/>
  <c r="BI7" i="42" s="1"/>
  <c r="R7" i="42"/>
  <c r="BA7" i="42" s="1"/>
  <c r="O7" i="42"/>
  <c r="BH7" i="42" s="1"/>
  <c r="N7" i="42"/>
  <c r="BN6" i="42"/>
  <c r="BF6" i="42"/>
  <c r="AX6" i="42"/>
  <c r="AA6" i="42"/>
  <c r="Z6" i="42"/>
  <c r="BK6" i="42" s="1"/>
  <c r="W6" i="42"/>
  <c r="V6" i="42"/>
  <c r="BB6" i="42" s="1"/>
  <c r="S6" i="42"/>
  <c r="R6" i="42"/>
  <c r="BA6" i="42" s="1"/>
  <c r="O6" i="42"/>
  <c r="N6" i="42"/>
  <c r="BP6" i="42" s="1"/>
  <c r="K6" i="42"/>
  <c r="J6" i="42"/>
  <c r="BG6" i="42" s="1"/>
  <c r="A54" i="41"/>
  <c r="A53" i="41"/>
  <c r="A52" i="41"/>
  <c r="A51" i="41"/>
  <c r="A50" i="41"/>
  <c r="A49" i="41"/>
  <c r="A45" i="41"/>
  <c r="A44" i="41"/>
  <c r="A43" i="41"/>
  <c r="A42" i="41"/>
  <c r="A41" i="41"/>
  <c r="A40" i="41"/>
  <c r="A36" i="41"/>
  <c r="A35" i="41"/>
  <c r="A34" i="41"/>
  <c r="A33" i="41"/>
  <c r="A32" i="41"/>
  <c r="A31" i="41"/>
  <c r="A27" i="41"/>
  <c r="A26" i="41"/>
  <c r="A25" i="41"/>
  <c r="A24" i="41"/>
  <c r="A23" i="41"/>
  <c r="A22" i="41"/>
  <c r="C17" i="41"/>
  <c r="C126" i="43" s="1"/>
  <c r="C16" i="41"/>
  <c r="C125" i="43" s="1"/>
  <c r="C15" i="41"/>
  <c r="C124" i="43" s="1"/>
  <c r="C14" i="41"/>
  <c r="C123" i="43" s="1"/>
  <c r="BS11" i="41"/>
  <c r="BR11" i="41"/>
  <c r="BQ11" i="41"/>
  <c r="BP11" i="41"/>
  <c r="BO11" i="41"/>
  <c r="BN11" i="41"/>
  <c r="BT11" i="41" s="1"/>
  <c r="BK11" i="41"/>
  <c r="BJ11" i="41"/>
  <c r="BI11" i="41"/>
  <c r="BH11" i="41"/>
  <c r="BG11" i="41"/>
  <c r="AP11" i="41" s="1"/>
  <c r="BF11" i="41"/>
  <c r="BL11" i="41" s="1"/>
  <c r="BC11" i="41"/>
  <c r="BB11" i="41"/>
  <c r="BA11" i="41"/>
  <c r="AZ11" i="41"/>
  <c r="BD11" i="41" s="1"/>
  <c r="AY11" i="41"/>
  <c r="AX11" i="41"/>
  <c r="AE11" i="41"/>
  <c r="AD11" i="41"/>
  <c r="BR10" i="41"/>
  <c r="BQ10" i="41"/>
  <c r="BP10" i="41"/>
  <c r="BO10" i="41"/>
  <c r="BN10" i="41"/>
  <c r="BJ10" i="41"/>
  <c r="BI10" i="41"/>
  <c r="BH10" i="41"/>
  <c r="BG10" i="41"/>
  <c r="BF10" i="41"/>
  <c r="BB10" i="41"/>
  <c r="BA10" i="41"/>
  <c r="AZ10" i="41"/>
  <c r="AY10" i="41"/>
  <c r="AX10" i="41"/>
  <c r="AD10" i="41"/>
  <c r="AA10" i="41"/>
  <c r="BC10" i="41" s="1"/>
  <c r="Z10" i="41"/>
  <c r="BS10" i="41" s="1"/>
  <c r="AQ10" i="41" s="1"/>
  <c r="BR9" i="41"/>
  <c r="BQ9" i="41"/>
  <c r="BP9" i="41"/>
  <c r="BO9" i="41"/>
  <c r="BN9" i="41"/>
  <c r="BI9" i="41"/>
  <c r="BH9" i="41"/>
  <c r="BG9" i="41"/>
  <c r="AP9" i="41" s="1"/>
  <c r="BF9" i="41"/>
  <c r="BA9" i="41"/>
  <c r="AZ9" i="41"/>
  <c r="AY9" i="41"/>
  <c r="AX9" i="41"/>
  <c r="AA9" i="41"/>
  <c r="BK9" i="41" s="1"/>
  <c r="Z9" i="41"/>
  <c r="BS9" i="41" s="1"/>
  <c r="W9" i="41"/>
  <c r="BB9" i="41" s="1"/>
  <c r="V9" i="41"/>
  <c r="BJ9" i="41" s="1"/>
  <c r="BP8" i="41"/>
  <c r="BO8" i="41"/>
  <c r="BN8" i="41"/>
  <c r="BH8" i="41"/>
  <c r="BG8" i="41"/>
  <c r="BF8" i="41"/>
  <c r="AZ8" i="41"/>
  <c r="AY8" i="41"/>
  <c r="AX8" i="41"/>
  <c r="AD8" i="41"/>
  <c r="AA8" i="41"/>
  <c r="BC8" i="41" s="1"/>
  <c r="Z8" i="41"/>
  <c r="BS8" i="41" s="1"/>
  <c r="W8" i="41"/>
  <c r="BB8" i="41" s="1"/>
  <c r="V8" i="41"/>
  <c r="BJ8" i="41" s="1"/>
  <c r="S8" i="41"/>
  <c r="R8" i="41"/>
  <c r="BA8" i="41" s="1"/>
  <c r="BR7" i="41"/>
  <c r="BQ7" i="41"/>
  <c r="BP7" i="41"/>
  <c r="BO7" i="41"/>
  <c r="BN7" i="41"/>
  <c r="BG7" i="41"/>
  <c r="BF7" i="41"/>
  <c r="AZ7" i="41"/>
  <c r="AY7" i="41"/>
  <c r="AX7" i="41"/>
  <c r="AA7" i="41"/>
  <c r="BK7" i="41" s="1"/>
  <c r="Z7" i="41"/>
  <c r="BS7" i="41" s="1"/>
  <c r="W7" i="41"/>
  <c r="BB7" i="41" s="1"/>
  <c r="V7" i="41"/>
  <c r="BJ7" i="41" s="1"/>
  <c r="S7" i="41"/>
  <c r="BI7" i="41" s="1"/>
  <c r="R7" i="41"/>
  <c r="BA7" i="41" s="1"/>
  <c r="O7" i="41"/>
  <c r="BH7" i="41" s="1"/>
  <c r="N7" i="41"/>
  <c r="BN6" i="41"/>
  <c r="BF6" i="41"/>
  <c r="AX6" i="41"/>
  <c r="AA6" i="41"/>
  <c r="BC6" i="41" s="1"/>
  <c r="Z6" i="41"/>
  <c r="BS6" i="41" s="1"/>
  <c r="W6" i="41"/>
  <c r="BB6" i="41" s="1"/>
  <c r="V6" i="41"/>
  <c r="BJ6" i="41" s="1"/>
  <c r="S6" i="41"/>
  <c r="R6" i="41"/>
  <c r="BA6" i="41" s="1"/>
  <c r="O6" i="41"/>
  <c r="BH6" i="41" s="1"/>
  <c r="N6" i="41"/>
  <c r="AZ6" i="41" s="1"/>
  <c r="K6" i="41"/>
  <c r="AY6" i="41" s="1"/>
  <c r="J6" i="41"/>
  <c r="BO6" i="41" s="1"/>
  <c r="A54" i="40"/>
  <c r="A53" i="40"/>
  <c r="A52" i="40"/>
  <c r="A51" i="40"/>
  <c r="A50" i="40"/>
  <c r="A49" i="40"/>
  <c r="A45" i="40"/>
  <c r="A44" i="40"/>
  <c r="A43" i="40"/>
  <c r="A42" i="40"/>
  <c r="A41" i="40"/>
  <c r="A40" i="40"/>
  <c r="A36" i="40"/>
  <c r="A35" i="40"/>
  <c r="A34" i="40"/>
  <c r="A33" i="40"/>
  <c r="A32" i="40"/>
  <c r="A31" i="40"/>
  <c r="A27" i="40"/>
  <c r="A26" i="40"/>
  <c r="A25" i="40"/>
  <c r="A24" i="40"/>
  <c r="A23" i="40"/>
  <c r="A22" i="40"/>
  <c r="C17" i="40"/>
  <c r="C122" i="43" s="1"/>
  <c r="C16" i="40"/>
  <c r="C121" i="43" s="1"/>
  <c r="C15" i="40"/>
  <c r="C120" i="43" s="1"/>
  <c r="C14" i="40"/>
  <c r="C119" i="43" s="1"/>
  <c r="BS11" i="40"/>
  <c r="BR11" i="40"/>
  <c r="BQ11" i="40"/>
  <c r="BP11" i="40"/>
  <c r="BT11" i="40" s="1"/>
  <c r="BO11" i="40"/>
  <c r="BN11" i="40"/>
  <c r="BK11" i="40"/>
  <c r="BJ11" i="40"/>
  <c r="BI11" i="40"/>
  <c r="BH11" i="40"/>
  <c r="BG11" i="40"/>
  <c r="AP11" i="40" s="1"/>
  <c r="BF11" i="40"/>
  <c r="BL11" i="40" s="1"/>
  <c r="BC11" i="40"/>
  <c r="BB11" i="40"/>
  <c r="BA11" i="40"/>
  <c r="AZ11" i="40"/>
  <c r="AY11" i="40"/>
  <c r="AX11" i="40"/>
  <c r="BD11" i="40" s="1"/>
  <c r="AQ11" i="40"/>
  <c r="AD11" i="40"/>
  <c r="BR10" i="40"/>
  <c r="BQ10" i="40"/>
  <c r="BP10" i="40"/>
  <c r="BO10" i="40"/>
  <c r="BN10" i="40"/>
  <c r="BJ10" i="40"/>
  <c r="BI10" i="40"/>
  <c r="BH10" i="40"/>
  <c r="BG10" i="40"/>
  <c r="BF10" i="40"/>
  <c r="BB10" i="40"/>
  <c r="BA10" i="40"/>
  <c r="AZ10" i="40"/>
  <c r="AY10" i="40"/>
  <c r="AX10" i="40"/>
  <c r="AA10" i="40"/>
  <c r="Z10" i="40"/>
  <c r="BK10" i="40" s="1"/>
  <c r="AP10" i="40" s="1"/>
  <c r="BQ9" i="40"/>
  <c r="BP9" i="40"/>
  <c r="BO9" i="40"/>
  <c r="BN9" i="40"/>
  <c r="BI9" i="40"/>
  <c r="BH9" i="40"/>
  <c r="BG9" i="40"/>
  <c r="BF9" i="40"/>
  <c r="BA9" i="40"/>
  <c r="AZ9" i="40"/>
  <c r="AY9" i="40"/>
  <c r="AX9" i="40"/>
  <c r="AA9" i="40"/>
  <c r="BC9" i="40" s="1"/>
  <c r="Z9" i="40"/>
  <c r="BS9" i="40" s="1"/>
  <c r="W9" i="40"/>
  <c r="AD9" i="40" s="1"/>
  <c r="V9" i="40"/>
  <c r="BJ9" i="40" s="1"/>
  <c r="BP8" i="40"/>
  <c r="BO8" i="40"/>
  <c r="BN8" i="40"/>
  <c r="BH8" i="40"/>
  <c r="BG8" i="40"/>
  <c r="BF8" i="40"/>
  <c r="AZ8" i="40"/>
  <c r="AY8" i="40"/>
  <c r="AX8" i="40"/>
  <c r="AA8" i="40"/>
  <c r="Z8" i="40"/>
  <c r="BK8" i="40" s="1"/>
  <c r="W8" i="40"/>
  <c r="V8" i="40"/>
  <c r="BB8" i="40" s="1"/>
  <c r="S8" i="40"/>
  <c r="R8" i="40"/>
  <c r="BA8" i="40" s="1"/>
  <c r="BQ7" i="40"/>
  <c r="BP7" i="40"/>
  <c r="BO7" i="40"/>
  <c r="BN7" i="40"/>
  <c r="BG7" i="40"/>
  <c r="BF7" i="40"/>
  <c r="AY7" i="40"/>
  <c r="AX7" i="40"/>
  <c r="AA7" i="40"/>
  <c r="BC7" i="40" s="1"/>
  <c r="Z7" i="40"/>
  <c r="BS7" i="40" s="1"/>
  <c r="W7" i="40"/>
  <c r="BB7" i="40" s="1"/>
  <c r="V7" i="40"/>
  <c r="BJ7" i="40" s="1"/>
  <c r="S7" i="40"/>
  <c r="R7" i="40"/>
  <c r="BA7" i="40" s="1"/>
  <c r="O7" i="40"/>
  <c r="BH7" i="40" s="1"/>
  <c r="N7" i="40"/>
  <c r="AZ7" i="40" s="1"/>
  <c r="BN6" i="40"/>
  <c r="BF6" i="40"/>
  <c r="AX6" i="40"/>
  <c r="AA6" i="40"/>
  <c r="Z6" i="40"/>
  <c r="BK6" i="40" s="1"/>
  <c r="W6" i="40"/>
  <c r="V6" i="40"/>
  <c r="BB6" i="40" s="1"/>
  <c r="S6" i="40"/>
  <c r="R6" i="40"/>
  <c r="BA6" i="40" s="1"/>
  <c r="O6" i="40"/>
  <c r="N6" i="40"/>
  <c r="BP6" i="40" s="1"/>
  <c r="K6" i="40"/>
  <c r="J6" i="40"/>
  <c r="BG6" i="40" s="1"/>
  <c r="A54" i="39"/>
  <c r="A53" i="39"/>
  <c r="A52" i="39"/>
  <c r="A51" i="39"/>
  <c r="A50" i="39"/>
  <c r="A49" i="39"/>
  <c r="A45" i="39"/>
  <c r="A44" i="39"/>
  <c r="A43" i="39"/>
  <c r="A42" i="39"/>
  <c r="A41" i="39"/>
  <c r="A40" i="39"/>
  <c r="A36" i="39"/>
  <c r="A35" i="39"/>
  <c r="A34" i="39"/>
  <c r="A33" i="39"/>
  <c r="A32" i="39"/>
  <c r="A31" i="39"/>
  <c r="A27" i="39"/>
  <c r="A26" i="39"/>
  <c r="A25" i="39"/>
  <c r="A24" i="39"/>
  <c r="A23" i="39"/>
  <c r="A22" i="39"/>
  <c r="C17" i="39"/>
  <c r="C118" i="43" s="1"/>
  <c r="C16" i="39"/>
  <c r="C117" i="43" s="1"/>
  <c r="C15" i="39"/>
  <c r="C116" i="43" s="1"/>
  <c r="C14" i="39"/>
  <c r="C115" i="43" s="1"/>
  <c r="BS11" i="39"/>
  <c r="BR11" i="39"/>
  <c r="BQ11" i="39"/>
  <c r="BP11" i="39"/>
  <c r="BT11" i="39" s="1"/>
  <c r="BO11" i="39"/>
  <c r="BN11" i="39"/>
  <c r="BK11" i="39"/>
  <c r="BJ11" i="39"/>
  <c r="BI11" i="39"/>
  <c r="BH11" i="39"/>
  <c r="BG11" i="39"/>
  <c r="AP11" i="39" s="1"/>
  <c r="BF11" i="39"/>
  <c r="BL11" i="39" s="1"/>
  <c r="BC11" i="39"/>
  <c r="BB11" i="39"/>
  <c r="BA11" i="39"/>
  <c r="AZ11" i="39"/>
  <c r="AY11" i="39"/>
  <c r="AX11" i="39"/>
  <c r="BD11" i="39" s="1"/>
  <c r="AQ11" i="39"/>
  <c r="AD11" i="39"/>
  <c r="BR10" i="39"/>
  <c r="BQ10" i="39"/>
  <c r="BP10" i="39"/>
  <c r="BO10" i="39"/>
  <c r="BN10" i="39"/>
  <c r="BJ10" i="39"/>
  <c r="BI10" i="39"/>
  <c r="BH10" i="39"/>
  <c r="BG10" i="39"/>
  <c r="BF10" i="39"/>
  <c r="BB10" i="39"/>
  <c r="BA10" i="39"/>
  <c r="AZ10" i="39"/>
  <c r="AY10" i="39"/>
  <c r="AX10" i="39"/>
  <c r="BD10" i="39" s="1"/>
  <c r="AA10" i="39"/>
  <c r="Z10" i="39"/>
  <c r="BC10" i="39" s="1"/>
  <c r="BQ9" i="39"/>
  <c r="BP9" i="39"/>
  <c r="BO9" i="39"/>
  <c r="BN9" i="39"/>
  <c r="BI9" i="39"/>
  <c r="BH9" i="39"/>
  <c r="BG9" i="39"/>
  <c r="BF9" i="39"/>
  <c r="BA9" i="39"/>
  <c r="AZ9" i="39"/>
  <c r="AY9" i="39"/>
  <c r="AX9" i="39"/>
  <c r="AA9" i="39"/>
  <c r="BC9" i="39" s="1"/>
  <c r="Z9" i="39"/>
  <c r="BS9" i="39" s="1"/>
  <c r="W9" i="39"/>
  <c r="AD9" i="39" s="1"/>
  <c r="V9" i="39"/>
  <c r="BR9" i="39" s="1"/>
  <c r="BP8" i="39"/>
  <c r="BO8" i="39"/>
  <c r="BN8" i="39"/>
  <c r="BH8" i="39"/>
  <c r="BG8" i="39"/>
  <c r="BF8" i="39"/>
  <c r="AZ8" i="39"/>
  <c r="AY8" i="39"/>
  <c r="AX8" i="39"/>
  <c r="AA8" i="39"/>
  <c r="Z8" i="39"/>
  <c r="BC8" i="39" s="1"/>
  <c r="W8" i="39"/>
  <c r="V8" i="39"/>
  <c r="BB8" i="39" s="1"/>
  <c r="S8" i="39"/>
  <c r="R8" i="39"/>
  <c r="BQ8" i="39" s="1"/>
  <c r="BQ7" i="39"/>
  <c r="BP7" i="39"/>
  <c r="BO7" i="39"/>
  <c r="BN7" i="39"/>
  <c r="BG7" i="39"/>
  <c r="BF7" i="39"/>
  <c r="AY7" i="39"/>
  <c r="AX7" i="39"/>
  <c r="AA7" i="39"/>
  <c r="BC7" i="39" s="1"/>
  <c r="Z7" i="39"/>
  <c r="BS7" i="39" s="1"/>
  <c r="W7" i="39"/>
  <c r="BB7" i="39" s="1"/>
  <c r="V7" i="39"/>
  <c r="BR7" i="39" s="1"/>
  <c r="AQ7" i="39" s="1"/>
  <c r="S7" i="39"/>
  <c r="R7" i="39"/>
  <c r="BI7" i="39" s="1"/>
  <c r="O7" i="39"/>
  <c r="BH7" i="39" s="1"/>
  <c r="N7" i="39"/>
  <c r="AZ7" i="39" s="1"/>
  <c r="BN6" i="39"/>
  <c r="BF6" i="39"/>
  <c r="AX6" i="39"/>
  <c r="AA6" i="39"/>
  <c r="Z6" i="39"/>
  <c r="BC6" i="39" s="1"/>
  <c r="W6" i="39"/>
  <c r="V6" i="39"/>
  <c r="BB6" i="39" s="1"/>
  <c r="S6" i="39"/>
  <c r="R6" i="39"/>
  <c r="BQ6" i="39" s="1"/>
  <c r="O6" i="39"/>
  <c r="N6" i="39"/>
  <c r="BH6" i="39" s="1"/>
  <c r="K6" i="39"/>
  <c r="J6" i="39"/>
  <c r="AY6" i="39" s="1"/>
  <c r="A54" i="38"/>
  <c r="A53" i="38"/>
  <c r="A52" i="38"/>
  <c r="A51" i="38"/>
  <c r="A50" i="38"/>
  <c r="A49" i="38"/>
  <c r="A45" i="38"/>
  <c r="A44" i="38"/>
  <c r="A43" i="38"/>
  <c r="A42" i="38"/>
  <c r="A41" i="38"/>
  <c r="A40" i="38"/>
  <c r="A36" i="38"/>
  <c r="A35" i="38"/>
  <c r="A34" i="38"/>
  <c r="A33" i="38"/>
  <c r="A32" i="38"/>
  <c r="A31" i="38"/>
  <c r="A27" i="38"/>
  <c r="A26" i="38"/>
  <c r="A25" i="38"/>
  <c r="A24" i="38"/>
  <c r="A23" i="38"/>
  <c r="A22" i="38"/>
  <c r="C17" i="38"/>
  <c r="C114" i="43" s="1"/>
  <c r="C16" i="38"/>
  <c r="C113" i="43" s="1"/>
  <c r="C15" i="38"/>
  <c r="C112" i="43" s="1"/>
  <c r="C14" i="38"/>
  <c r="C111" i="43" s="1"/>
  <c r="BS11" i="38"/>
  <c r="BR11" i="38"/>
  <c r="BQ11" i="38"/>
  <c r="BP11" i="38"/>
  <c r="BO11" i="38"/>
  <c r="BN11" i="38"/>
  <c r="BT11" i="38" s="1"/>
  <c r="BK11" i="38"/>
  <c r="BJ11" i="38"/>
  <c r="BI11" i="38"/>
  <c r="BH11" i="38"/>
  <c r="BG11" i="38"/>
  <c r="AP11" i="38" s="1"/>
  <c r="BF11" i="38"/>
  <c r="BL11" i="38" s="1"/>
  <c r="BC11" i="38"/>
  <c r="BB11" i="38"/>
  <c r="BA11" i="38"/>
  <c r="AZ11" i="38"/>
  <c r="AY11" i="38"/>
  <c r="AX11" i="38"/>
  <c r="BD11" i="38" s="1"/>
  <c r="AQ11" i="38"/>
  <c r="AE11" i="38"/>
  <c r="AE27" i="38" s="1"/>
  <c r="AD27" i="38" s="1"/>
  <c r="AD11" i="38"/>
  <c r="BR10" i="38"/>
  <c r="BQ10" i="38"/>
  <c r="BP10" i="38"/>
  <c r="BO10" i="38"/>
  <c r="BN10" i="38"/>
  <c r="BJ10" i="38"/>
  <c r="BI10" i="38"/>
  <c r="BH10" i="38"/>
  <c r="BG10" i="38"/>
  <c r="BF10" i="38"/>
  <c r="BB10" i="38"/>
  <c r="BA10" i="38"/>
  <c r="AZ10" i="38"/>
  <c r="AY10" i="38"/>
  <c r="AX10" i="38"/>
  <c r="AA10" i="38"/>
  <c r="AD10" i="38" s="1"/>
  <c r="Z10" i="38"/>
  <c r="BC10" i="38" s="1"/>
  <c r="BR9" i="38"/>
  <c r="BQ9" i="38"/>
  <c r="BP9" i="38"/>
  <c r="BO9" i="38"/>
  <c r="BN9" i="38"/>
  <c r="BI9" i="38"/>
  <c r="BH9" i="38"/>
  <c r="BG9" i="38"/>
  <c r="BF9" i="38"/>
  <c r="BA9" i="38"/>
  <c r="AZ9" i="38"/>
  <c r="AY9" i="38"/>
  <c r="AX9" i="38"/>
  <c r="AA9" i="38"/>
  <c r="BC9" i="38" s="1"/>
  <c r="Z9" i="38"/>
  <c r="BS9" i="38" s="1"/>
  <c r="AQ9" i="38" s="1"/>
  <c r="W9" i="38"/>
  <c r="AD9" i="38" s="1"/>
  <c r="V9" i="38"/>
  <c r="BJ9" i="38" s="1"/>
  <c r="BP8" i="38"/>
  <c r="BO8" i="38"/>
  <c r="BN8" i="38"/>
  <c r="BH8" i="38"/>
  <c r="BG8" i="38"/>
  <c r="BF8" i="38"/>
  <c r="AZ8" i="38"/>
  <c r="AY8" i="38"/>
  <c r="AX8" i="38"/>
  <c r="AA8" i="38"/>
  <c r="BK8" i="38" s="1"/>
  <c r="Z8" i="38"/>
  <c r="BC8" i="38" s="1"/>
  <c r="W8" i="38"/>
  <c r="BB8" i="38" s="1"/>
  <c r="V8" i="38"/>
  <c r="BR8" i="38" s="1"/>
  <c r="S8" i="38"/>
  <c r="R8" i="38"/>
  <c r="BI8" i="38" s="1"/>
  <c r="BR7" i="38"/>
  <c r="BQ7" i="38"/>
  <c r="BP7" i="38"/>
  <c r="BT7" i="38" s="1"/>
  <c r="BO7" i="38"/>
  <c r="BN7" i="38"/>
  <c r="BG7" i="38"/>
  <c r="BF7" i="38"/>
  <c r="AY7" i="38"/>
  <c r="AX7" i="38"/>
  <c r="AD7" i="38"/>
  <c r="AA7" i="38"/>
  <c r="BC7" i="38" s="1"/>
  <c r="Z7" i="38"/>
  <c r="BS7" i="38" s="1"/>
  <c r="AQ7" i="38" s="1"/>
  <c r="W7" i="38"/>
  <c r="BB7" i="38" s="1"/>
  <c r="V7" i="38"/>
  <c r="BJ7" i="38" s="1"/>
  <c r="S7" i="38"/>
  <c r="BI7" i="38" s="1"/>
  <c r="R7" i="38"/>
  <c r="BA7" i="38" s="1"/>
  <c r="O7" i="38"/>
  <c r="AZ7" i="38" s="1"/>
  <c r="N7" i="38"/>
  <c r="BP6" i="38"/>
  <c r="BN6" i="38"/>
  <c r="BF6" i="38"/>
  <c r="AX6" i="38"/>
  <c r="AA6" i="38"/>
  <c r="BK6" i="38" s="1"/>
  <c r="Z6" i="38"/>
  <c r="BC6" i="38" s="1"/>
  <c r="W6" i="38"/>
  <c r="BB6" i="38" s="1"/>
  <c r="V6" i="38"/>
  <c r="BR6" i="38" s="1"/>
  <c r="S6" i="38"/>
  <c r="R6" i="38"/>
  <c r="BI6" i="38" s="1"/>
  <c r="O6" i="38"/>
  <c r="N6" i="38"/>
  <c r="AZ6" i="38" s="1"/>
  <c r="K6" i="38"/>
  <c r="BG6" i="38" s="1"/>
  <c r="J6" i="38"/>
  <c r="AY6" i="38" s="1"/>
  <c r="A54" i="37"/>
  <c r="A53" i="37"/>
  <c r="A52" i="37"/>
  <c r="A51" i="37"/>
  <c r="A50" i="37"/>
  <c r="A49" i="37"/>
  <c r="A45" i="37"/>
  <c r="A44" i="37"/>
  <c r="A43" i="37"/>
  <c r="A42" i="37"/>
  <c r="A41" i="37"/>
  <c r="A40" i="37"/>
  <c r="A36" i="37"/>
  <c r="A35" i="37"/>
  <c r="A34" i="37"/>
  <c r="A33" i="37"/>
  <c r="A32" i="37"/>
  <c r="A31" i="37"/>
  <c r="A27" i="37"/>
  <c r="A26" i="37"/>
  <c r="A25" i="37"/>
  <c r="A24" i="37"/>
  <c r="A23" i="37"/>
  <c r="A22" i="37"/>
  <c r="C17" i="37"/>
  <c r="C110" i="43" s="1"/>
  <c r="C16" i="37"/>
  <c r="C109" i="43" s="1"/>
  <c r="C15" i="37"/>
  <c r="C108" i="43" s="1"/>
  <c r="C14" i="37"/>
  <c r="C107" i="43" s="1"/>
  <c r="BS11" i="37"/>
  <c r="BR11" i="37"/>
  <c r="BQ11" i="37"/>
  <c r="BP11" i="37"/>
  <c r="BO11" i="37"/>
  <c r="BN11" i="37"/>
  <c r="BT11" i="37" s="1"/>
  <c r="BK11" i="37"/>
  <c r="BJ11" i="37"/>
  <c r="BI11" i="37"/>
  <c r="BH11" i="37"/>
  <c r="BG11" i="37"/>
  <c r="AP11" i="37" s="1"/>
  <c r="BF11" i="37"/>
  <c r="BC11" i="37"/>
  <c r="BB11" i="37"/>
  <c r="BA11" i="37"/>
  <c r="AZ11" i="37"/>
  <c r="AY11" i="37"/>
  <c r="AX11" i="37"/>
  <c r="BD11" i="37" s="1"/>
  <c r="AQ11" i="37"/>
  <c r="AE11" i="37"/>
  <c r="AE45" i="37" s="1"/>
  <c r="AD45" i="37" s="1"/>
  <c r="AD11" i="37"/>
  <c r="BR10" i="37"/>
  <c r="BQ10" i="37"/>
  <c r="BP10" i="37"/>
  <c r="BO10" i="37"/>
  <c r="BN10" i="37"/>
  <c r="BJ10" i="37"/>
  <c r="BI10" i="37"/>
  <c r="BH10" i="37"/>
  <c r="BG10" i="37"/>
  <c r="BF10" i="37"/>
  <c r="BB10" i="37"/>
  <c r="BA10" i="37"/>
  <c r="AZ10" i="37"/>
  <c r="AY10" i="37"/>
  <c r="AX10" i="37"/>
  <c r="AD10" i="37"/>
  <c r="AA10" i="37"/>
  <c r="Z10" i="37"/>
  <c r="BS10" i="37" s="1"/>
  <c r="AQ10" i="37" s="1"/>
  <c r="BR9" i="37"/>
  <c r="BQ9" i="37"/>
  <c r="BP9" i="37"/>
  <c r="BO9" i="37"/>
  <c r="BN9" i="37"/>
  <c r="BT9" i="37" s="1"/>
  <c r="BI9" i="37"/>
  <c r="BH9" i="37"/>
  <c r="BG9" i="37"/>
  <c r="AP9" i="37" s="1"/>
  <c r="BF9" i="37"/>
  <c r="BA9" i="37"/>
  <c r="AZ9" i="37"/>
  <c r="AY9" i="37"/>
  <c r="AX9" i="37"/>
  <c r="AA9" i="37"/>
  <c r="BK9" i="37" s="1"/>
  <c r="Z9" i="37"/>
  <c r="BS9" i="37" s="1"/>
  <c r="AQ9" i="37" s="1"/>
  <c r="W9" i="37"/>
  <c r="BB9" i="37" s="1"/>
  <c r="V9" i="37"/>
  <c r="BJ9" i="37" s="1"/>
  <c r="BP8" i="37"/>
  <c r="BO8" i="37"/>
  <c r="BN8" i="37"/>
  <c r="BH8" i="37"/>
  <c r="BG8" i="37"/>
  <c r="BF8" i="37"/>
  <c r="AZ8" i="37"/>
  <c r="AY8" i="37"/>
  <c r="AX8" i="37"/>
  <c r="AD8" i="37"/>
  <c r="AA8" i="37"/>
  <c r="Z8" i="37"/>
  <c r="BS8" i="37" s="1"/>
  <c r="W8" i="37"/>
  <c r="V8" i="37"/>
  <c r="BJ8" i="37" s="1"/>
  <c r="S8" i="37"/>
  <c r="R8" i="37"/>
  <c r="BA8" i="37" s="1"/>
  <c r="BR7" i="37"/>
  <c r="BQ7" i="37"/>
  <c r="BP7" i="37"/>
  <c r="BO7" i="37"/>
  <c r="BN7" i="37"/>
  <c r="BG7" i="37"/>
  <c r="BF7" i="37"/>
  <c r="AY7" i="37"/>
  <c r="AX7" i="37"/>
  <c r="AA7" i="37"/>
  <c r="BK7" i="37" s="1"/>
  <c r="Z7" i="37"/>
  <c r="BS7" i="37" s="1"/>
  <c r="W7" i="37"/>
  <c r="BB7" i="37" s="1"/>
  <c r="V7" i="37"/>
  <c r="BJ7" i="37" s="1"/>
  <c r="S7" i="37"/>
  <c r="BI7" i="37" s="1"/>
  <c r="R7" i="37"/>
  <c r="BA7" i="37" s="1"/>
  <c r="O7" i="37"/>
  <c r="AZ7" i="37" s="1"/>
  <c r="N7" i="37"/>
  <c r="BN6" i="37"/>
  <c r="BF6" i="37"/>
  <c r="AX6" i="37"/>
  <c r="AA6" i="37"/>
  <c r="Z6" i="37"/>
  <c r="BS6" i="37" s="1"/>
  <c r="W6" i="37"/>
  <c r="V6" i="37"/>
  <c r="BJ6" i="37" s="1"/>
  <c r="S6" i="37"/>
  <c r="R6" i="37"/>
  <c r="BA6" i="37" s="1"/>
  <c r="O6" i="37"/>
  <c r="N6" i="37"/>
  <c r="AZ6" i="37" s="1"/>
  <c r="K6" i="37"/>
  <c r="J6" i="37"/>
  <c r="BO6" i="37" s="1"/>
  <c r="A54" i="36"/>
  <c r="A53" i="36"/>
  <c r="A52" i="36"/>
  <c r="A51" i="36"/>
  <c r="A50" i="36"/>
  <c r="A49" i="36"/>
  <c r="A45" i="36"/>
  <c r="A44" i="36"/>
  <c r="A43" i="36"/>
  <c r="A42" i="36"/>
  <c r="A41" i="36"/>
  <c r="A40" i="36"/>
  <c r="A36" i="36"/>
  <c r="A35" i="36"/>
  <c r="A34" i="36"/>
  <c r="A33" i="36"/>
  <c r="A32" i="36"/>
  <c r="A31" i="36"/>
  <c r="A27" i="36"/>
  <c r="A26" i="36"/>
  <c r="A25" i="36"/>
  <c r="A24" i="36"/>
  <c r="A23" i="36"/>
  <c r="A22" i="36"/>
  <c r="C17" i="36"/>
  <c r="C106" i="43" s="1"/>
  <c r="C16" i="36"/>
  <c r="C105" i="43" s="1"/>
  <c r="C15" i="36"/>
  <c r="C104" i="43" s="1"/>
  <c r="C14" i="36"/>
  <c r="C103" i="43" s="1"/>
  <c r="BS11" i="36"/>
  <c r="BR11" i="36"/>
  <c r="BQ11" i="36"/>
  <c r="BP11" i="36"/>
  <c r="BT11" i="36" s="1"/>
  <c r="BO11" i="36"/>
  <c r="BN11" i="36"/>
  <c r="BK11" i="36"/>
  <c r="BJ11" i="36"/>
  <c r="BI11" i="36"/>
  <c r="BH11" i="36"/>
  <c r="BG11" i="36"/>
  <c r="AP11" i="36" s="1"/>
  <c r="BF11" i="36"/>
  <c r="BL11" i="36" s="1"/>
  <c r="BC11" i="36"/>
  <c r="BB11" i="36"/>
  <c r="BA11" i="36"/>
  <c r="AZ11" i="36"/>
  <c r="AY11" i="36"/>
  <c r="AX11" i="36"/>
  <c r="BD11" i="36" s="1"/>
  <c r="AQ11" i="36"/>
  <c r="AE11" i="36"/>
  <c r="AE45" i="36" s="1"/>
  <c r="AD45" i="36" s="1"/>
  <c r="AD11" i="36"/>
  <c r="BR10" i="36"/>
  <c r="BQ10" i="36"/>
  <c r="BP10" i="36"/>
  <c r="BO10" i="36"/>
  <c r="BN10" i="36"/>
  <c r="BJ10" i="36"/>
  <c r="BI10" i="36"/>
  <c r="BH10" i="36"/>
  <c r="BG10" i="36"/>
  <c r="BF10" i="36"/>
  <c r="BB10" i="36"/>
  <c r="BA10" i="36"/>
  <c r="AZ10" i="36"/>
  <c r="AY10" i="36"/>
  <c r="AX10" i="36"/>
  <c r="AA10" i="36"/>
  <c r="Z10" i="36"/>
  <c r="BK10" i="36" s="1"/>
  <c r="AP10" i="36" s="1"/>
  <c r="BQ9" i="36"/>
  <c r="BP9" i="36"/>
  <c r="BO9" i="36"/>
  <c r="BN9" i="36"/>
  <c r="BI9" i="36"/>
  <c r="BH9" i="36"/>
  <c r="BG9" i="36"/>
  <c r="BF9" i="36"/>
  <c r="BA9" i="36"/>
  <c r="AZ9" i="36"/>
  <c r="AY9" i="36"/>
  <c r="AX9" i="36"/>
  <c r="AA9" i="36"/>
  <c r="BC9" i="36" s="1"/>
  <c r="Z9" i="36"/>
  <c r="BS9" i="36" s="1"/>
  <c r="W9" i="36"/>
  <c r="AD9" i="36" s="1"/>
  <c r="V9" i="36"/>
  <c r="BJ9" i="36" s="1"/>
  <c r="BP8" i="36"/>
  <c r="BO8" i="36"/>
  <c r="BN8" i="36"/>
  <c r="BH8" i="36"/>
  <c r="BG8" i="36"/>
  <c r="BF8" i="36"/>
  <c r="AZ8" i="36"/>
  <c r="AY8" i="36"/>
  <c r="AX8" i="36"/>
  <c r="AA8" i="36"/>
  <c r="Z8" i="36"/>
  <c r="W8" i="36"/>
  <c r="V8" i="36"/>
  <c r="S8" i="36"/>
  <c r="R8" i="36"/>
  <c r="BP7" i="36"/>
  <c r="BO7" i="36"/>
  <c r="BN7" i="36"/>
  <c r="BG7" i="36"/>
  <c r="BF7" i="36"/>
  <c r="AY7" i="36"/>
  <c r="AX7" i="36"/>
  <c r="AA7" i="36"/>
  <c r="BC7" i="36" s="1"/>
  <c r="Z7" i="36"/>
  <c r="BS7" i="36" s="1"/>
  <c r="W7" i="36"/>
  <c r="BB7" i="36" s="1"/>
  <c r="V7" i="36"/>
  <c r="S7" i="36"/>
  <c r="R7" i="36"/>
  <c r="BQ7" i="36" s="1"/>
  <c r="O7" i="36"/>
  <c r="N7" i="36"/>
  <c r="BQ6" i="36"/>
  <c r="BP6" i="36"/>
  <c r="BN6" i="36"/>
  <c r="BF6" i="36"/>
  <c r="AX6" i="36"/>
  <c r="AA6" i="36"/>
  <c r="BC6" i="36" s="1"/>
  <c r="Z6" i="36"/>
  <c r="BS6" i="36" s="1"/>
  <c r="W6" i="36"/>
  <c r="BB6" i="36" s="1"/>
  <c r="V6" i="36"/>
  <c r="BR6" i="36" s="1"/>
  <c r="S6" i="36"/>
  <c r="R6" i="36"/>
  <c r="BI6" i="36" s="1"/>
  <c r="O6" i="36"/>
  <c r="BH6" i="36" s="1"/>
  <c r="N6" i="36"/>
  <c r="AZ6" i="36" s="1"/>
  <c r="K6" i="36"/>
  <c r="AY6" i="36" s="1"/>
  <c r="J6" i="36"/>
  <c r="BO6" i="36" s="1"/>
  <c r="A54" i="35"/>
  <c r="A53" i="35"/>
  <c r="A52" i="35"/>
  <c r="A51" i="35"/>
  <c r="A50" i="35"/>
  <c r="A49" i="35"/>
  <c r="A45" i="35"/>
  <c r="A44" i="35"/>
  <c r="A43" i="35"/>
  <c r="A42" i="35"/>
  <c r="A41" i="35"/>
  <c r="A40" i="35"/>
  <c r="A36" i="35"/>
  <c r="A35" i="35"/>
  <c r="A34" i="35"/>
  <c r="A33" i="35"/>
  <c r="A32" i="35"/>
  <c r="A31" i="35"/>
  <c r="A27" i="35"/>
  <c r="A26" i="35"/>
  <c r="A25" i="35"/>
  <c r="A24" i="35"/>
  <c r="A23" i="35"/>
  <c r="A22" i="35"/>
  <c r="C17" i="35"/>
  <c r="C102" i="43" s="1"/>
  <c r="C16" i="35"/>
  <c r="C101" i="43" s="1"/>
  <c r="C15" i="35"/>
  <c r="C100" i="43" s="1"/>
  <c r="C14" i="35"/>
  <c r="C99" i="43" s="1"/>
  <c r="BS11" i="35"/>
  <c r="BR11" i="35"/>
  <c r="BQ11" i="35"/>
  <c r="BP11" i="35"/>
  <c r="BO11" i="35"/>
  <c r="BN11" i="35"/>
  <c r="BT11" i="35" s="1"/>
  <c r="BK11" i="35"/>
  <c r="BJ11" i="35"/>
  <c r="BI11" i="35"/>
  <c r="AP11" i="35" s="1"/>
  <c r="BH11" i="35"/>
  <c r="BG11" i="35"/>
  <c r="BF11" i="35"/>
  <c r="BL11" i="35" s="1"/>
  <c r="BC11" i="35"/>
  <c r="BB11" i="35"/>
  <c r="BA11" i="35"/>
  <c r="AZ11" i="35"/>
  <c r="BD11" i="35" s="1"/>
  <c r="AY11" i="35"/>
  <c r="AX11" i="35"/>
  <c r="AE11" i="35"/>
  <c r="AE45" i="35" s="1"/>
  <c r="AD45" i="35" s="1"/>
  <c r="AD11" i="35"/>
  <c r="BR10" i="35"/>
  <c r="BQ10" i="35"/>
  <c r="BP10" i="35"/>
  <c r="BO10" i="35"/>
  <c r="BN10" i="35"/>
  <c r="BT10" i="35" s="1"/>
  <c r="BJ10" i="35"/>
  <c r="BI10" i="35"/>
  <c r="BH10" i="35"/>
  <c r="BG10" i="35"/>
  <c r="BF10" i="35"/>
  <c r="BC10" i="35"/>
  <c r="BB10" i="35"/>
  <c r="BA10" i="35"/>
  <c r="AZ10" i="35"/>
  <c r="AY10" i="35"/>
  <c r="AE10" i="35" s="1"/>
  <c r="AX10" i="35"/>
  <c r="BD10" i="35" s="1"/>
  <c r="AD10" i="35"/>
  <c r="AA10" i="35"/>
  <c r="Z10" i="35"/>
  <c r="BS10" i="35" s="1"/>
  <c r="BR9" i="35"/>
  <c r="BQ9" i="35"/>
  <c r="BP9" i="35"/>
  <c r="BO9" i="35"/>
  <c r="BN9" i="35"/>
  <c r="BT9" i="35" s="1"/>
  <c r="BI9" i="35"/>
  <c r="BH9" i="35"/>
  <c r="BG9" i="35"/>
  <c r="BF9" i="35"/>
  <c r="BA9" i="35"/>
  <c r="AZ9" i="35"/>
  <c r="AY9" i="35"/>
  <c r="AX9" i="35"/>
  <c r="AA9" i="35"/>
  <c r="BK9" i="35" s="1"/>
  <c r="Z9" i="35"/>
  <c r="BS9" i="35" s="1"/>
  <c r="W9" i="35"/>
  <c r="BB9" i="35" s="1"/>
  <c r="V9" i="35"/>
  <c r="BJ9" i="35" s="1"/>
  <c r="BP8" i="35"/>
  <c r="BO8" i="35"/>
  <c r="BN8" i="35"/>
  <c r="BH8" i="35"/>
  <c r="BG8" i="35"/>
  <c r="BF8" i="35"/>
  <c r="BC8" i="35"/>
  <c r="AZ8" i="35"/>
  <c r="AY8" i="35"/>
  <c r="AX8" i="35"/>
  <c r="AD8" i="35"/>
  <c r="AA8" i="35"/>
  <c r="Z8" i="35"/>
  <c r="BS8" i="35" s="1"/>
  <c r="W8" i="35"/>
  <c r="V8" i="35"/>
  <c r="BJ8" i="35" s="1"/>
  <c r="S8" i="35"/>
  <c r="R8" i="35"/>
  <c r="BA8" i="35" s="1"/>
  <c r="BR7" i="35"/>
  <c r="BO7" i="35"/>
  <c r="BN7" i="35"/>
  <c r="BG7" i="35"/>
  <c r="BF7" i="35"/>
  <c r="AZ7" i="35"/>
  <c r="AY7" i="35"/>
  <c r="AX7" i="35"/>
  <c r="AA7" i="35"/>
  <c r="BK7" i="35" s="1"/>
  <c r="Z7" i="35"/>
  <c r="BS7" i="35" s="1"/>
  <c r="W7" i="35"/>
  <c r="BB7" i="35" s="1"/>
  <c r="V7" i="35"/>
  <c r="BJ7" i="35" s="1"/>
  <c r="S7" i="35"/>
  <c r="BI7" i="35" s="1"/>
  <c r="R7" i="35"/>
  <c r="BA7" i="35" s="1"/>
  <c r="O7" i="35"/>
  <c r="AD7" i="35" s="1"/>
  <c r="N7" i="35"/>
  <c r="BP7" i="35" s="1"/>
  <c r="BN6" i="35"/>
  <c r="BF6" i="35"/>
  <c r="BC6" i="35"/>
  <c r="AX6" i="35"/>
  <c r="AD6" i="35"/>
  <c r="AA6" i="35"/>
  <c r="Z6" i="35"/>
  <c r="BS6" i="35" s="1"/>
  <c r="W6" i="35"/>
  <c r="V6" i="35"/>
  <c r="BJ6" i="35" s="1"/>
  <c r="S6" i="35"/>
  <c r="R6" i="35"/>
  <c r="BA6" i="35" s="1"/>
  <c r="O6" i="35"/>
  <c r="N6" i="35"/>
  <c r="AZ6" i="35" s="1"/>
  <c r="K6" i="35"/>
  <c r="J6" i="35"/>
  <c r="BO6" i="35" s="1"/>
  <c r="A54" i="34"/>
  <c r="A53" i="34"/>
  <c r="A52" i="34"/>
  <c r="A51" i="34"/>
  <c r="A50" i="34"/>
  <c r="A49" i="34"/>
  <c r="A45" i="34"/>
  <c r="A44" i="34"/>
  <c r="A43" i="34"/>
  <c r="A42" i="34"/>
  <c r="A41" i="34"/>
  <c r="A40" i="34"/>
  <c r="A36" i="34"/>
  <c r="A35" i="34"/>
  <c r="A34" i="34"/>
  <c r="A33" i="34"/>
  <c r="A32" i="34"/>
  <c r="A31" i="34"/>
  <c r="A27" i="34"/>
  <c r="A26" i="34"/>
  <c r="A25" i="34"/>
  <c r="A24" i="34"/>
  <c r="A23" i="34"/>
  <c r="A22" i="34"/>
  <c r="C17" i="34"/>
  <c r="C98" i="43" s="1"/>
  <c r="C16" i="34"/>
  <c r="C97" i="43" s="1"/>
  <c r="C15" i="34"/>
  <c r="C96" i="43" s="1"/>
  <c r="C14" i="34"/>
  <c r="C95" i="43" s="1"/>
  <c r="BS11" i="34"/>
  <c r="BR11" i="34"/>
  <c r="BQ11" i="34"/>
  <c r="BP11" i="34"/>
  <c r="BT11" i="34" s="1"/>
  <c r="BO11" i="34"/>
  <c r="BN11" i="34"/>
  <c r="BK11" i="34"/>
  <c r="BJ11" i="34"/>
  <c r="BI11" i="34"/>
  <c r="BH11" i="34"/>
  <c r="BG11" i="34"/>
  <c r="AP11" i="34" s="1"/>
  <c r="BF11" i="34"/>
  <c r="BL11" i="34" s="1"/>
  <c r="BC11" i="34"/>
  <c r="BB11" i="34"/>
  <c r="BA11" i="34"/>
  <c r="AZ11" i="34"/>
  <c r="AY11" i="34"/>
  <c r="AX11" i="34"/>
  <c r="BD11" i="34" s="1"/>
  <c r="AQ11" i="34"/>
  <c r="AD11" i="34"/>
  <c r="BR10" i="34"/>
  <c r="BQ10" i="34"/>
  <c r="BP10" i="34"/>
  <c r="BO10" i="34"/>
  <c r="BN10" i="34"/>
  <c r="BJ10" i="34"/>
  <c r="BI10" i="34"/>
  <c r="BH10" i="34"/>
  <c r="BG10" i="34"/>
  <c r="BF10" i="34"/>
  <c r="BB10" i="34"/>
  <c r="BA10" i="34"/>
  <c r="AZ10" i="34"/>
  <c r="AY10" i="34"/>
  <c r="AX10" i="34"/>
  <c r="AA10" i="34"/>
  <c r="Z10" i="34"/>
  <c r="BK10" i="34" s="1"/>
  <c r="AP10" i="34" s="1"/>
  <c r="BR9" i="34"/>
  <c r="BQ9" i="34"/>
  <c r="BP9" i="34"/>
  <c r="BO9" i="34"/>
  <c r="BN9" i="34"/>
  <c r="BI9" i="34"/>
  <c r="BH9" i="34"/>
  <c r="BG9" i="34"/>
  <c r="BF9" i="34"/>
  <c r="BA9" i="34"/>
  <c r="AZ9" i="34"/>
  <c r="AY9" i="34"/>
  <c r="AX9" i="34"/>
  <c r="AA9" i="34"/>
  <c r="BC9" i="34" s="1"/>
  <c r="Z9" i="34"/>
  <c r="BS9" i="34" s="1"/>
  <c r="AQ9" i="34" s="1"/>
  <c r="W9" i="34"/>
  <c r="AD9" i="34" s="1"/>
  <c r="V9" i="34"/>
  <c r="BJ9" i="34" s="1"/>
  <c r="BP8" i="34"/>
  <c r="BO8" i="34"/>
  <c r="BN8" i="34"/>
  <c r="BH8" i="34"/>
  <c r="BG8" i="34"/>
  <c r="BF8" i="34"/>
  <c r="AZ8" i="34"/>
  <c r="AY8" i="34"/>
  <c r="AX8" i="34"/>
  <c r="AA8" i="34"/>
  <c r="Z8" i="34"/>
  <c r="BK8" i="34" s="1"/>
  <c r="W8" i="34"/>
  <c r="V8" i="34"/>
  <c r="BB8" i="34" s="1"/>
  <c r="S8" i="34"/>
  <c r="R8" i="34"/>
  <c r="BA8" i="34" s="1"/>
  <c r="BQ7" i="34"/>
  <c r="BP7" i="34"/>
  <c r="BO7" i="34"/>
  <c r="BN7" i="34"/>
  <c r="BG7" i="34"/>
  <c r="BF7" i="34"/>
  <c r="AY7" i="34"/>
  <c r="AX7" i="34"/>
  <c r="AA7" i="34"/>
  <c r="BC7" i="34" s="1"/>
  <c r="Z7" i="34"/>
  <c r="BS7" i="34" s="1"/>
  <c r="W7" i="34"/>
  <c r="BB7" i="34" s="1"/>
  <c r="V7" i="34"/>
  <c r="BJ7" i="34" s="1"/>
  <c r="S7" i="34"/>
  <c r="R7" i="34"/>
  <c r="BA7" i="34" s="1"/>
  <c r="O7" i="34"/>
  <c r="BH7" i="34" s="1"/>
  <c r="N7" i="34"/>
  <c r="AZ7" i="34" s="1"/>
  <c r="BN6" i="34"/>
  <c r="BF6" i="34"/>
  <c r="AX6" i="34"/>
  <c r="AA6" i="34"/>
  <c r="Z6" i="34"/>
  <c r="BK6" i="34" s="1"/>
  <c r="W6" i="34"/>
  <c r="V6" i="34"/>
  <c r="BB6" i="34" s="1"/>
  <c r="S6" i="34"/>
  <c r="R6" i="34"/>
  <c r="BA6" i="34" s="1"/>
  <c r="O6" i="34"/>
  <c r="N6" i="34"/>
  <c r="BP6" i="34" s="1"/>
  <c r="K6" i="34"/>
  <c r="J6" i="34"/>
  <c r="BG6" i="34" s="1"/>
  <c r="A54" i="33"/>
  <c r="A53" i="33"/>
  <c r="A52" i="33"/>
  <c r="A51" i="33"/>
  <c r="A50" i="33"/>
  <c r="A49" i="33"/>
  <c r="A45" i="33"/>
  <c r="A44" i="33"/>
  <c r="A43" i="33"/>
  <c r="A42" i="33"/>
  <c r="A41" i="33"/>
  <c r="A40" i="33"/>
  <c r="A36" i="33"/>
  <c r="A35" i="33"/>
  <c r="A34" i="33"/>
  <c r="A33" i="33"/>
  <c r="A32" i="33"/>
  <c r="A31" i="33"/>
  <c r="A27" i="33"/>
  <c r="A26" i="33"/>
  <c r="A25" i="33"/>
  <c r="A24" i="33"/>
  <c r="A23" i="33"/>
  <c r="A22" i="33"/>
  <c r="C17" i="33"/>
  <c r="C94" i="43" s="1"/>
  <c r="C16" i="33"/>
  <c r="C93" i="43" s="1"/>
  <c r="C15" i="33"/>
  <c r="C92" i="43" s="1"/>
  <c r="C14" i="33"/>
  <c r="C91" i="43" s="1"/>
  <c r="BS11" i="33"/>
  <c r="BR11" i="33"/>
  <c r="BQ11" i="33"/>
  <c r="BP11" i="33"/>
  <c r="AQ11" i="33" s="1"/>
  <c r="BO11" i="33"/>
  <c r="BN11" i="33"/>
  <c r="BK11" i="33"/>
  <c r="BJ11" i="33"/>
  <c r="BI11" i="33"/>
  <c r="BH11" i="33"/>
  <c r="BG11" i="33"/>
  <c r="BF11" i="33"/>
  <c r="BC11" i="33"/>
  <c r="BB11" i="33"/>
  <c r="BA11" i="33"/>
  <c r="AZ11" i="33"/>
  <c r="AY11" i="33"/>
  <c r="AX11" i="33"/>
  <c r="AD11" i="33"/>
  <c r="BS10" i="33"/>
  <c r="BR10" i="33"/>
  <c r="BQ10" i="33"/>
  <c r="BP10" i="33"/>
  <c r="BO10" i="33"/>
  <c r="BT10" i="33" s="1"/>
  <c r="BN10" i="33"/>
  <c r="BJ10" i="33"/>
  <c r="BI10" i="33"/>
  <c r="BH10" i="33"/>
  <c r="BL10" i="33" s="1"/>
  <c r="BG10" i="33"/>
  <c r="BF10" i="33"/>
  <c r="BC10" i="33"/>
  <c r="BB10" i="33"/>
  <c r="BA10" i="33"/>
  <c r="AZ10" i="33"/>
  <c r="AY10" i="33"/>
  <c r="AX10" i="33"/>
  <c r="AQ10" i="33"/>
  <c r="AD10" i="33"/>
  <c r="AA10" i="33"/>
  <c r="Z10" i="33"/>
  <c r="BK10" i="33" s="1"/>
  <c r="AP10" i="33" s="1"/>
  <c r="BR9" i="33"/>
  <c r="BQ9" i="33"/>
  <c r="BP9" i="33"/>
  <c r="BO9" i="33"/>
  <c r="BN9" i="33"/>
  <c r="BK9" i="33"/>
  <c r="BI9" i="33"/>
  <c r="BH9" i="33"/>
  <c r="BG9" i="33"/>
  <c r="BF9" i="33"/>
  <c r="BA9" i="33"/>
  <c r="AZ9" i="33"/>
  <c r="AY9" i="33"/>
  <c r="AX9" i="33"/>
  <c r="AA9" i="33"/>
  <c r="BC9" i="33" s="1"/>
  <c r="Z9" i="33"/>
  <c r="BS9" i="33" s="1"/>
  <c r="W9" i="33"/>
  <c r="AD9" i="33" s="1"/>
  <c r="V9" i="33"/>
  <c r="BJ9" i="33" s="1"/>
  <c r="BQ8" i="33"/>
  <c r="BP8" i="33"/>
  <c r="BO8" i="33"/>
  <c r="BN8" i="33"/>
  <c r="BH8" i="33"/>
  <c r="BG8" i="33"/>
  <c r="BF8" i="33"/>
  <c r="BA8" i="33"/>
  <c r="AZ8" i="33"/>
  <c r="AY8" i="33"/>
  <c r="AX8" i="33"/>
  <c r="AA8" i="33"/>
  <c r="Z8" i="33"/>
  <c r="W8" i="33"/>
  <c r="V8" i="33"/>
  <c r="BR8" i="33" s="1"/>
  <c r="S8" i="33"/>
  <c r="R8" i="33"/>
  <c r="BO7" i="33"/>
  <c r="BN7" i="33"/>
  <c r="BK7" i="33"/>
  <c r="BG7" i="33"/>
  <c r="BF7" i="33"/>
  <c r="BB7" i="33"/>
  <c r="AY7" i="33"/>
  <c r="AX7" i="33"/>
  <c r="AA7" i="33"/>
  <c r="BC7" i="33" s="1"/>
  <c r="Z7" i="33"/>
  <c r="BS7" i="33" s="1"/>
  <c r="W7" i="33"/>
  <c r="V7" i="33"/>
  <c r="S7" i="33"/>
  <c r="R7" i="33"/>
  <c r="BQ7" i="33" s="1"/>
  <c r="O7" i="33"/>
  <c r="N7" i="33"/>
  <c r="BR6" i="33"/>
  <c r="BQ6" i="33"/>
  <c r="BN6" i="33"/>
  <c r="BI6" i="33"/>
  <c r="BH6" i="33"/>
  <c r="BF6" i="33"/>
  <c r="BD6" i="33"/>
  <c r="BC6" i="33"/>
  <c r="AZ6" i="33"/>
  <c r="AY6" i="33"/>
  <c r="AX6" i="33"/>
  <c r="AE6" i="33"/>
  <c r="AD6" i="33"/>
  <c r="AA6" i="33"/>
  <c r="Z6" i="33"/>
  <c r="BK6" i="33" s="1"/>
  <c r="W6" i="33"/>
  <c r="V6" i="33"/>
  <c r="BB6" i="33" s="1"/>
  <c r="S6" i="33"/>
  <c r="R6" i="33"/>
  <c r="BA6" i="33" s="1"/>
  <c r="O6" i="33"/>
  <c r="N6" i="33"/>
  <c r="BP6" i="33" s="1"/>
  <c r="K6" i="33"/>
  <c r="J6" i="33"/>
  <c r="BG6" i="33" s="1"/>
  <c r="A54" i="32"/>
  <c r="A53" i="32"/>
  <c r="A52" i="32"/>
  <c r="A51" i="32"/>
  <c r="A50" i="32"/>
  <c r="A49" i="32"/>
  <c r="A45" i="32"/>
  <c r="A44" i="32"/>
  <c r="A43" i="32"/>
  <c r="A42" i="32"/>
  <c r="A41" i="32"/>
  <c r="A40" i="32"/>
  <c r="A36" i="32"/>
  <c r="A35" i="32"/>
  <c r="A34" i="32"/>
  <c r="A33" i="32"/>
  <c r="A32" i="32"/>
  <c r="A31" i="32"/>
  <c r="A27" i="32"/>
  <c r="A26" i="32"/>
  <c r="A25" i="32"/>
  <c r="A24" i="32"/>
  <c r="A23" i="32"/>
  <c r="A22" i="32"/>
  <c r="C17" i="32"/>
  <c r="C90" i="43" s="1"/>
  <c r="C16" i="32"/>
  <c r="C89" i="43" s="1"/>
  <c r="C15" i="32"/>
  <c r="C88" i="43" s="1"/>
  <c r="C14" i="32"/>
  <c r="C87" i="43" s="1"/>
  <c r="BS11" i="32"/>
  <c r="BR11" i="32"/>
  <c r="BQ11" i="32"/>
  <c r="BP11" i="32"/>
  <c r="BT11" i="32" s="1"/>
  <c r="BO11" i="32"/>
  <c r="BN11" i="32"/>
  <c r="BK11" i="32"/>
  <c r="BJ11" i="32"/>
  <c r="BI11" i="32"/>
  <c r="BH11" i="32"/>
  <c r="BG11" i="32"/>
  <c r="AP11" i="32" s="1"/>
  <c r="BF11" i="32"/>
  <c r="BC11" i="32"/>
  <c r="BB11" i="32"/>
  <c r="BA11" i="32"/>
  <c r="AZ11" i="32"/>
  <c r="AY11" i="32"/>
  <c r="AX11" i="32"/>
  <c r="AQ11" i="32"/>
  <c r="AD11" i="32"/>
  <c r="BS10" i="32"/>
  <c r="BR10" i="32"/>
  <c r="BQ10" i="32"/>
  <c r="BP10" i="32"/>
  <c r="BO10" i="32"/>
  <c r="BN10" i="32"/>
  <c r="BJ10" i="32"/>
  <c r="BI10" i="32"/>
  <c r="BH10" i="32"/>
  <c r="BG10" i="32"/>
  <c r="BF10" i="32"/>
  <c r="BB10" i="32"/>
  <c r="BA10" i="32"/>
  <c r="AZ10" i="32"/>
  <c r="AY10" i="32"/>
  <c r="AX10" i="32"/>
  <c r="AA10" i="32"/>
  <c r="Z10" i="32"/>
  <c r="BQ9" i="32"/>
  <c r="BP9" i="32"/>
  <c r="BO9" i="32"/>
  <c r="BN9" i="32"/>
  <c r="BK9" i="32"/>
  <c r="BI9" i="32"/>
  <c r="BH9" i="32"/>
  <c r="BG9" i="32"/>
  <c r="BF9" i="32"/>
  <c r="BB9" i="32"/>
  <c r="BA9" i="32"/>
  <c r="AZ9" i="32"/>
  <c r="AY9" i="32"/>
  <c r="AX9" i="32"/>
  <c r="AA9" i="32"/>
  <c r="Z9" i="32"/>
  <c r="BS9" i="32" s="1"/>
  <c r="W9" i="32"/>
  <c r="V9" i="32"/>
  <c r="BJ9" i="32" s="1"/>
  <c r="BS8" i="32"/>
  <c r="BP8" i="32"/>
  <c r="BO8" i="32"/>
  <c r="BN8" i="32"/>
  <c r="BH8" i="32"/>
  <c r="BG8" i="32"/>
  <c r="BF8" i="32"/>
  <c r="BA8" i="32"/>
  <c r="AZ8" i="32"/>
  <c r="AY8" i="32"/>
  <c r="AX8" i="32"/>
  <c r="AA8" i="32"/>
  <c r="Z8" i="32"/>
  <c r="W8" i="32"/>
  <c r="V8" i="32"/>
  <c r="S8" i="32"/>
  <c r="R8" i="32"/>
  <c r="BP7" i="32"/>
  <c r="BO7" i="32"/>
  <c r="BN7" i="32"/>
  <c r="BG7" i="32"/>
  <c r="BF7" i="32"/>
  <c r="AY7" i="32"/>
  <c r="AX7" i="32"/>
  <c r="AA7" i="32"/>
  <c r="BK7" i="32" s="1"/>
  <c r="Z7" i="32"/>
  <c r="BS7" i="32" s="1"/>
  <c r="W7" i="32"/>
  <c r="BB7" i="32" s="1"/>
  <c r="V7" i="32"/>
  <c r="S7" i="32"/>
  <c r="R7" i="32"/>
  <c r="BA7" i="32" s="1"/>
  <c r="O7" i="32"/>
  <c r="N7" i="32"/>
  <c r="BO6" i="32"/>
  <c r="BN6" i="32"/>
  <c r="BF6" i="32"/>
  <c r="BA6" i="32"/>
  <c r="AX6" i="32"/>
  <c r="AA6" i="32"/>
  <c r="Z6" i="32"/>
  <c r="W6" i="32"/>
  <c r="V6" i="32"/>
  <c r="S6" i="32"/>
  <c r="R6" i="32"/>
  <c r="O6" i="32"/>
  <c r="N6" i="32"/>
  <c r="K6" i="32"/>
  <c r="J6" i="32"/>
  <c r="A54" i="31"/>
  <c r="A53" i="31"/>
  <c r="A52" i="31"/>
  <c r="A51" i="31"/>
  <c r="A50" i="31"/>
  <c r="A49" i="31"/>
  <c r="A45" i="31"/>
  <c r="A44" i="31"/>
  <c r="A43" i="31"/>
  <c r="A42" i="31"/>
  <c r="A41" i="31"/>
  <c r="A40" i="31"/>
  <c r="A36" i="31"/>
  <c r="A35" i="31"/>
  <c r="A34" i="31"/>
  <c r="A33" i="31"/>
  <c r="A32" i="31"/>
  <c r="A31" i="31"/>
  <c r="A27" i="31"/>
  <c r="A26" i="31"/>
  <c r="A25" i="31"/>
  <c r="A24" i="31"/>
  <c r="A23" i="31"/>
  <c r="A22" i="31"/>
  <c r="C17" i="31"/>
  <c r="C86" i="43" s="1"/>
  <c r="C16" i="31"/>
  <c r="C85" i="43" s="1"/>
  <c r="C15" i="31"/>
  <c r="C84" i="43" s="1"/>
  <c r="C14" i="31"/>
  <c r="C83" i="43" s="1"/>
  <c r="BS11" i="31"/>
  <c r="BR11" i="31"/>
  <c r="BQ11" i="31"/>
  <c r="AQ11" i="31" s="1"/>
  <c r="BP11" i="31"/>
  <c r="BT11" i="31" s="1"/>
  <c r="BO11" i="31"/>
  <c r="BN11" i="31"/>
  <c r="BK11" i="31"/>
  <c r="BJ11" i="31"/>
  <c r="BI11" i="31"/>
  <c r="BH11" i="31"/>
  <c r="BL11" i="31" s="1"/>
  <c r="BG11" i="31"/>
  <c r="AP11" i="31" s="1"/>
  <c r="BF11" i="31"/>
  <c r="BC11" i="31"/>
  <c r="BB11" i="31"/>
  <c r="BA11" i="31"/>
  <c r="AZ11" i="31"/>
  <c r="AY11" i="31"/>
  <c r="AX11" i="31"/>
  <c r="BD11" i="31" s="1"/>
  <c r="AD11" i="31"/>
  <c r="BT10" i="31"/>
  <c r="BR10" i="31"/>
  <c r="BQ10" i="31"/>
  <c r="BP10" i="31"/>
  <c r="AQ10" i="31" s="1"/>
  <c r="BO10" i="31"/>
  <c r="BN10" i="31"/>
  <c r="BJ10" i="31"/>
  <c r="BI10" i="31"/>
  <c r="BH10" i="31"/>
  <c r="BG10" i="31"/>
  <c r="BF10" i="31"/>
  <c r="BB10" i="31"/>
  <c r="BA10" i="31"/>
  <c r="AZ10" i="31"/>
  <c r="AY10" i="31"/>
  <c r="AX10" i="31"/>
  <c r="AA10" i="31"/>
  <c r="BK10" i="31" s="1"/>
  <c r="Z10" i="31"/>
  <c r="BS10" i="31" s="1"/>
  <c r="BQ9" i="31"/>
  <c r="BP9" i="31"/>
  <c r="BO9" i="31"/>
  <c r="BN9" i="31"/>
  <c r="BL9" i="31"/>
  <c r="BI9" i="31"/>
  <c r="BH9" i="31"/>
  <c r="BG9" i="31"/>
  <c r="AP9" i="31" s="1"/>
  <c r="BF9" i="31"/>
  <c r="BC9" i="31"/>
  <c r="BA9" i="31"/>
  <c r="AZ9" i="31"/>
  <c r="AY9" i="31"/>
  <c r="AX9" i="31"/>
  <c r="AD9" i="31"/>
  <c r="AA9" i="31"/>
  <c r="BK9" i="31" s="1"/>
  <c r="Z9" i="31"/>
  <c r="BS9" i="31" s="1"/>
  <c r="W9" i="31"/>
  <c r="BB9" i="31" s="1"/>
  <c r="V9" i="31"/>
  <c r="BJ9" i="31" s="1"/>
  <c r="BP8" i="31"/>
  <c r="BO8" i="31"/>
  <c r="BN8" i="31"/>
  <c r="BK8" i="31"/>
  <c r="BH8" i="31"/>
  <c r="BG8" i="31"/>
  <c r="BF8" i="31"/>
  <c r="AZ8" i="31"/>
  <c r="AY8" i="31"/>
  <c r="AX8" i="31"/>
  <c r="AA8" i="31"/>
  <c r="Z8" i="31"/>
  <c r="BS8" i="31" s="1"/>
  <c r="W8" i="31"/>
  <c r="BB8" i="31" s="1"/>
  <c r="V8" i="31"/>
  <c r="BJ8" i="31" s="1"/>
  <c r="S8" i="31"/>
  <c r="R8" i="31"/>
  <c r="BA8" i="31" s="1"/>
  <c r="BQ7" i="31"/>
  <c r="BP7" i="31"/>
  <c r="BO7" i="31"/>
  <c r="BN7" i="31"/>
  <c r="BH7" i="31"/>
  <c r="BG7" i="31"/>
  <c r="BF7" i="31"/>
  <c r="BC7" i="31"/>
  <c r="AY7" i="31"/>
  <c r="AX7" i="31"/>
  <c r="AD7" i="31"/>
  <c r="AA7" i="31"/>
  <c r="BK7" i="31" s="1"/>
  <c r="Z7" i="31"/>
  <c r="BS7" i="31" s="1"/>
  <c r="W7" i="31"/>
  <c r="BB7" i="31" s="1"/>
  <c r="V7" i="31"/>
  <c r="BJ7" i="31" s="1"/>
  <c r="S7" i="31"/>
  <c r="R7" i="31"/>
  <c r="BA7" i="31" s="1"/>
  <c r="O7" i="31"/>
  <c r="N7" i="31"/>
  <c r="AZ7" i="31" s="1"/>
  <c r="BP6" i="31"/>
  <c r="BN6" i="31"/>
  <c r="BG6" i="31"/>
  <c r="BF6" i="31"/>
  <c r="BB6" i="31"/>
  <c r="AX6" i="31"/>
  <c r="AA6" i="31"/>
  <c r="BK6" i="31" s="1"/>
  <c r="Z6" i="31"/>
  <c r="BS6" i="31" s="1"/>
  <c r="W6" i="31"/>
  <c r="V6" i="31"/>
  <c r="BJ6" i="31" s="1"/>
  <c r="S6" i="31"/>
  <c r="R6" i="31"/>
  <c r="BA6" i="31" s="1"/>
  <c r="O6" i="31"/>
  <c r="N6" i="31"/>
  <c r="AZ6" i="31" s="1"/>
  <c r="K6" i="31"/>
  <c r="J6" i="31"/>
  <c r="BO6" i="31" s="1"/>
  <c r="A54" i="30"/>
  <c r="A53" i="30"/>
  <c r="A52" i="30"/>
  <c r="A51" i="30"/>
  <c r="A50" i="30"/>
  <c r="A49" i="30"/>
  <c r="A45" i="30"/>
  <c r="A44" i="30"/>
  <c r="A43" i="30"/>
  <c r="A42" i="30"/>
  <c r="A41" i="30"/>
  <c r="A40" i="30"/>
  <c r="AE36" i="30"/>
  <c r="AD36" i="30" s="1"/>
  <c r="A36" i="30"/>
  <c r="A35" i="30"/>
  <c r="A34" i="30"/>
  <c r="A33" i="30"/>
  <c r="A32" i="30"/>
  <c r="A31" i="30"/>
  <c r="A27" i="30"/>
  <c r="A26" i="30"/>
  <c r="A25" i="30"/>
  <c r="A24" i="30"/>
  <c r="A23" i="30"/>
  <c r="A22" i="30"/>
  <c r="C17" i="30"/>
  <c r="C82" i="43" s="1"/>
  <c r="C16" i="30"/>
  <c r="C81" i="43" s="1"/>
  <c r="C15" i="30"/>
  <c r="C80" i="43" s="1"/>
  <c r="C14" i="30"/>
  <c r="C79" i="43" s="1"/>
  <c r="BS11" i="30"/>
  <c r="BR11" i="30"/>
  <c r="BQ11" i="30"/>
  <c r="BP11" i="30"/>
  <c r="BO11" i="30"/>
  <c r="BN11" i="30"/>
  <c r="BK11" i="30"/>
  <c r="BJ11" i="30"/>
  <c r="BI11" i="30"/>
  <c r="BH11" i="30"/>
  <c r="BL11" i="30" s="1"/>
  <c r="BG11" i="30"/>
  <c r="AP11" i="30" s="1"/>
  <c r="BF11" i="30"/>
  <c r="BC11" i="30"/>
  <c r="BB11" i="30"/>
  <c r="BA11" i="30"/>
  <c r="AZ11" i="30"/>
  <c r="BD11" i="30" s="1"/>
  <c r="AY11" i="30"/>
  <c r="AX11" i="30"/>
  <c r="AE11" i="30"/>
  <c r="AD11" i="30"/>
  <c r="BR10" i="30"/>
  <c r="BQ10" i="30"/>
  <c r="BP10" i="30"/>
  <c r="BT10" i="30" s="1"/>
  <c r="BO10" i="30"/>
  <c r="BN10" i="30"/>
  <c r="BJ10" i="30"/>
  <c r="BI10" i="30"/>
  <c r="BH10" i="30"/>
  <c r="BL10" i="30" s="1"/>
  <c r="BG10" i="30"/>
  <c r="BF10" i="30"/>
  <c r="BC10" i="30"/>
  <c r="BB10" i="30"/>
  <c r="BA10" i="30"/>
  <c r="AZ10" i="30"/>
  <c r="AY10" i="30"/>
  <c r="AX10" i="30"/>
  <c r="BD10" i="30" s="1"/>
  <c r="AD10" i="30"/>
  <c r="AA10" i="30"/>
  <c r="BK10" i="30" s="1"/>
  <c r="Z10" i="30"/>
  <c r="BS10" i="30" s="1"/>
  <c r="BR9" i="30"/>
  <c r="BQ9" i="30"/>
  <c r="BP9" i="30"/>
  <c r="BO9" i="30"/>
  <c r="BN9" i="30"/>
  <c r="BI9" i="30"/>
  <c r="BH9" i="30"/>
  <c r="BL9" i="30" s="1"/>
  <c r="BG9" i="30"/>
  <c r="BF9" i="30"/>
  <c r="BC9" i="30"/>
  <c r="BA9" i="30"/>
  <c r="AZ9" i="30"/>
  <c r="BD9" i="30" s="1"/>
  <c r="AY9" i="30"/>
  <c r="AX9" i="30"/>
  <c r="AE9" i="30"/>
  <c r="AD9" i="30"/>
  <c r="AA9" i="30"/>
  <c r="BK9" i="30" s="1"/>
  <c r="Z9" i="30"/>
  <c r="BS9" i="30" s="1"/>
  <c r="W9" i="30"/>
  <c r="BB9" i="30" s="1"/>
  <c r="V9" i="30"/>
  <c r="BJ9" i="30" s="1"/>
  <c r="BQ8" i="30"/>
  <c r="BP8" i="30"/>
  <c r="BO8" i="30"/>
  <c r="BN8" i="30"/>
  <c r="BH8" i="30"/>
  <c r="BG8" i="30"/>
  <c r="BF8" i="30"/>
  <c r="BC8" i="30"/>
  <c r="AZ8" i="30"/>
  <c r="AY8" i="30"/>
  <c r="AX8" i="30"/>
  <c r="AD8" i="30"/>
  <c r="AA8" i="30"/>
  <c r="BK8" i="30" s="1"/>
  <c r="Z8" i="30"/>
  <c r="BS8" i="30" s="1"/>
  <c r="W8" i="30"/>
  <c r="BB8" i="30" s="1"/>
  <c r="V8" i="30"/>
  <c r="BJ8" i="30" s="1"/>
  <c r="S8" i="30"/>
  <c r="R8" i="30"/>
  <c r="BA8" i="30" s="1"/>
  <c r="BR7" i="30"/>
  <c r="BQ7" i="30"/>
  <c r="BP7" i="30"/>
  <c r="BO7" i="30"/>
  <c r="BN7" i="30"/>
  <c r="BI7" i="30"/>
  <c r="BH7" i="30"/>
  <c r="BG7" i="30"/>
  <c r="BF7" i="30"/>
  <c r="BC7" i="30"/>
  <c r="AZ7" i="30"/>
  <c r="BD7" i="30" s="1"/>
  <c r="AY7" i="30"/>
  <c r="AX7" i="30"/>
  <c r="AD7" i="30"/>
  <c r="AA7" i="30"/>
  <c r="BK7" i="30" s="1"/>
  <c r="Z7" i="30"/>
  <c r="BS7" i="30" s="1"/>
  <c r="W7" i="30"/>
  <c r="BB7" i="30" s="1"/>
  <c r="V7" i="30"/>
  <c r="BJ7" i="30" s="1"/>
  <c r="S7" i="30"/>
  <c r="R7" i="30"/>
  <c r="BA7" i="30" s="1"/>
  <c r="O7" i="30"/>
  <c r="N7" i="30"/>
  <c r="BQ6" i="30"/>
  <c r="BP6" i="30"/>
  <c r="BN6" i="30"/>
  <c r="BH6" i="30"/>
  <c r="BF6" i="30"/>
  <c r="BC6" i="30"/>
  <c r="AY6" i="30"/>
  <c r="AX6" i="30"/>
  <c r="AD6" i="30"/>
  <c r="AA6" i="30"/>
  <c r="BK6" i="30" s="1"/>
  <c r="Z6" i="30"/>
  <c r="BS6" i="30" s="1"/>
  <c r="W6" i="30"/>
  <c r="BB6" i="30" s="1"/>
  <c r="V6" i="30"/>
  <c r="BJ6" i="30" s="1"/>
  <c r="S6" i="30"/>
  <c r="R6" i="30"/>
  <c r="BA6" i="30" s="1"/>
  <c r="O6" i="30"/>
  <c r="N6" i="30"/>
  <c r="AZ6" i="30" s="1"/>
  <c r="K6" i="30"/>
  <c r="BG6" i="30" s="1"/>
  <c r="J6" i="30"/>
  <c r="BO6" i="30" s="1"/>
  <c r="A54" i="29"/>
  <c r="A53" i="29"/>
  <c r="A52" i="29"/>
  <c r="A51" i="29"/>
  <c r="A50" i="29"/>
  <c r="A49" i="29"/>
  <c r="A45" i="29"/>
  <c r="A44" i="29"/>
  <c r="A43" i="29"/>
  <c r="A42" i="29"/>
  <c r="A41" i="29"/>
  <c r="A40" i="29"/>
  <c r="A36" i="29"/>
  <c r="A35" i="29"/>
  <c r="A34" i="29"/>
  <c r="A33" i="29"/>
  <c r="A32" i="29"/>
  <c r="A31" i="29"/>
  <c r="A27" i="29"/>
  <c r="A26" i="29"/>
  <c r="A25" i="29"/>
  <c r="A24" i="29"/>
  <c r="A23" i="29"/>
  <c r="A22" i="29"/>
  <c r="C17" i="29"/>
  <c r="C78" i="43" s="1"/>
  <c r="C16" i="29"/>
  <c r="C77" i="43" s="1"/>
  <c r="C15" i="29"/>
  <c r="C76" i="43" s="1"/>
  <c r="C14" i="29"/>
  <c r="C75" i="43" s="1"/>
  <c r="BS11" i="29"/>
  <c r="BR11" i="29"/>
  <c r="BQ11" i="29"/>
  <c r="BP11" i="29"/>
  <c r="BO11" i="29"/>
  <c r="BN11" i="29"/>
  <c r="BT11" i="29" s="1"/>
  <c r="BK11" i="29"/>
  <c r="BJ11" i="29"/>
  <c r="BI11" i="29"/>
  <c r="BH11" i="29"/>
  <c r="BG11" i="29"/>
  <c r="BF11" i="29"/>
  <c r="BL11" i="29" s="1"/>
  <c r="BC11" i="29"/>
  <c r="BB11" i="29"/>
  <c r="BA11" i="29"/>
  <c r="AE11" i="29" s="1"/>
  <c r="AZ11" i="29"/>
  <c r="BD11" i="29" s="1"/>
  <c r="AY11" i="29"/>
  <c r="AX11" i="29"/>
  <c r="AP11" i="29"/>
  <c r="AD11" i="29"/>
  <c r="BR10" i="29"/>
  <c r="BQ10" i="29"/>
  <c r="BP10" i="29"/>
  <c r="BO10" i="29"/>
  <c r="BN10" i="29"/>
  <c r="BJ10" i="29"/>
  <c r="BI10" i="29"/>
  <c r="BH10" i="29"/>
  <c r="BG10" i="29"/>
  <c r="BF10" i="29"/>
  <c r="BC10" i="29"/>
  <c r="BB10" i="29"/>
  <c r="BA10" i="29"/>
  <c r="AZ10" i="29"/>
  <c r="BD10" i="29" s="1"/>
  <c r="AY10" i="29"/>
  <c r="AX10" i="29"/>
  <c r="AE10" i="29"/>
  <c r="AD10" i="29"/>
  <c r="AA10" i="29"/>
  <c r="Z10" i="29"/>
  <c r="BK10" i="29" s="1"/>
  <c r="BS9" i="29"/>
  <c r="BQ9" i="29"/>
  <c r="BP9" i="29"/>
  <c r="BO9" i="29"/>
  <c r="BN9" i="29"/>
  <c r="BI9" i="29"/>
  <c r="BH9" i="29"/>
  <c r="BG9" i="29"/>
  <c r="BF9" i="29"/>
  <c r="BA9" i="29"/>
  <c r="AZ9" i="29"/>
  <c r="AY9" i="29"/>
  <c r="AX9" i="29"/>
  <c r="AA9" i="29"/>
  <c r="Z9" i="29"/>
  <c r="W9" i="29"/>
  <c r="V9" i="29"/>
  <c r="BR8" i="29"/>
  <c r="BQ8" i="29"/>
  <c r="BP8" i="29"/>
  <c r="BO8" i="29"/>
  <c r="BN8" i="29"/>
  <c r="BI8" i="29"/>
  <c r="BH8" i="29"/>
  <c r="BL8" i="29" s="1"/>
  <c r="BG8" i="29"/>
  <c r="BF8" i="29"/>
  <c r="BC8" i="29"/>
  <c r="AZ8" i="29"/>
  <c r="AY8" i="29"/>
  <c r="AX8" i="29"/>
  <c r="AD8" i="29"/>
  <c r="AA8" i="29"/>
  <c r="BK8" i="29" s="1"/>
  <c r="Z8" i="29"/>
  <c r="BS8" i="29" s="1"/>
  <c r="W8" i="29"/>
  <c r="BB8" i="29" s="1"/>
  <c r="V8" i="29"/>
  <c r="BJ8" i="29" s="1"/>
  <c r="S8" i="29"/>
  <c r="R8" i="29"/>
  <c r="BA8" i="29" s="1"/>
  <c r="BO7" i="29"/>
  <c r="BN7" i="29"/>
  <c r="BJ7" i="29"/>
  <c r="BG7" i="29"/>
  <c r="BF7" i="29"/>
  <c r="AY7" i="29"/>
  <c r="AX7" i="29"/>
  <c r="AA7" i="29"/>
  <c r="Z7" i="29"/>
  <c r="W7" i="29"/>
  <c r="V7" i="29"/>
  <c r="S7" i="29"/>
  <c r="R7" i="29"/>
  <c r="O7" i="29"/>
  <c r="N7" i="29"/>
  <c r="BR6" i="29"/>
  <c r="BQ6" i="29"/>
  <c r="BP6" i="29"/>
  <c r="BN6" i="29"/>
  <c r="BI6" i="29"/>
  <c r="BH6" i="29"/>
  <c r="BF6" i="29"/>
  <c r="BD6" i="29"/>
  <c r="BC6" i="29"/>
  <c r="AZ6" i="29"/>
  <c r="AY6" i="29"/>
  <c r="AX6" i="29"/>
  <c r="AE6" i="29"/>
  <c r="AD6" i="29"/>
  <c r="AA6" i="29"/>
  <c r="BK6" i="29" s="1"/>
  <c r="Z6" i="29"/>
  <c r="BS6" i="29" s="1"/>
  <c r="W6" i="29"/>
  <c r="BB6" i="29" s="1"/>
  <c r="V6" i="29"/>
  <c r="BJ6" i="29" s="1"/>
  <c r="S6" i="29"/>
  <c r="R6" i="29"/>
  <c r="BA6" i="29" s="1"/>
  <c r="O6" i="29"/>
  <c r="N6" i="29"/>
  <c r="K6" i="29"/>
  <c r="BG6" i="29" s="1"/>
  <c r="J6" i="29"/>
  <c r="BO6" i="29" s="1"/>
  <c r="A54" i="28"/>
  <c r="A53" i="28"/>
  <c r="A52" i="28"/>
  <c r="A51" i="28"/>
  <c r="A50" i="28"/>
  <c r="A49" i="28"/>
  <c r="A45" i="28"/>
  <c r="A44" i="28"/>
  <c r="A43" i="28"/>
  <c r="A42" i="28"/>
  <c r="A41" i="28"/>
  <c r="A40" i="28"/>
  <c r="A36" i="28"/>
  <c r="A35" i="28"/>
  <c r="A34" i="28"/>
  <c r="A33" i="28"/>
  <c r="A32" i="28"/>
  <c r="A31" i="28"/>
  <c r="A27" i="28"/>
  <c r="A26" i="28"/>
  <c r="A25" i="28"/>
  <c r="A24" i="28"/>
  <c r="A23" i="28"/>
  <c r="A22" i="28"/>
  <c r="C17" i="28"/>
  <c r="C74" i="43" s="1"/>
  <c r="C16" i="28"/>
  <c r="C73" i="43" s="1"/>
  <c r="C15" i="28"/>
  <c r="C72" i="43" s="1"/>
  <c r="C14" i="28"/>
  <c r="C71" i="43" s="1"/>
  <c r="BS11" i="28"/>
  <c r="BR11" i="28"/>
  <c r="BQ11" i="28"/>
  <c r="BP11" i="28"/>
  <c r="AQ11" i="28" s="1"/>
  <c r="BO11" i="28"/>
  <c r="BN11" i="28"/>
  <c r="BK11" i="28"/>
  <c r="BJ11" i="28"/>
  <c r="BI11" i="28"/>
  <c r="BH11" i="28"/>
  <c r="BG11" i="28"/>
  <c r="AP11" i="28" s="1"/>
  <c r="BF11" i="28"/>
  <c r="BL11" i="28" s="1"/>
  <c r="BC11" i="28"/>
  <c r="BB11" i="28"/>
  <c r="BA11" i="28"/>
  <c r="AZ11" i="28"/>
  <c r="AY11" i="28"/>
  <c r="AX11" i="28"/>
  <c r="AD11" i="28"/>
  <c r="BS10" i="28"/>
  <c r="BR10" i="28"/>
  <c r="BQ10" i="28"/>
  <c r="BP10" i="28"/>
  <c r="BO10" i="28"/>
  <c r="BN10" i="28"/>
  <c r="BJ10" i="28"/>
  <c r="BI10" i="28"/>
  <c r="BH10" i="28"/>
  <c r="BG10" i="28"/>
  <c r="BF10" i="28"/>
  <c r="BB10" i="28"/>
  <c r="BA10" i="28"/>
  <c r="AZ10" i="28"/>
  <c r="AY10" i="28"/>
  <c r="AX10" i="28"/>
  <c r="AA10" i="28"/>
  <c r="Z10" i="28"/>
  <c r="BR9" i="28"/>
  <c r="BQ9" i="28"/>
  <c r="BP9" i="28"/>
  <c r="BO9" i="28"/>
  <c r="BN9" i="28"/>
  <c r="BK9" i="28"/>
  <c r="BI9" i="28"/>
  <c r="BH9" i="28"/>
  <c r="BG9" i="28"/>
  <c r="BF9" i="28"/>
  <c r="BA9" i="28"/>
  <c r="AZ9" i="28"/>
  <c r="AY9" i="28"/>
  <c r="AX9" i="28"/>
  <c r="AA9" i="28"/>
  <c r="Z9" i="28"/>
  <c r="BS9" i="28" s="1"/>
  <c r="BT9" i="28" s="1"/>
  <c r="W9" i="28"/>
  <c r="AD9" i="28" s="1"/>
  <c r="V9" i="28"/>
  <c r="BJ9" i="28" s="1"/>
  <c r="BP8" i="28"/>
  <c r="BO8" i="28"/>
  <c r="BN8" i="28"/>
  <c r="BH8" i="28"/>
  <c r="BG8" i="28"/>
  <c r="BF8" i="28"/>
  <c r="AZ8" i="28"/>
  <c r="AY8" i="28"/>
  <c r="AX8" i="28"/>
  <c r="AA8" i="28"/>
  <c r="Z8" i="28"/>
  <c r="W8" i="28"/>
  <c r="V8" i="28"/>
  <c r="S8" i="28"/>
  <c r="R8" i="28"/>
  <c r="BR7" i="28"/>
  <c r="BP7" i="28"/>
  <c r="BO7" i="28"/>
  <c r="BN7" i="28"/>
  <c r="BG7" i="28"/>
  <c r="BF7" i="28"/>
  <c r="AY7" i="28"/>
  <c r="AX7" i="28"/>
  <c r="AA7" i="28"/>
  <c r="BK7" i="28" s="1"/>
  <c r="Z7" i="28"/>
  <c r="BS7" i="28" s="1"/>
  <c r="W7" i="28"/>
  <c r="BB7" i="28" s="1"/>
  <c r="V7" i="28"/>
  <c r="S7" i="28"/>
  <c r="BI7" i="28" s="1"/>
  <c r="R7" i="28"/>
  <c r="O7" i="28"/>
  <c r="N7" i="28"/>
  <c r="BO6" i="28"/>
  <c r="BN6" i="28"/>
  <c r="BJ6" i="28"/>
  <c r="BF6" i="28"/>
  <c r="BA6" i="28"/>
  <c r="AX6" i="28"/>
  <c r="AA6" i="28"/>
  <c r="Z6" i="28"/>
  <c r="W6" i="28"/>
  <c r="V6" i="28"/>
  <c r="S6" i="28"/>
  <c r="R6" i="28"/>
  <c r="O6" i="28"/>
  <c r="N6" i="28"/>
  <c r="K6" i="28"/>
  <c r="J6" i="28"/>
  <c r="A54" i="27"/>
  <c r="A53" i="27"/>
  <c r="A52" i="27"/>
  <c r="A51" i="27"/>
  <c r="A50" i="27"/>
  <c r="A49" i="27"/>
  <c r="A45" i="27"/>
  <c r="A44" i="27"/>
  <c r="A43" i="27"/>
  <c r="A42" i="27"/>
  <c r="A41" i="27"/>
  <c r="A40" i="27"/>
  <c r="A36" i="27"/>
  <c r="A35" i="27"/>
  <c r="A34" i="27"/>
  <c r="A33" i="27"/>
  <c r="A32" i="27"/>
  <c r="A31" i="27"/>
  <c r="A27" i="27"/>
  <c r="A26" i="27"/>
  <c r="A25" i="27"/>
  <c r="A24" i="27"/>
  <c r="A23" i="27"/>
  <c r="A22" i="27"/>
  <c r="C17" i="27"/>
  <c r="C70" i="43" s="1"/>
  <c r="C16" i="27"/>
  <c r="C69" i="43" s="1"/>
  <c r="C15" i="27"/>
  <c r="C68" i="43" s="1"/>
  <c r="C14" i="27"/>
  <c r="C67" i="43" s="1"/>
  <c r="BS11" i="27"/>
  <c r="BR11" i="27"/>
  <c r="BQ11" i="27"/>
  <c r="BP11" i="27"/>
  <c r="AQ11" i="27" s="1"/>
  <c r="BO11" i="27"/>
  <c r="BN11" i="27"/>
  <c r="BK11" i="27"/>
  <c r="BJ11" i="27"/>
  <c r="BI11" i="27"/>
  <c r="BH11" i="27"/>
  <c r="BG11" i="27"/>
  <c r="AP11" i="27" s="1"/>
  <c r="BF11" i="27"/>
  <c r="BL11" i="27" s="1"/>
  <c r="BC11" i="27"/>
  <c r="BB11" i="27"/>
  <c r="BA11" i="27"/>
  <c r="AZ11" i="27"/>
  <c r="AY11" i="27"/>
  <c r="AX11" i="27"/>
  <c r="AD11" i="27"/>
  <c r="BS10" i="27"/>
  <c r="BR10" i="27"/>
  <c r="BQ10" i="27"/>
  <c r="BP10" i="27"/>
  <c r="BO10" i="27"/>
  <c r="BN10" i="27"/>
  <c r="BJ10" i="27"/>
  <c r="BI10" i="27"/>
  <c r="BH10" i="27"/>
  <c r="BG10" i="27"/>
  <c r="BF10" i="27"/>
  <c r="BB10" i="27"/>
  <c r="BA10" i="27"/>
  <c r="AZ10" i="27"/>
  <c r="AY10" i="27"/>
  <c r="AX10" i="27"/>
  <c r="AA10" i="27"/>
  <c r="Z10" i="27"/>
  <c r="BQ9" i="27"/>
  <c r="BP9" i="27"/>
  <c r="BO9" i="27"/>
  <c r="BN9" i="27"/>
  <c r="BI9" i="27"/>
  <c r="BH9" i="27"/>
  <c r="BG9" i="27"/>
  <c r="BF9" i="27"/>
  <c r="BA9" i="27"/>
  <c r="AZ9" i="27"/>
  <c r="AY9" i="27"/>
  <c r="AX9" i="27"/>
  <c r="AA9" i="27"/>
  <c r="BC9" i="27" s="1"/>
  <c r="Z9" i="27"/>
  <c r="BS9" i="27" s="1"/>
  <c r="W9" i="27"/>
  <c r="AD9" i="27" s="1"/>
  <c r="V9" i="27"/>
  <c r="BS8" i="27"/>
  <c r="BP8" i="27"/>
  <c r="BO8" i="27"/>
  <c r="BN8" i="27"/>
  <c r="BJ8" i="27"/>
  <c r="BH8" i="27"/>
  <c r="BG8" i="27"/>
  <c r="BF8" i="27"/>
  <c r="BA8" i="27"/>
  <c r="AZ8" i="27"/>
  <c r="AY8" i="27"/>
  <c r="AX8" i="27"/>
  <c r="AA8" i="27"/>
  <c r="Z8" i="27"/>
  <c r="W8" i="27"/>
  <c r="V8" i="27"/>
  <c r="S8" i="27"/>
  <c r="R8" i="27"/>
  <c r="BQ7" i="27"/>
  <c r="BP7" i="27"/>
  <c r="BO7" i="27"/>
  <c r="BN7" i="27"/>
  <c r="BK7" i="27"/>
  <c r="BG7" i="27"/>
  <c r="BF7" i="27"/>
  <c r="AY7" i="27"/>
  <c r="AX7" i="27"/>
  <c r="AA7" i="27"/>
  <c r="BC7" i="27" s="1"/>
  <c r="Z7" i="27"/>
  <c r="BS7" i="27" s="1"/>
  <c r="W7" i="27"/>
  <c r="BB7" i="27" s="1"/>
  <c r="V7" i="27"/>
  <c r="BJ7" i="27" s="1"/>
  <c r="S7" i="27"/>
  <c r="R7" i="27"/>
  <c r="BA7" i="27" s="1"/>
  <c r="O7" i="27"/>
  <c r="N7" i="27"/>
  <c r="AZ7" i="27" s="1"/>
  <c r="BN6" i="27"/>
  <c r="BF6" i="27"/>
  <c r="AX6" i="27"/>
  <c r="AA6" i="27"/>
  <c r="Z6" i="27"/>
  <c r="W6" i="27"/>
  <c r="V6" i="27"/>
  <c r="BJ6" i="27" s="1"/>
  <c r="S6" i="27"/>
  <c r="R6" i="27"/>
  <c r="O6" i="27"/>
  <c r="N6" i="27"/>
  <c r="K6" i="27"/>
  <c r="J6" i="27"/>
  <c r="A54" i="26"/>
  <c r="A53" i="26"/>
  <c r="A52" i="26"/>
  <c r="A51" i="26"/>
  <c r="A50" i="26"/>
  <c r="A49" i="26"/>
  <c r="A45" i="26"/>
  <c r="A44" i="26"/>
  <c r="A43" i="26"/>
  <c r="A42" i="26"/>
  <c r="A41" i="26"/>
  <c r="A40" i="26"/>
  <c r="A36" i="26"/>
  <c r="A35" i="26"/>
  <c r="A34" i="26"/>
  <c r="A33" i="26"/>
  <c r="A32" i="26"/>
  <c r="A31" i="26"/>
  <c r="A27" i="26"/>
  <c r="A26" i="26"/>
  <c r="A25" i="26"/>
  <c r="A24" i="26"/>
  <c r="A23" i="26"/>
  <c r="A22" i="26"/>
  <c r="C17" i="26"/>
  <c r="C66" i="43" s="1"/>
  <c r="C16" i="26"/>
  <c r="C65" i="43" s="1"/>
  <c r="C15" i="26"/>
  <c r="C64" i="43" s="1"/>
  <c r="C14" i="26"/>
  <c r="C63" i="43" s="1"/>
  <c r="BS11" i="26"/>
  <c r="BR11" i="26"/>
  <c r="BQ11" i="26"/>
  <c r="BP11" i="26"/>
  <c r="BO11" i="26"/>
  <c r="BN11" i="26"/>
  <c r="BT11" i="26" s="1"/>
  <c r="BK11" i="26"/>
  <c r="BJ11" i="26"/>
  <c r="BI11" i="26"/>
  <c r="BH11" i="26"/>
  <c r="BL11" i="26" s="1"/>
  <c r="BG11" i="26"/>
  <c r="BF11" i="26"/>
  <c r="BC11" i="26"/>
  <c r="BB11" i="26"/>
  <c r="BA11" i="26"/>
  <c r="AZ11" i="26"/>
  <c r="AY11" i="26"/>
  <c r="AX11" i="26"/>
  <c r="AD11" i="26"/>
  <c r="BR10" i="26"/>
  <c r="BQ10" i="26"/>
  <c r="BP10" i="26"/>
  <c r="BT10" i="26" s="1"/>
  <c r="BO10" i="26"/>
  <c r="BN10" i="26"/>
  <c r="BK10" i="26"/>
  <c r="BJ10" i="26"/>
  <c r="BI10" i="26"/>
  <c r="BH10" i="26"/>
  <c r="BG10" i="26"/>
  <c r="BF10" i="26"/>
  <c r="BB10" i="26"/>
  <c r="BA10" i="26"/>
  <c r="AZ10" i="26"/>
  <c r="AY10" i="26"/>
  <c r="AX10" i="26"/>
  <c r="AA10" i="26"/>
  <c r="Z10" i="26"/>
  <c r="BS10" i="26" s="1"/>
  <c r="BR9" i="26"/>
  <c r="BQ9" i="26"/>
  <c r="BP9" i="26"/>
  <c r="BO9" i="26"/>
  <c r="BN9" i="26"/>
  <c r="BI9" i="26"/>
  <c r="BH9" i="26"/>
  <c r="BL9" i="26" s="1"/>
  <c r="BG9" i="26"/>
  <c r="BF9" i="26"/>
  <c r="BC9" i="26"/>
  <c r="BA9" i="26"/>
  <c r="AZ9" i="26"/>
  <c r="AY9" i="26"/>
  <c r="AX9" i="26"/>
  <c r="AD9" i="26"/>
  <c r="AA9" i="26"/>
  <c r="BK9" i="26" s="1"/>
  <c r="Z9" i="26"/>
  <c r="BS9" i="26" s="1"/>
  <c r="W9" i="26"/>
  <c r="BB9" i="26" s="1"/>
  <c r="V9" i="26"/>
  <c r="BJ9" i="26" s="1"/>
  <c r="BQ8" i="26"/>
  <c r="BP8" i="26"/>
  <c r="BO8" i="26"/>
  <c r="BN8" i="26"/>
  <c r="BH8" i="26"/>
  <c r="BG8" i="26"/>
  <c r="BF8" i="26"/>
  <c r="BB8" i="26"/>
  <c r="AZ8" i="26"/>
  <c r="AY8" i="26"/>
  <c r="AX8" i="26"/>
  <c r="AA8" i="26"/>
  <c r="BC8" i="26" s="1"/>
  <c r="Z8" i="26"/>
  <c r="BS8" i="26" s="1"/>
  <c r="W8" i="26"/>
  <c r="V8" i="26"/>
  <c r="BJ8" i="26" s="1"/>
  <c r="S8" i="26"/>
  <c r="AD8" i="26" s="1"/>
  <c r="R8" i="26"/>
  <c r="BR7" i="26"/>
  <c r="BQ7" i="26"/>
  <c r="BP7" i="26"/>
  <c r="BO7" i="26"/>
  <c r="BN7" i="26"/>
  <c r="BL7" i="26"/>
  <c r="BI7" i="26"/>
  <c r="BH7" i="26"/>
  <c r="BG7" i="26"/>
  <c r="BF7" i="26"/>
  <c r="BC7" i="26"/>
  <c r="AZ7" i="26"/>
  <c r="AY7" i="26"/>
  <c r="AX7" i="26"/>
  <c r="AD7" i="26"/>
  <c r="AA7" i="26"/>
  <c r="BK7" i="26" s="1"/>
  <c r="Z7" i="26"/>
  <c r="BS7" i="26" s="1"/>
  <c r="W7" i="26"/>
  <c r="BB7" i="26" s="1"/>
  <c r="V7" i="26"/>
  <c r="BJ7" i="26" s="1"/>
  <c r="S7" i="26"/>
  <c r="R7" i="26"/>
  <c r="BA7" i="26" s="1"/>
  <c r="O7" i="26"/>
  <c r="N7" i="26"/>
  <c r="BQ6" i="26"/>
  <c r="BP6" i="26"/>
  <c r="BN6" i="26"/>
  <c r="BG6" i="26"/>
  <c r="BF6" i="26"/>
  <c r="AX6" i="26"/>
  <c r="AA6" i="26"/>
  <c r="BC6" i="26" s="1"/>
  <c r="Z6" i="26"/>
  <c r="BS6" i="26" s="1"/>
  <c r="W6" i="26"/>
  <c r="BB6" i="26" s="1"/>
  <c r="V6" i="26"/>
  <c r="S6" i="26"/>
  <c r="R6" i="26"/>
  <c r="BA6" i="26" s="1"/>
  <c r="O6" i="26"/>
  <c r="BH6" i="26" s="1"/>
  <c r="N6" i="26"/>
  <c r="K6" i="26"/>
  <c r="J6" i="26"/>
  <c r="BO6" i="26" s="1"/>
  <c r="A54" i="25"/>
  <c r="A53" i="25"/>
  <c r="A52" i="25"/>
  <c r="A51" i="25"/>
  <c r="A50" i="25"/>
  <c r="A49" i="25"/>
  <c r="A45" i="25"/>
  <c r="A44" i="25"/>
  <c r="A43" i="25"/>
  <c r="A42" i="25"/>
  <c r="A41" i="25"/>
  <c r="A40" i="25"/>
  <c r="A36" i="25"/>
  <c r="A35" i="25"/>
  <c r="A34" i="25"/>
  <c r="A33" i="25"/>
  <c r="A32" i="25"/>
  <c r="A31" i="25"/>
  <c r="A27" i="25"/>
  <c r="A26" i="25"/>
  <c r="A25" i="25"/>
  <c r="A24" i="25"/>
  <c r="A23" i="25"/>
  <c r="A22" i="25"/>
  <c r="C17" i="25"/>
  <c r="C62" i="43" s="1"/>
  <c r="C16" i="25"/>
  <c r="C61" i="43" s="1"/>
  <c r="C15" i="25"/>
  <c r="C60" i="43" s="1"/>
  <c r="C14" i="25"/>
  <c r="C59" i="43" s="1"/>
  <c r="BS11" i="25"/>
  <c r="BR11" i="25"/>
  <c r="BQ11" i="25"/>
  <c r="BP11" i="25"/>
  <c r="BO11" i="25"/>
  <c r="BN11" i="25"/>
  <c r="BK11" i="25"/>
  <c r="BJ11" i="25"/>
  <c r="BI11" i="25"/>
  <c r="BH11" i="25"/>
  <c r="BG11" i="25"/>
  <c r="BF11" i="25"/>
  <c r="BL11" i="25" s="1"/>
  <c r="BC11" i="25"/>
  <c r="BB11" i="25"/>
  <c r="BA11" i="25"/>
  <c r="AZ11" i="25"/>
  <c r="BD11" i="25" s="1"/>
  <c r="AY11" i="25"/>
  <c r="AX11" i="25"/>
  <c r="AD11" i="25"/>
  <c r="BR10" i="25"/>
  <c r="BQ10" i="25"/>
  <c r="BP10" i="25"/>
  <c r="BO10" i="25"/>
  <c r="BN10" i="25"/>
  <c r="BJ10" i="25"/>
  <c r="BI10" i="25"/>
  <c r="BH10" i="25"/>
  <c r="BL10" i="25" s="1"/>
  <c r="BG10" i="25"/>
  <c r="BF10" i="25"/>
  <c r="BC10" i="25"/>
  <c r="BB10" i="25"/>
  <c r="BA10" i="25"/>
  <c r="AZ10" i="25"/>
  <c r="AY10" i="25"/>
  <c r="AX10" i="25"/>
  <c r="BD10" i="25" s="1"/>
  <c r="AD10" i="25"/>
  <c r="AA10" i="25"/>
  <c r="Z10" i="25"/>
  <c r="BK10" i="25" s="1"/>
  <c r="BR9" i="25"/>
  <c r="BQ9" i="25"/>
  <c r="BP9" i="25"/>
  <c r="BO9" i="25"/>
  <c r="BN9" i="25"/>
  <c r="BI9" i="25"/>
  <c r="BH9" i="25"/>
  <c r="BG9" i="25"/>
  <c r="BF9" i="25"/>
  <c r="BA9" i="25"/>
  <c r="AZ9" i="25"/>
  <c r="AY9" i="25"/>
  <c r="AX9" i="25"/>
  <c r="AA9" i="25"/>
  <c r="BC9" i="25" s="1"/>
  <c r="Z9" i="25"/>
  <c r="BS9" i="25" s="1"/>
  <c r="W9" i="25"/>
  <c r="AD9" i="25" s="1"/>
  <c r="V9" i="25"/>
  <c r="BJ9" i="25" s="1"/>
  <c r="BQ8" i="25"/>
  <c r="BP8" i="25"/>
  <c r="BO8" i="25"/>
  <c r="BN8" i="25"/>
  <c r="BH8" i="25"/>
  <c r="BG8" i="25"/>
  <c r="BF8" i="25"/>
  <c r="BC8" i="25"/>
  <c r="AZ8" i="25"/>
  <c r="AY8" i="25"/>
  <c r="AX8" i="25"/>
  <c r="AD8" i="25"/>
  <c r="AA8" i="25"/>
  <c r="Z8" i="25"/>
  <c r="BK8" i="25" s="1"/>
  <c r="W8" i="25"/>
  <c r="V8" i="25"/>
  <c r="BB8" i="25" s="1"/>
  <c r="S8" i="25"/>
  <c r="R8" i="25"/>
  <c r="BA8" i="25" s="1"/>
  <c r="BR7" i="25"/>
  <c r="BQ7" i="25"/>
  <c r="BP7" i="25"/>
  <c r="BO7" i="25"/>
  <c r="BN7" i="25"/>
  <c r="BI7" i="25"/>
  <c r="BG7" i="25"/>
  <c r="BF7" i="25"/>
  <c r="AZ7" i="25"/>
  <c r="AY7" i="25"/>
  <c r="AX7" i="25"/>
  <c r="AA7" i="25"/>
  <c r="BC7" i="25" s="1"/>
  <c r="Z7" i="25"/>
  <c r="BS7" i="25" s="1"/>
  <c r="W7" i="25"/>
  <c r="BB7" i="25" s="1"/>
  <c r="V7" i="25"/>
  <c r="BJ7" i="25" s="1"/>
  <c r="S7" i="25"/>
  <c r="R7" i="25"/>
  <c r="BA7" i="25" s="1"/>
  <c r="AE7" i="25" s="1"/>
  <c r="O7" i="25"/>
  <c r="BH7" i="25" s="1"/>
  <c r="N7" i="25"/>
  <c r="BQ6" i="25"/>
  <c r="BN6" i="25"/>
  <c r="BH6" i="25"/>
  <c r="BF6" i="25"/>
  <c r="BC6" i="25"/>
  <c r="AY6" i="25"/>
  <c r="AX6" i="25"/>
  <c r="AD6" i="25"/>
  <c r="AA6" i="25"/>
  <c r="BK6" i="25" s="1"/>
  <c r="Z6" i="25"/>
  <c r="BS6" i="25" s="1"/>
  <c r="W6" i="25"/>
  <c r="BB6" i="25" s="1"/>
  <c r="V6" i="25"/>
  <c r="BJ6" i="25" s="1"/>
  <c r="S6" i="25"/>
  <c r="R6" i="25"/>
  <c r="BA6" i="25" s="1"/>
  <c r="O6" i="25"/>
  <c r="N6" i="25"/>
  <c r="BP6" i="25" s="1"/>
  <c r="K6" i="25"/>
  <c r="J6" i="25"/>
  <c r="BG6" i="25" s="1"/>
  <c r="A54" i="24"/>
  <c r="A53" i="24"/>
  <c r="A52" i="24"/>
  <c r="A51" i="24"/>
  <c r="A50" i="24"/>
  <c r="A49" i="24"/>
  <c r="A45" i="24"/>
  <c r="A44" i="24"/>
  <c r="A43" i="24"/>
  <c r="A42" i="24"/>
  <c r="A41" i="24"/>
  <c r="A40" i="24"/>
  <c r="A36" i="24"/>
  <c r="A35" i="24"/>
  <c r="A34" i="24"/>
  <c r="A33" i="24"/>
  <c r="A32" i="24"/>
  <c r="A31" i="24"/>
  <c r="A27" i="24"/>
  <c r="A26" i="24"/>
  <c r="A25" i="24"/>
  <c r="A24" i="24"/>
  <c r="A23" i="24"/>
  <c r="A22" i="24"/>
  <c r="C17" i="24"/>
  <c r="C58" i="43" s="1"/>
  <c r="C16" i="24"/>
  <c r="C57" i="43" s="1"/>
  <c r="C15" i="24"/>
  <c r="C56" i="43" s="1"/>
  <c r="C14" i="24"/>
  <c r="C55" i="43" s="1"/>
  <c r="BS11" i="24"/>
  <c r="BR11" i="24"/>
  <c r="BQ11" i="24"/>
  <c r="BP11" i="24"/>
  <c r="BO11" i="24"/>
  <c r="BN11" i="24"/>
  <c r="BK11" i="24"/>
  <c r="BJ11" i="24"/>
  <c r="BI11" i="24"/>
  <c r="BH11" i="24"/>
  <c r="BG11" i="24"/>
  <c r="BF11" i="24"/>
  <c r="BL11" i="24" s="1"/>
  <c r="BC11" i="24"/>
  <c r="BB11" i="24"/>
  <c r="BA11" i="24"/>
  <c r="AZ11" i="24"/>
  <c r="AY11" i="24"/>
  <c r="AX11" i="24"/>
  <c r="BD11" i="24" s="1"/>
  <c r="AP11" i="24"/>
  <c r="AD11" i="24"/>
  <c r="BR10" i="24"/>
  <c r="BQ10" i="24"/>
  <c r="BP10" i="24"/>
  <c r="BO10" i="24"/>
  <c r="BN10" i="24"/>
  <c r="BJ10" i="24"/>
  <c r="BI10" i="24"/>
  <c r="BH10" i="24"/>
  <c r="BG10" i="24"/>
  <c r="BF10" i="24"/>
  <c r="BB10" i="24"/>
  <c r="BA10" i="24"/>
  <c r="AZ10" i="24"/>
  <c r="BD10" i="24" s="1"/>
  <c r="AY10" i="24"/>
  <c r="AX10" i="24"/>
  <c r="AE10" i="24"/>
  <c r="AA10" i="24"/>
  <c r="Z10" i="24"/>
  <c r="BC10" i="24" s="1"/>
  <c r="BS9" i="24"/>
  <c r="BQ9" i="24"/>
  <c r="BP9" i="24"/>
  <c r="BO9" i="24"/>
  <c r="BN9" i="24"/>
  <c r="BI9" i="24"/>
  <c r="BH9" i="24"/>
  <c r="BG9" i="24"/>
  <c r="BF9" i="24"/>
  <c r="BA9" i="24"/>
  <c r="AZ9" i="24"/>
  <c r="AY9" i="24"/>
  <c r="AX9" i="24"/>
  <c r="AA9" i="24"/>
  <c r="Z9" i="24"/>
  <c r="W9" i="24"/>
  <c r="V9" i="24"/>
  <c r="BR8" i="24"/>
  <c r="BP8" i="24"/>
  <c r="BO8" i="24"/>
  <c r="BN8" i="24"/>
  <c r="BI8" i="24"/>
  <c r="BH8" i="24"/>
  <c r="BG8" i="24"/>
  <c r="BF8" i="24"/>
  <c r="AZ8" i="24"/>
  <c r="AY8" i="24"/>
  <c r="AX8" i="24"/>
  <c r="AA8" i="24"/>
  <c r="Z8" i="24"/>
  <c r="BC8" i="24" s="1"/>
  <c r="W8" i="24"/>
  <c r="V8" i="24"/>
  <c r="BB8" i="24" s="1"/>
  <c r="S8" i="24"/>
  <c r="R8" i="24"/>
  <c r="BQ8" i="24" s="1"/>
  <c r="BO7" i="24"/>
  <c r="BN7" i="24"/>
  <c r="BG7" i="24"/>
  <c r="BF7" i="24"/>
  <c r="AY7" i="24"/>
  <c r="AX7" i="24"/>
  <c r="AA7" i="24"/>
  <c r="Z7" i="24"/>
  <c r="W7" i="24"/>
  <c r="V7" i="24"/>
  <c r="S7" i="24"/>
  <c r="R7" i="24"/>
  <c r="O7" i="24"/>
  <c r="N7" i="24"/>
  <c r="BR6" i="24"/>
  <c r="BN6" i="24"/>
  <c r="BI6" i="24"/>
  <c r="BF6" i="24"/>
  <c r="AZ6" i="24"/>
  <c r="AX6" i="24"/>
  <c r="AA6" i="24"/>
  <c r="Z6" i="24"/>
  <c r="BC6" i="24" s="1"/>
  <c r="W6" i="24"/>
  <c r="V6" i="24"/>
  <c r="BB6" i="24" s="1"/>
  <c r="S6" i="24"/>
  <c r="R6" i="24"/>
  <c r="BQ6" i="24" s="1"/>
  <c r="O6" i="24"/>
  <c r="N6" i="24"/>
  <c r="BH6" i="24" s="1"/>
  <c r="K6" i="24"/>
  <c r="J6" i="24"/>
  <c r="AY6" i="24" s="1"/>
  <c r="A54" i="23"/>
  <c r="A53" i="23"/>
  <c r="A52" i="23"/>
  <c r="A51" i="23"/>
  <c r="A50" i="23"/>
  <c r="A49" i="23"/>
  <c r="A45" i="23"/>
  <c r="A44" i="23"/>
  <c r="A43" i="23"/>
  <c r="A42" i="23"/>
  <c r="A41" i="23"/>
  <c r="A40" i="23"/>
  <c r="A36" i="23"/>
  <c r="A35" i="23"/>
  <c r="A34" i="23"/>
  <c r="A33" i="23"/>
  <c r="A32" i="23"/>
  <c r="A31" i="23"/>
  <c r="A27" i="23"/>
  <c r="A26" i="23"/>
  <c r="A25" i="23"/>
  <c r="A24" i="23"/>
  <c r="A23" i="23"/>
  <c r="A22" i="23"/>
  <c r="C17" i="23"/>
  <c r="C54" i="43" s="1"/>
  <c r="C16" i="23"/>
  <c r="C53" i="43" s="1"/>
  <c r="C15" i="23"/>
  <c r="C52" i="43" s="1"/>
  <c r="C14" i="23"/>
  <c r="C51" i="43" s="1"/>
  <c r="BS11" i="23"/>
  <c r="BR11" i="23"/>
  <c r="BQ11" i="23"/>
  <c r="BP11" i="23"/>
  <c r="BO11" i="23"/>
  <c r="BT11" i="23" s="1"/>
  <c r="BN11" i="23"/>
  <c r="BK11" i="23"/>
  <c r="BJ11" i="23"/>
  <c r="BI11" i="23"/>
  <c r="BH11" i="23"/>
  <c r="BG11" i="23"/>
  <c r="BF11" i="23"/>
  <c r="BL11" i="23" s="1"/>
  <c r="BC11" i="23"/>
  <c r="BB11" i="23"/>
  <c r="BA11" i="23"/>
  <c r="AZ11" i="23"/>
  <c r="AY11" i="23"/>
  <c r="AX11" i="23"/>
  <c r="BD11" i="23" s="1"/>
  <c r="AP11" i="23"/>
  <c r="AD11" i="23"/>
  <c r="BR10" i="23"/>
  <c r="BQ10" i="23"/>
  <c r="BP10" i="23"/>
  <c r="BO10" i="23"/>
  <c r="BN10" i="23"/>
  <c r="BJ10" i="23"/>
  <c r="BI10" i="23"/>
  <c r="BH10" i="23"/>
  <c r="BG10" i="23"/>
  <c r="BF10" i="23"/>
  <c r="BB10" i="23"/>
  <c r="BA10" i="23"/>
  <c r="AZ10" i="23"/>
  <c r="AY10" i="23"/>
  <c r="AX10" i="23"/>
  <c r="AA10" i="23"/>
  <c r="Z10" i="23"/>
  <c r="BC10" i="23" s="1"/>
  <c r="AE10" i="23" s="1"/>
  <c r="BQ9" i="23"/>
  <c r="BP9" i="23"/>
  <c r="BO9" i="23"/>
  <c r="BN9" i="23"/>
  <c r="BI9" i="23"/>
  <c r="BH9" i="23"/>
  <c r="BG9" i="23"/>
  <c r="BF9" i="23"/>
  <c r="BA9" i="23"/>
  <c r="AZ9" i="23"/>
  <c r="AY9" i="23"/>
  <c r="AX9" i="23"/>
  <c r="AA9" i="23"/>
  <c r="Z9" i="23"/>
  <c r="BC9" i="23" s="1"/>
  <c r="W9" i="23"/>
  <c r="V9" i="23"/>
  <c r="BR9" i="23" s="1"/>
  <c r="BR8" i="23"/>
  <c r="BP8" i="23"/>
  <c r="BO8" i="23"/>
  <c r="BN8" i="23"/>
  <c r="BI8" i="23"/>
  <c r="BH8" i="23"/>
  <c r="BG8" i="23"/>
  <c r="BF8" i="23"/>
  <c r="AZ8" i="23"/>
  <c r="AY8" i="23"/>
  <c r="AX8" i="23"/>
  <c r="AA8" i="23"/>
  <c r="Z8" i="23"/>
  <c r="BC8" i="23" s="1"/>
  <c r="W8" i="23"/>
  <c r="V8" i="23"/>
  <c r="BB8" i="23" s="1"/>
  <c r="S8" i="23"/>
  <c r="R8" i="23"/>
  <c r="BQ8" i="23" s="1"/>
  <c r="BO7" i="23"/>
  <c r="BN7" i="23"/>
  <c r="BG7" i="23"/>
  <c r="BF7" i="23"/>
  <c r="AY7" i="23"/>
  <c r="AX7" i="23"/>
  <c r="AA7" i="23"/>
  <c r="Z7" i="23"/>
  <c r="BC7" i="23" s="1"/>
  <c r="W7" i="23"/>
  <c r="V7" i="23"/>
  <c r="BR7" i="23" s="1"/>
  <c r="S7" i="23"/>
  <c r="R7" i="23"/>
  <c r="BI7" i="23" s="1"/>
  <c r="O7" i="23"/>
  <c r="N7" i="23"/>
  <c r="AZ7" i="23" s="1"/>
  <c r="BR6" i="23"/>
  <c r="BN6" i="23"/>
  <c r="BI6" i="23"/>
  <c r="BF6" i="23"/>
  <c r="AZ6" i="23"/>
  <c r="AX6" i="23"/>
  <c r="AA6" i="23"/>
  <c r="Z6" i="23"/>
  <c r="BC6" i="23" s="1"/>
  <c r="W6" i="23"/>
  <c r="V6" i="23"/>
  <c r="BB6" i="23" s="1"/>
  <c r="S6" i="23"/>
  <c r="R6" i="23"/>
  <c r="BQ6" i="23" s="1"/>
  <c r="O6" i="23"/>
  <c r="N6" i="23"/>
  <c r="BH6" i="23" s="1"/>
  <c r="K6" i="23"/>
  <c r="J6" i="23"/>
  <c r="AY6" i="23" s="1"/>
  <c r="A54" i="22"/>
  <c r="A53" i="22"/>
  <c r="A52" i="22"/>
  <c r="A51" i="22"/>
  <c r="A50" i="22"/>
  <c r="A49" i="22"/>
  <c r="A45" i="22"/>
  <c r="A44" i="22"/>
  <c r="A43" i="22"/>
  <c r="A42" i="22"/>
  <c r="A41" i="22"/>
  <c r="A40" i="22"/>
  <c r="A36" i="22"/>
  <c r="A35" i="22"/>
  <c r="A34" i="22"/>
  <c r="A33" i="22"/>
  <c r="A32" i="22"/>
  <c r="A31" i="22"/>
  <c r="A27" i="22"/>
  <c r="A26" i="22"/>
  <c r="A25" i="22"/>
  <c r="A24" i="22"/>
  <c r="A23" i="22"/>
  <c r="A22" i="22"/>
  <c r="C17" i="22"/>
  <c r="C50" i="43" s="1"/>
  <c r="C16" i="22"/>
  <c r="C49" i="43" s="1"/>
  <c r="C15" i="22"/>
  <c r="C48" i="43" s="1"/>
  <c r="C14" i="22"/>
  <c r="C47" i="43" s="1"/>
  <c r="BS11" i="22"/>
  <c r="BR11" i="22"/>
  <c r="BQ11" i="22"/>
  <c r="BP11" i="22"/>
  <c r="BT11" i="22" s="1"/>
  <c r="BO11" i="22"/>
  <c r="BN11" i="22"/>
  <c r="BK11" i="22"/>
  <c r="BJ11" i="22"/>
  <c r="BI11" i="22"/>
  <c r="BH11" i="22"/>
  <c r="BG11" i="22"/>
  <c r="AP11" i="22" s="1"/>
  <c r="BF11" i="22"/>
  <c r="BC11" i="22"/>
  <c r="BB11" i="22"/>
  <c r="BA11" i="22"/>
  <c r="AZ11" i="22"/>
  <c r="AY11" i="22"/>
  <c r="AX11" i="22"/>
  <c r="BD11" i="22" s="1"/>
  <c r="AQ11" i="22"/>
  <c r="AD11" i="22"/>
  <c r="BR10" i="22"/>
  <c r="BQ10" i="22"/>
  <c r="BP10" i="22"/>
  <c r="BO10" i="22"/>
  <c r="BN10" i="22"/>
  <c r="BJ10" i="22"/>
  <c r="BI10" i="22"/>
  <c r="BH10" i="22"/>
  <c r="BG10" i="22"/>
  <c r="BF10" i="22"/>
  <c r="BB10" i="22"/>
  <c r="BA10" i="22"/>
  <c r="AZ10" i="22"/>
  <c r="AY10" i="22"/>
  <c r="AX10" i="22"/>
  <c r="AA10" i="22"/>
  <c r="Z10" i="22"/>
  <c r="BC10" i="22" s="1"/>
  <c r="BR9" i="22"/>
  <c r="BQ9" i="22"/>
  <c r="BP9" i="22"/>
  <c r="BO9" i="22"/>
  <c r="BN9" i="22"/>
  <c r="BI9" i="22"/>
  <c r="BH9" i="22"/>
  <c r="BG9" i="22"/>
  <c r="BF9" i="22"/>
  <c r="BA9" i="22"/>
  <c r="AZ9" i="22"/>
  <c r="AY9" i="22"/>
  <c r="AX9" i="22"/>
  <c r="AA9" i="22"/>
  <c r="BC9" i="22" s="1"/>
  <c r="Z9" i="22"/>
  <c r="BS9" i="22" s="1"/>
  <c r="AQ9" i="22" s="1"/>
  <c r="W9" i="22"/>
  <c r="AD9" i="22" s="1"/>
  <c r="V9" i="22"/>
  <c r="BJ9" i="22" s="1"/>
  <c r="BP8" i="22"/>
  <c r="BO8" i="22"/>
  <c r="BN8" i="22"/>
  <c r="BH8" i="22"/>
  <c r="BG8" i="22"/>
  <c r="BF8" i="22"/>
  <c r="AZ8" i="22"/>
  <c r="AY8" i="22"/>
  <c r="AX8" i="22"/>
  <c r="AA8" i="22"/>
  <c r="Z8" i="22"/>
  <c r="BC8" i="22" s="1"/>
  <c r="W8" i="22"/>
  <c r="V8" i="22"/>
  <c r="BR8" i="22" s="1"/>
  <c r="S8" i="22"/>
  <c r="R8" i="22"/>
  <c r="BI8" i="22" s="1"/>
  <c r="BQ7" i="22"/>
  <c r="BP7" i="22"/>
  <c r="BO7" i="22"/>
  <c r="BN7" i="22"/>
  <c r="BG7" i="22"/>
  <c r="BF7" i="22"/>
  <c r="AY7" i="22"/>
  <c r="AX7" i="22"/>
  <c r="AA7" i="22"/>
  <c r="BC7" i="22" s="1"/>
  <c r="Z7" i="22"/>
  <c r="BS7" i="22" s="1"/>
  <c r="W7" i="22"/>
  <c r="BB7" i="22" s="1"/>
  <c r="V7" i="22"/>
  <c r="BJ7" i="22" s="1"/>
  <c r="S7" i="22"/>
  <c r="R7" i="22"/>
  <c r="BA7" i="22" s="1"/>
  <c r="O7" i="22"/>
  <c r="BH7" i="22" s="1"/>
  <c r="N7" i="22"/>
  <c r="AZ7" i="22" s="1"/>
  <c r="BN6" i="22"/>
  <c r="BF6" i="22"/>
  <c r="AX6" i="22"/>
  <c r="AA6" i="22"/>
  <c r="Z6" i="22"/>
  <c r="BC6" i="22" s="1"/>
  <c r="W6" i="22"/>
  <c r="V6" i="22"/>
  <c r="BR6" i="22" s="1"/>
  <c r="S6" i="22"/>
  <c r="R6" i="22"/>
  <c r="BI6" i="22" s="1"/>
  <c r="O6" i="22"/>
  <c r="N6" i="22"/>
  <c r="AZ6" i="22" s="1"/>
  <c r="K6" i="22"/>
  <c r="J6" i="22"/>
  <c r="AY6" i="22" s="1"/>
  <c r="A54" i="21"/>
  <c r="A53" i="21"/>
  <c r="A52" i="21"/>
  <c r="A51" i="21"/>
  <c r="A50" i="21"/>
  <c r="A49" i="21"/>
  <c r="A45" i="21"/>
  <c r="A44" i="21"/>
  <c r="A43" i="21"/>
  <c r="A42" i="21"/>
  <c r="A41" i="21"/>
  <c r="A40" i="21"/>
  <c r="A36" i="21"/>
  <c r="A35" i="21"/>
  <c r="A34" i="21"/>
  <c r="A33" i="21"/>
  <c r="A32" i="21"/>
  <c r="A31" i="21"/>
  <c r="A27" i="21"/>
  <c r="A26" i="21"/>
  <c r="A25" i="21"/>
  <c r="A24" i="21"/>
  <c r="A23" i="21"/>
  <c r="A22" i="21"/>
  <c r="C17" i="21"/>
  <c r="C46" i="43" s="1"/>
  <c r="C16" i="21"/>
  <c r="C45" i="43" s="1"/>
  <c r="C15" i="21"/>
  <c r="C44" i="43" s="1"/>
  <c r="C14" i="21"/>
  <c r="C43" i="43" s="1"/>
  <c r="BS11" i="21"/>
  <c r="BR11" i="21"/>
  <c r="BQ11" i="21"/>
  <c r="BP11" i="21"/>
  <c r="BO11" i="21"/>
  <c r="BN11" i="21"/>
  <c r="BT11" i="21" s="1"/>
  <c r="BK11" i="21"/>
  <c r="BJ11" i="21"/>
  <c r="BI11" i="21"/>
  <c r="BH11" i="21"/>
  <c r="BL11" i="21" s="1"/>
  <c r="BG11" i="21"/>
  <c r="AP11" i="21" s="1"/>
  <c r="BF11" i="21"/>
  <c r="BC11" i="21"/>
  <c r="BB11" i="21"/>
  <c r="BA11" i="21"/>
  <c r="AZ11" i="21"/>
  <c r="AY11" i="21"/>
  <c r="BD11" i="21" s="1"/>
  <c r="AX11" i="21"/>
  <c r="AD11" i="21"/>
  <c r="BR10" i="21"/>
  <c r="BQ10" i="21"/>
  <c r="BP10" i="21"/>
  <c r="BT10" i="21" s="1"/>
  <c r="BO10" i="21"/>
  <c r="BN10" i="21"/>
  <c r="BJ10" i="21"/>
  <c r="BI10" i="21"/>
  <c r="BH10" i="21"/>
  <c r="BG10" i="21"/>
  <c r="BF10" i="21"/>
  <c r="BB10" i="21"/>
  <c r="BA10" i="21"/>
  <c r="AZ10" i="21"/>
  <c r="AY10" i="21"/>
  <c r="AX10" i="21"/>
  <c r="BD10" i="21" s="1"/>
  <c r="AA10" i="21"/>
  <c r="BC10" i="21" s="1"/>
  <c r="Z10" i="21"/>
  <c r="BS10" i="21" s="1"/>
  <c r="AQ10" i="21" s="1"/>
  <c r="BR9" i="21"/>
  <c r="BQ9" i="21"/>
  <c r="BP9" i="21"/>
  <c r="BO9" i="21"/>
  <c r="BN9" i="21"/>
  <c r="BI9" i="21"/>
  <c r="BH9" i="21"/>
  <c r="BG9" i="21"/>
  <c r="BF9" i="21"/>
  <c r="BC9" i="21"/>
  <c r="BA9" i="21"/>
  <c r="AZ9" i="21"/>
  <c r="AY9" i="21"/>
  <c r="AX9" i="21"/>
  <c r="AD9" i="21"/>
  <c r="AA9" i="21"/>
  <c r="BK9" i="21" s="1"/>
  <c r="Z9" i="21"/>
  <c r="BS9" i="21" s="1"/>
  <c r="W9" i="21"/>
  <c r="BB9" i="21" s="1"/>
  <c r="V9" i="21"/>
  <c r="BJ9" i="21" s="1"/>
  <c r="BQ8" i="21"/>
  <c r="BP8" i="21"/>
  <c r="BO8" i="21"/>
  <c r="BN8" i="21"/>
  <c r="BH8" i="21"/>
  <c r="BG8" i="21"/>
  <c r="BF8" i="21"/>
  <c r="AZ8" i="21"/>
  <c r="AY8" i="21"/>
  <c r="AX8" i="21"/>
  <c r="AA8" i="21"/>
  <c r="BC8" i="21" s="1"/>
  <c r="Z8" i="21"/>
  <c r="BS8" i="21" s="1"/>
  <c r="W8" i="21"/>
  <c r="BB8" i="21" s="1"/>
  <c r="V8" i="21"/>
  <c r="BJ8" i="21" s="1"/>
  <c r="S8" i="21"/>
  <c r="AD8" i="21" s="1"/>
  <c r="R8" i="21"/>
  <c r="BA8" i="21" s="1"/>
  <c r="BR7" i="21"/>
  <c r="BQ7" i="21"/>
  <c r="BP7" i="21"/>
  <c r="BO7" i="21"/>
  <c r="BN7" i="21"/>
  <c r="BI7" i="21"/>
  <c r="BH7" i="21"/>
  <c r="BL7" i="21" s="1"/>
  <c r="BG7" i="21"/>
  <c r="AP7" i="21" s="1"/>
  <c r="BF7" i="21"/>
  <c r="BC7" i="21"/>
  <c r="AZ7" i="21"/>
  <c r="AY7" i="21"/>
  <c r="AX7" i="21"/>
  <c r="AD7" i="21"/>
  <c r="AA7" i="21"/>
  <c r="BK7" i="21" s="1"/>
  <c r="Z7" i="21"/>
  <c r="BS7" i="21" s="1"/>
  <c r="W7" i="21"/>
  <c r="BB7" i="21" s="1"/>
  <c r="V7" i="21"/>
  <c r="BJ7" i="21" s="1"/>
  <c r="S7" i="21"/>
  <c r="R7" i="21"/>
  <c r="BA7" i="21" s="1"/>
  <c r="O7" i="21"/>
  <c r="N7" i="21"/>
  <c r="BQ6" i="21"/>
  <c r="BP6" i="21"/>
  <c r="BN6" i="21"/>
  <c r="BG6" i="21"/>
  <c r="BF6" i="21"/>
  <c r="BB6" i="21"/>
  <c r="AX6" i="21"/>
  <c r="AA6" i="21"/>
  <c r="BC6" i="21" s="1"/>
  <c r="Z6" i="21"/>
  <c r="BS6" i="21" s="1"/>
  <c r="W6" i="21"/>
  <c r="V6" i="21"/>
  <c r="BJ6" i="21" s="1"/>
  <c r="S6" i="21"/>
  <c r="R6" i="21"/>
  <c r="BA6" i="21" s="1"/>
  <c r="O6" i="21"/>
  <c r="BH6" i="21" s="1"/>
  <c r="N6" i="21"/>
  <c r="AZ6" i="21" s="1"/>
  <c r="K6" i="21"/>
  <c r="J6" i="21"/>
  <c r="BO6" i="21" s="1"/>
  <c r="A54" i="20"/>
  <c r="A53" i="20"/>
  <c r="A52" i="20"/>
  <c r="A51" i="20"/>
  <c r="A50" i="20"/>
  <c r="A49" i="20"/>
  <c r="A45" i="20"/>
  <c r="A44" i="20"/>
  <c r="A43" i="20"/>
  <c r="A42" i="20"/>
  <c r="A41" i="20"/>
  <c r="A40" i="20"/>
  <c r="A36" i="20"/>
  <c r="A35" i="20"/>
  <c r="A34" i="20"/>
  <c r="A33" i="20"/>
  <c r="A32" i="20"/>
  <c r="A31" i="20"/>
  <c r="A27" i="20"/>
  <c r="A26" i="20"/>
  <c r="A25" i="20"/>
  <c r="A24" i="20"/>
  <c r="A23" i="20"/>
  <c r="A22" i="20"/>
  <c r="C17" i="20"/>
  <c r="C42" i="43" s="1"/>
  <c r="C16" i="20"/>
  <c r="C41" i="43" s="1"/>
  <c r="C15" i="20"/>
  <c r="C40" i="43" s="1"/>
  <c r="C14" i="20"/>
  <c r="C39" i="43" s="1"/>
  <c r="BS11" i="20"/>
  <c r="BR11" i="20"/>
  <c r="BQ11" i="20"/>
  <c r="BP11" i="20"/>
  <c r="BO11" i="20"/>
  <c r="BN11" i="20"/>
  <c r="BK11" i="20"/>
  <c r="BJ11" i="20"/>
  <c r="BI11" i="20"/>
  <c r="AP11" i="20" s="1"/>
  <c r="BH11" i="20"/>
  <c r="BG11" i="20"/>
  <c r="BF11" i="20"/>
  <c r="BL11" i="20" s="1"/>
  <c r="BC11" i="20"/>
  <c r="BB11" i="20"/>
  <c r="BA11" i="20"/>
  <c r="AZ11" i="20"/>
  <c r="AE11" i="20" s="1"/>
  <c r="AY11" i="20"/>
  <c r="AX11" i="20"/>
  <c r="AD11" i="20"/>
  <c r="BR10" i="20"/>
  <c r="BQ10" i="20"/>
  <c r="BP10" i="20"/>
  <c r="BO10" i="20"/>
  <c r="BN10" i="20"/>
  <c r="BJ10" i="20"/>
  <c r="BI10" i="20"/>
  <c r="BH10" i="20"/>
  <c r="AP10" i="20" s="1"/>
  <c r="BG10" i="20"/>
  <c r="BF10" i="20"/>
  <c r="BC10" i="20"/>
  <c r="BB10" i="20"/>
  <c r="BA10" i="20"/>
  <c r="AZ10" i="20"/>
  <c r="AY10" i="20"/>
  <c r="AE10" i="20" s="1"/>
  <c r="AX10" i="20"/>
  <c r="BD10" i="20" s="1"/>
  <c r="AD10" i="20"/>
  <c r="AA10" i="20"/>
  <c r="Z10" i="20"/>
  <c r="BK10" i="20" s="1"/>
  <c r="BR9" i="20"/>
  <c r="BQ9" i="20"/>
  <c r="BP9" i="20"/>
  <c r="BO9" i="20"/>
  <c r="BN9" i="20"/>
  <c r="BI9" i="20"/>
  <c r="BH9" i="20"/>
  <c r="BG9" i="20"/>
  <c r="BF9" i="20"/>
  <c r="BA9" i="20"/>
  <c r="AZ9" i="20"/>
  <c r="BD9" i="20" s="1"/>
  <c r="AY9" i="20"/>
  <c r="AX9" i="20"/>
  <c r="AA9" i="20"/>
  <c r="Z9" i="20"/>
  <c r="BC9" i="20" s="1"/>
  <c r="W9" i="20"/>
  <c r="AD9" i="20" s="1"/>
  <c r="V9" i="20"/>
  <c r="BB9" i="20" s="1"/>
  <c r="BQ8" i="20"/>
  <c r="BP8" i="20"/>
  <c r="BO8" i="20"/>
  <c r="BN8" i="20"/>
  <c r="BH8" i="20"/>
  <c r="BG8" i="20"/>
  <c r="BF8" i="20"/>
  <c r="BC8" i="20"/>
  <c r="AZ8" i="20"/>
  <c r="AY8" i="20"/>
  <c r="AX8" i="20"/>
  <c r="AD8" i="20"/>
  <c r="AA8" i="20"/>
  <c r="Z8" i="20"/>
  <c r="BK8" i="20" s="1"/>
  <c r="W8" i="20"/>
  <c r="V8" i="20"/>
  <c r="BB8" i="20" s="1"/>
  <c r="S8" i="20"/>
  <c r="R8" i="20"/>
  <c r="BA8" i="20" s="1"/>
  <c r="BR7" i="20"/>
  <c r="BO7" i="20"/>
  <c r="BN7" i="20"/>
  <c r="BI7" i="20"/>
  <c r="BG7" i="20"/>
  <c r="BF7" i="20"/>
  <c r="AZ7" i="20"/>
  <c r="AY7" i="20"/>
  <c r="AX7" i="20"/>
  <c r="AA7" i="20"/>
  <c r="BC7" i="20" s="1"/>
  <c r="Z7" i="20"/>
  <c r="BS7" i="20" s="1"/>
  <c r="W7" i="20"/>
  <c r="BB7" i="20" s="1"/>
  <c r="V7" i="20"/>
  <c r="BJ7" i="20" s="1"/>
  <c r="S7" i="20"/>
  <c r="R7" i="20"/>
  <c r="BQ7" i="20" s="1"/>
  <c r="O7" i="20"/>
  <c r="AD7" i="20" s="1"/>
  <c r="N7" i="20"/>
  <c r="BH7" i="20" s="1"/>
  <c r="BQ6" i="20"/>
  <c r="BN6" i="20"/>
  <c r="BH6" i="20"/>
  <c r="BF6" i="20"/>
  <c r="BC6" i="20"/>
  <c r="AY6" i="20"/>
  <c r="AX6" i="20"/>
  <c r="AD6" i="20"/>
  <c r="AA6" i="20"/>
  <c r="Z6" i="20"/>
  <c r="BK6" i="20" s="1"/>
  <c r="W6" i="20"/>
  <c r="V6" i="20"/>
  <c r="BB6" i="20" s="1"/>
  <c r="S6" i="20"/>
  <c r="R6" i="20"/>
  <c r="BA6" i="20" s="1"/>
  <c r="O6" i="20"/>
  <c r="N6" i="20"/>
  <c r="BP6" i="20" s="1"/>
  <c r="K6" i="20"/>
  <c r="J6" i="20"/>
  <c r="BG6" i="20" s="1"/>
  <c r="A54" i="19"/>
  <c r="A53" i="19"/>
  <c r="A52" i="19"/>
  <c r="A51" i="19"/>
  <c r="A50" i="19"/>
  <c r="A49" i="19"/>
  <c r="A45" i="19"/>
  <c r="A44" i="19"/>
  <c r="A43" i="19"/>
  <c r="A42" i="19"/>
  <c r="A41" i="19"/>
  <c r="A40" i="19"/>
  <c r="A36" i="19"/>
  <c r="A35" i="19"/>
  <c r="A34" i="19"/>
  <c r="A33" i="19"/>
  <c r="A32" i="19"/>
  <c r="A31" i="19"/>
  <c r="A27" i="19"/>
  <c r="A26" i="19"/>
  <c r="A25" i="19"/>
  <c r="A24" i="19"/>
  <c r="A23" i="19"/>
  <c r="A22" i="19"/>
  <c r="C17" i="19"/>
  <c r="C38" i="43" s="1"/>
  <c r="C16" i="19"/>
  <c r="C37" i="43" s="1"/>
  <c r="C15" i="19"/>
  <c r="C36" i="43" s="1"/>
  <c r="C14" i="19"/>
  <c r="C35" i="43" s="1"/>
  <c r="BS11" i="19"/>
  <c r="BR11" i="19"/>
  <c r="BQ11" i="19"/>
  <c r="AQ11" i="19" s="1"/>
  <c r="BP11" i="19"/>
  <c r="BO11" i="19"/>
  <c r="BN11" i="19"/>
  <c r="BT11" i="19" s="1"/>
  <c r="BK11" i="19"/>
  <c r="BJ11" i="19"/>
  <c r="BI11" i="19"/>
  <c r="BH11" i="19"/>
  <c r="AP11" i="19" s="1"/>
  <c r="BG11" i="19"/>
  <c r="BF11" i="19"/>
  <c r="BC11" i="19"/>
  <c r="BB11" i="19"/>
  <c r="BA11" i="19"/>
  <c r="AZ11" i="19"/>
  <c r="AY11" i="19"/>
  <c r="AE11" i="19" s="1"/>
  <c r="AX11" i="19"/>
  <c r="BD11" i="19" s="1"/>
  <c r="AD11" i="19"/>
  <c r="BR10" i="19"/>
  <c r="BQ10" i="19"/>
  <c r="BP10" i="19"/>
  <c r="BO10" i="19"/>
  <c r="BN10" i="19"/>
  <c r="BJ10" i="19"/>
  <c r="BI10" i="19"/>
  <c r="BH10" i="19"/>
  <c r="BG10" i="19"/>
  <c r="BF10" i="19"/>
  <c r="BB10" i="19"/>
  <c r="BA10" i="19"/>
  <c r="AZ10" i="19"/>
  <c r="AY10" i="19"/>
  <c r="AX10" i="19"/>
  <c r="AA10" i="19"/>
  <c r="AD10" i="19" s="1"/>
  <c r="Z10" i="19"/>
  <c r="BS10" i="19" s="1"/>
  <c r="AQ10" i="19" s="1"/>
  <c r="BQ9" i="19"/>
  <c r="BP9" i="19"/>
  <c r="BO9" i="19"/>
  <c r="BN9" i="19"/>
  <c r="BI9" i="19"/>
  <c r="BH9" i="19"/>
  <c r="BG9" i="19"/>
  <c r="BF9" i="19"/>
  <c r="BC9" i="19"/>
  <c r="BA9" i="19"/>
  <c r="AZ9" i="19"/>
  <c r="AY9" i="19"/>
  <c r="AX9" i="19"/>
  <c r="AD9" i="19"/>
  <c r="AA9" i="19"/>
  <c r="Z9" i="19"/>
  <c r="BK9" i="19" s="1"/>
  <c r="W9" i="19"/>
  <c r="V9" i="19"/>
  <c r="BB9" i="19" s="1"/>
  <c r="BP8" i="19"/>
  <c r="BO8" i="19"/>
  <c r="BN8" i="19"/>
  <c r="BH8" i="19"/>
  <c r="BG8" i="19"/>
  <c r="BF8" i="19"/>
  <c r="AZ8" i="19"/>
  <c r="AY8" i="19"/>
  <c r="AX8" i="19"/>
  <c r="AA8" i="19"/>
  <c r="BK8" i="19" s="1"/>
  <c r="Z8" i="19"/>
  <c r="BS8" i="19" s="1"/>
  <c r="W8" i="19"/>
  <c r="BB8" i="19" s="1"/>
  <c r="V8" i="19"/>
  <c r="BJ8" i="19" s="1"/>
  <c r="S8" i="19"/>
  <c r="R8" i="19"/>
  <c r="BA8" i="19" s="1"/>
  <c r="BQ7" i="19"/>
  <c r="BO7" i="19"/>
  <c r="BN7" i="19"/>
  <c r="BH7" i="19"/>
  <c r="BG7" i="19"/>
  <c r="BF7" i="19"/>
  <c r="BC7" i="19"/>
  <c r="AY7" i="19"/>
  <c r="AX7" i="19"/>
  <c r="AD7" i="19"/>
  <c r="AA7" i="19"/>
  <c r="Z7" i="19"/>
  <c r="BK7" i="19" s="1"/>
  <c r="W7" i="19"/>
  <c r="V7" i="19"/>
  <c r="BB7" i="19" s="1"/>
  <c r="S7" i="19"/>
  <c r="R7" i="19"/>
  <c r="BA7" i="19" s="1"/>
  <c r="O7" i="19"/>
  <c r="N7" i="19"/>
  <c r="BP7" i="19" s="1"/>
  <c r="BP6" i="19"/>
  <c r="BN6" i="19"/>
  <c r="BF6" i="19"/>
  <c r="AX6" i="19"/>
  <c r="AA6" i="19"/>
  <c r="BK6" i="19" s="1"/>
  <c r="Z6" i="19"/>
  <c r="BS6" i="19" s="1"/>
  <c r="W6" i="19"/>
  <c r="BB6" i="19" s="1"/>
  <c r="V6" i="19"/>
  <c r="BJ6" i="19" s="1"/>
  <c r="S6" i="19"/>
  <c r="R6" i="19"/>
  <c r="BA6" i="19" s="1"/>
  <c r="O6" i="19"/>
  <c r="N6" i="19"/>
  <c r="AZ6" i="19" s="1"/>
  <c r="K6" i="19"/>
  <c r="BG6" i="19" s="1"/>
  <c r="J6" i="19"/>
  <c r="BO6" i="19" s="1"/>
  <c r="A54" i="18"/>
  <c r="A53" i="18"/>
  <c r="A52" i="18"/>
  <c r="A51" i="18"/>
  <c r="A50" i="18"/>
  <c r="A49" i="18"/>
  <c r="A45" i="18"/>
  <c r="A44" i="18"/>
  <c r="A43" i="18"/>
  <c r="A42" i="18"/>
  <c r="A41" i="18"/>
  <c r="A40" i="18"/>
  <c r="A36" i="18"/>
  <c r="A35" i="18"/>
  <c r="A34" i="18"/>
  <c r="A33" i="18"/>
  <c r="A32" i="18"/>
  <c r="A31" i="18"/>
  <c r="A27" i="18"/>
  <c r="A26" i="18"/>
  <c r="A25" i="18"/>
  <c r="A24" i="18"/>
  <c r="A23" i="18"/>
  <c r="A22" i="18"/>
  <c r="C17" i="18"/>
  <c r="C34" i="43" s="1"/>
  <c r="C16" i="18"/>
  <c r="C33" i="43" s="1"/>
  <c r="C15" i="18"/>
  <c r="C32" i="43" s="1"/>
  <c r="C14" i="18"/>
  <c r="C31" i="43" s="1"/>
  <c r="BS11" i="18"/>
  <c r="BR11" i="18"/>
  <c r="BQ11" i="18"/>
  <c r="BP11" i="18"/>
  <c r="BO11" i="18"/>
  <c r="BN11" i="18"/>
  <c r="BT11" i="18" s="1"/>
  <c r="BK11" i="18"/>
  <c r="BJ11" i="18"/>
  <c r="BI11" i="18"/>
  <c r="BH11" i="18"/>
  <c r="BG11" i="18"/>
  <c r="AP11" i="18" s="1"/>
  <c r="BF11" i="18"/>
  <c r="BL11" i="18" s="1"/>
  <c r="BC11" i="18"/>
  <c r="BB11" i="18"/>
  <c r="BA11" i="18"/>
  <c r="AZ11" i="18"/>
  <c r="BD11" i="18" s="1"/>
  <c r="AY11" i="18"/>
  <c r="AX11" i="18"/>
  <c r="AE11" i="18"/>
  <c r="AE45" i="18" s="1"/>
  <c r="AD45" i="18" s="1"/>
  <c r="AD11" i="18"/>
  <c r="BR10" i="18"/>
  <c r="BQ10" i="18"/>
  <c r="BP10" i="18"/>
  <c r="BO10" i="18"/>
  <c r="BN10" i="18"/>
  <c r="BJ10" i="18"/>
  <c r="BI10" i="18"/>
  <c r="BH10" i="18"/>
  <c r="BG10" i="18"/>
  <c r="BF10" i="18"/>
  <c r="BC10" i="18"/>
  <c r="BB10" i="18"/>
  <c r="BA10" i="18"/>
  <c r="AZ10" i="18"/>
  <c r="AY10" i="18"/>
  <c r="AX10" i="18"/>
  <c r="BD10" i="18" s="1"/>
  <c r="AD10" i="18"/>
  <c r="AA10" i="18"/>
  <c r="Z10" i="18"/>
  <c r="BK10" i="18" s="1"/>
  <c r="BR9" i="18"/>
  <c r="BQ9" i="18"/>
  <c r="BP9" i="18"/>
  <c r="BO9" i="18"/>
  <c r="BN9" i="18"/>
  <c r="BI9" i="18"/>
  <c r="BH9" i="18"/>
  <c r="BG9" i="18"/>
  <c r="BF9" i="18"/>
  <c r="BA9" i="18"/>
  <c r="AZ9" i="18"/>
  <c r="AY9" i="18"/>
  <c r="AX9" i="18"/>
  <c r="AA9" i="18"/>
  <c r="BC9" i="18" s="1"/>
  <c r="Z9" i="18"/>
  <c r="BS9" i="18" s="1"/>
  <c r="W9" i="18"/>
  <c r="AD9" i="18" s="1"/>
  <c r="V9" i="18"/>
  <c r="BJ9" i="18" s="1"/>
  <c r="BQ8" i="18"/>
  <c r="BP8" i="18"/>
  <c r="BO8" i="18"/>
  <c r="BN8" i="18"/>
  <c r="BH8" i="18"/>
  <c r="BG8" i="18"/>
  <c r="BF8" i="18"/>
  <c r="BC8" i="18"/>
  <c r="AZ8" i="18"/>
  <c r="AY8" i="18"/>
  <c r="AX8" i="18"/>
  <c r="BD8" i="18" s="1"/>
  <c r="AD8" i="18"/>
  <c r="AA8" i="18"/>
  <c r="Z8" i="18"/>
  <c r="BK8" i="18" s="1"/>
  <c r="W8" i="18"/>
  <c r="V8" i="18"/>
  <c r="BB8" i="18" s="1"/>
  <c r="S8" i="18"/>
  <c r="R8" i="18"/>
  <c r="BA8" i="18" s="1"/>
  <c r="BR7" i="18"/>
  <c r="BQ7" i="18"/>
  <c r="BP7" i="18"/>
  <c r="BO7" i="18"/>
  <c r="BN7" i="18"/>
  <c r="BI7" i="18"/>
  <c r="BG7" i="18"/>
  <c r="BF7" i="18"/>
  <c r="AZ7" i="18"/>
  <c r="AY7" i="18"/>
  <c r="AX7" i="18"/>
  <c r="AA7" i="18"/>
  <c r="BC7" i="18" s="1"/>
  <c r="Z7" i="18"/>
  <c r="BS7" i="18" s="1"/>
  <c r="W7" i="18"/>
  <c r="BB7" i="18" s="1"/>
  <c r="V7" i="18"/>
  <c r="BJ7" i="18" s="1"/>
  <c r="S7" i="18"/>
  <c r="R7" i="18"/>
  <c r="BA7" i="18" s="1"/>
  <c r="AE7" i="18" s="1"/>
  <c r="O7" i="18"/>
  <c r="BH7" i="18" s="1"/>
  <c r="N7" i="18"/>
  <c r="BQ6" i="18"/>
  <c r="BN6" i="18"/>
  <c r="BH6" i="18"/>
  <c r="BF6" i="18"/>
  <c r="BC6" i="18"/>
  <c r="AY6" i="18"/>
  <c r="AX6" i="18"/>
  <c r="AD6" i="18"/>
  <c r="AA6" i="18"/>
  <c r="Z6" i="18"/>
  <c r="BK6" i="18" s="1"/>
  <c r="W6" i="18"/>
  <c r="V6" i="18"/>
  <c r="BB6" i="18" s="1"/>
  <c r="S6" i="18"/>
  <c r="R6" i="18"/>
  <c r="BA6" i="18" s="1"/>
  <c r="O6" i="18"/>
  <c r="N6" i="18"/>
  <c r="BP6" i="18" s="1"/>
  <c r="K6" i="18"/>
  <c r="J6" i="18"/>
  <c r="BG6" i="18" s="1"/>
  <c r="A54" i="17"/>
  <c r="A53" i="17"/>
  <c r="A52" i="17"/>
  <c r="A51" i="17"/>
  <c r="A50" i="17"/>
  <c r="A49" i="17"/>
  <c r="A45" i="17"/>
  <c r="A44" i="17"/>
  <c r="A43" i="17"/>
  <c r="A42" i="17"/>
  <c r="A41" i="17"/>
  <c r="A40" i="17"/>
  <c r="A36" i="17"/>
  <c r="A35" i="17"/>
  <c r="A34" i="17"/>
  <c r="A33" i="17"/>
  <c r="A32" i="17"/>
  <c r="A31" i="17"/>
  <c r="A27" i="17"/>
  <c r="A26" i="17"/>
  <c r="A25" i="17"/>
  <c r="A24" i="17"/>
  <c r="A23" i="17"/>
  <c r="A22" i="17"/>
  <c r="C17" i="17"/>
  <c r="C30" i="43" s="1"/>
  <c r="C16" i="17"/>
  <c r="C29" i="43" s="1"/>
  <c r="C15" i="17"/>
  <c r="C28" i="43" s="1"/>
  <c r="C14" i="17"/>
  <c r="C27" i="43" s="1"/>
  <c r="BS11" i="17"/>
  <c r="BR11" i="17"/>
  <c r="BQ11" i="17"/>
  <c r="BP11" i="17"/>
  <c r="BO11" i="17"/>
  <c r="AQ11" i="17" s="1"/>
  <c r="BN11" i="17"/>
  <c r="BT11" i="17" s="1"/>
  <c r="BK11" i="17"/>
  <c r="BJ11" i="17"/>
  <c r="BI11" i="17"/>
  <c r="BH11" i="17"/>
  <c r="BG11" i="17"/>
  <c r="BF11" i="17"/>
  <c r="BL11" i="17" s="1"/>
  <c r="BC11" i="17"/>
  <c r="BB11" i="17"/>
  <c r="BA11" i="17"/>
  <c r="AE11" i="17" s="1"/>
  <c r="AZ11" i="17"/>
  <c r="AY11" i="17"/>
  <c r="AX11" i="17"/>
  <c r="BD11" i="17" s="1"/>
  <c r="AP11" i="17"/>
  <c r="AD11" i="17"/>
  <c r="BR10" i="17"/>
  <c r="BQ10" i="17"/>
  <c r="BP10" i="17"/>
  <c r="BO10" i="17"/>
  <c r="BN10" i="17"/>
  <c r="BJ10" i="17"/>
  <c r="BI10" i="17"/>
  <c r="BH10" i="17"/>
  <c r="BG10" i="17"/>
  <c r="BF10" i="17"/>
  <c r="BB10" i="17"/>
  <c r="BA10" i="17"/>
  <c r="AZ10" i="17"/>
  <c r="AY10" i="17"/>
  <c r="AX10" i="17"/>
  <c r="AA10" i="17"/>
  <c r="AD10" i="17" s="1"/>
  <c r="Z10" i="17"/>
  <c r="BC10" i="17" s="1"/>
  <c r="AE10" i="17" s="1"/>
  <c r="BQ9" i="17"/>
  <c r="BP9" i="17"/>
  <c r="BO9" i="17"/>
  <c r="BN9" i="17"/>
  <c r="BI9" i="17"/>
  <c r="BH9" i="17"/>
  <c r="BG9" i="17"/>
  <c r="BF9" i="17"/>
  <c r="BA9" i="17"/>
  <c r="AZ9" i="17"/>
  <c r="AY9" i="17"/>
  <c r="AX9" i="17"/>
  <c r="AA9" i="17"/>
  <c r="Z9" i="17"/>
  <c r="BC9" i="17" s="1"/>
  <c r="W9" i="17"/>
  <c r="V9" i="17"/>
  <c r="BR9" i="17" s="1"/>
  <c r="BR8" i="17"/>
  <c r="BP8" i="17"/>
  <c r="BO8" i="17"/>
  <c r="BN8" i="17"/>
  <c r="BI8" i="17"/>
  <c r="BH8" i="17"/>
  <c r="BG8" i="17"/>
  <c r="BF8" i="17"/>
  <c r="AZ8" i="17"/>
  <c r="AY8" i="17"/>
  <c r="AX8" i="17"/>
  <c r="AA8" i="17"/>
  <c r="Z8" i="17"/>
  <c r="BC8" i="17" s="1"/>
  <c r="W8" i="17"/>
  <c r="BB8" i="17" s="1"/>
  <c r="V8" i="17"/>
  <c r="BJ8" i="17" s="1"/>
  <c r="S8" i="17"/>
  <c r="R8" i="17"/>
  <c r="BQ8" i="17" s="1"/>
  <c r="BO7" i="17"/>
  <c r="BN7" i="17"/>
  <c r="BG7" i="17"/>
  <c r="BF7" i="17"/>
  <c r="AY7" i="17"/>
  <c r="AX7" i="17"/>
  <c r="AA7" i="17"/>
  <c r="Z7" i="17"/>
  <c r="BC7" i="17" s="1"/>
  <c r="W7" i="17"/>
  <c r="V7" i="17"/>
  <c r="BR7" i="17" s="1"/>
  <c r="S7" i="17"/>
  <c r="R7" i="17"/>
  <c r="BI7" i="17" s="1"/>
  <c r="O7" i="17"/>
  <c r="N7" i="17"/>
  <c r="AZ7" i="17" s="1"/>
  <c r="BR6" i="17"/>
  <c r="BN6" i="17"/>
  <c r="BI6" i="17"/>
  <c r="BF6" i="17"/>
  <c r="AZ6" i="17"/>
  <c r="AX6" i="17"/>
  <c r="AA6" i="17"/>
  <c r="BK6" i="17" s="1"/>
  <c r="Z6" i="17"/>
  <c r="BC6" i="17" s="1"/>
  <c r="W6" i="17"/>
  <c r="BB6" i="17" s="1"/>
  <c r="V6" i="17"/>
  <c r="BJ6" i="17" s="1"/>
  <c r="S6" i="17"/>
  <c r="R6" i="17"/>
  <c r="BQ6" i="17" s="1"/>
  <c r="O6" i="17"/>
  <c r="N6" i="17"/>
  <c r="BH6" i="17" s="1"/>
  <c r="K6" i="17"/>
  <c r="J6" i="17"/>
  <c r="AY6" i="17" s="1"/>
  <c r="A54" i="16"/>
  <c r="A53" i="16"/>
  <c r="A52" i="16"/>
  <c r="A51" i="16"/>
  <c r="A50" i="16"/>
  <c r="A49" i="16"/>
  <c r="A45" i="16"/>
  <c r="A44" i="16"/>
  <c r="A43" i="16"/>
  <c r="A42" i="16"/>
  <c r="A41" i="16"/>
  <c r="A40" i="16"/>
  <c r="A36" i="16"/>
  <c r="A35" i="16"/>
  <c r="A34" i="16"/>
  <c r="A33" i="16"/>
  <c r="A32" i="16"/>
  <c r="A31" i="16"/>
  <c r="A27" i="16"/>
  <c r="A26" i="16"/>
  <c r="A25" i="16"/>
  <c r="A24" i="16"/>
  <c r="A23" i="16"/>
  <c r="A22" i="16"/>
  <c r="C17" i="16"/>
  <c r="C26" i="43" s="1"/>
  <c r="C16" i="16"/>
  <c r="C25" i="43" s="1"/>
  <c r="C15" i="16"/>
  <c r="C24" i="43" s="1"/>
  <c r="C14" i="16"/>
  <c r="C23" i="43" s="1"/>
  <c r="BS11" i="16"/>
  <c r="BR11" i="16"/>
  <c r="BQ11" i="16"/>
  <c r="BP11" i="16"/>
  <c r="BT11" i="16" s="1"/>
  <c r="BO11" i="16"/>
  <c r="BN11" i="16"/>
  <c r="BK11" i="16"/>
  <c r="BJ11" i="16"/>
  <c r="BI11" i="16"/>
  <c r="BH11" i="16"/>
  <c r="BG11" i="16"/>
  <c r="AP11" i="16" s="1"/>
  <c r="BF11" i="16"/>
  <c r="BL11" i="16" s="1"/>
  <c r="BC11" i="16"/>
  <c r="BB11" i="16"/>
  <c r="BA11" i="16"/>
  <c r="AZ11" i="16"/>
  <c r="AY11" i="16"/>
  <c r="AX11" i="16"/>
  <c r="BD11" i="16" s="1"/>
  <c r="AQ11" i="16"/>
  <c r="AD11" i="16"/>
  <c r="BR10" i="16"/>
  <c r="BQ10" i="16"/>
  <c r="BP10" i="16"/>
  <c r="BO10" i="16"/>
  <c r="BN10" i="16"/>
  <c r="BJ10" i="16"/>
  <c r="BI10" i="16"/>
  <c r="BH10" i="16"/>
  <c r="BG10" i="16"/>
  <c r="BF10" i="16"/>
  <c r="BB10" i="16"/>
  <c r="BA10" i="16"/>
  <c r="AZ10" i="16"/>
  <c r="AY10" i="16"/>
  <c r="AX10" i="16"/>
  <c r="AA10" i="16"/>
  <c r="Z10" i="16"/>
  <c r="BC10" i="16" s="1"/>
  <c r="BR9" i="16"/>
  <c r="BQ9" i="16"/>
  <c r="BP9" i="16"/>
  <c r="BO9" i="16"/>
  <c r="BN9" i="16"/>
  <c r="BI9" i="16"/>
  <c r="BH9" i="16"/>
  <c r="BG9" i="16"/>
  <c r="BF9" i="16"/>
  <c r="BA9" i="16"/>
  <c r="AZ9" i="16"/>
  <c r="AY9" i="16"/>
  <c r="AX9" i="16"/>
  <c r="AA9" i="16"/>
  <c r="BC9" i="16" s="1"/>
  <c r="Z9" i="16"/>
  <c r="BS9" i="16" s="1"/>
  <c r="AQ9" i="16" s="1"/>
  <c r="W9" i="16"/>
  <c r="AD9" i="16" s="1"/>
  <c r="V9" i="16"/>
  <c r="BJ9" i="16" s="1"/>
  <c r="BP8" i="16"/>
  <c r="BO8" i="16"/>
  <c r="BN8" i="16"/>
  <c r="BH8" i="16"/>
  <c r="BG8" i="16"/>
  <c r="BF8" i="16"/>
  <c r="AZ8" i="16"/>
  <c r="AY8" i="16"/>
  <c r="AX8" i="16"/>
  <c r="AA8" i="16"/>
  <c r="Z8" i="16"/>
  <c r="BC8" i="16" s="1"/>
  <c r="W8" i="16"/>
  <c r="V8" i="16"/>
  <c r="BR8" i="16" s="1"/>
  <c r="S8" i="16"/>
  <c r="R8" i="16"/>
  <c r="BI8" i="16" s="1"/>
  <c r="BR7" i="16"/>
  <c r="BQ7" i="16"/>
  <c r="BP7" i="16"/>
  <c r="BO7" i="16"/>
  <c r="BN7" i="16"/>
  <c r="BG7" i="16"/>
  <c r="BF7" i="16"/>
  <c r="AY7" i="16"/>
  <c r="AX7" i="16"/>
  <c r="AA7" i="16"/>
  <c r="BC7" i="16" s="1"/>
  <c r="Z7" i="16"/>
  <c r="BS7" i="16" s="1"/>
  <c r="AQ7" i="16" s="1"/>
  <c r="W7" i="16"/>
  <c r="BB7" i="16" s="1"/>
  <c r="V7" i="16"/>
  <c r="BJ7" i="16" s="1"/>
  <c r="S7" i="16"/>
  <c r="BI7" i="16" s="1"/>
  <c r="R7" i="16"/>
  <c r="BA7" i="16" s="1"/>
  <c r="O7" i="16"/>
  <c r="AZ7" i="16" s="1"/>
  <c r="N7" i="16"/>
  <c r="BN6" i="16"/>
  <c r="BF6" i="16"/>
  <c r="AX6" i="16"/>
  <c r="AA6" i="16"/>
  <c r="Z6" i="16"/>
  <c r="BC6" i="16" s="1"/>
  <c r="W6" i="16"/>
  <c r="V6" i="16"/>
  <c r="BR6" i="16" s="1"/>
  <c r="S6" i="16"/>
  <c r="R6" i="16"/>
  <c r="BI6" i="16" s="1"/>
  <c r="O6" i="16"/>
  <c r="N6" i="16"/>
  <c r="AZ6" i="16" s="1"/>
  <c r="K6" i="16"/>
  <c r="J6" i="16"/>
  <c r="AY6" i="16" s="1"/>
  <c r="A54" i="15"/>
  <c r="A53" i="15"/>
  <c r="A52" i="15"/>
  <c r="A51" i="15"/>
  <c r="A50" i="15"/>
  <c r="A49" i="15"/>
  <c r="A45" i="15"/>
  <c r="A44" i="15"/>
  <c r="A43" i="15"/>
  <c r="A42" i="15"/>
  <c r="A41" i="15"/>
  <c r="A40" i="15"/>
  <c r="A36" i="15"/>
  <c r="A35" i="15"/>
  <c r="A34" i="15"/>
  <c r="A33" i="15"/>
  <c r="A32" i="15"/>
  <c r="A31" i="15"/>
  <c r="A27" i="15"/>
  <c r="A26" i="15"/>
  <c r="A25" i="15"/>
  <c r="A24" i="15"/>
  <c r="A23" i="15"/>
  <c r="A22" i="15"/>
  <c r="C17" i="15"/>
  <c r="C22" i="43" s="1"/>
  <c r="C16" i="15"/>
  <c r="C21" i="43" s="1"/>
  <c r="C15" i="15"/>
  <c r="C20" i="43" s="1"/>
  <c r="C14" i="15"/>
  <c r="C19" i="43" s="1"/>
  <c r="BS11" i="15"/>
  <c r="BR11" i="15"/>
  <c r="BQ11" i="15"/>
  <c r="AQ11" i="15" s="1"/>
  <c r="BP11" i="15"/>
  <c r="BO11" i="15"/>
  <c r="BN11" i="15"/>
  <c r="BT11" i="15" s="1"/>
  <c r="BK11" i="15"/>
  <c r="BJ11" i="15"/>
  <c r="BI11" i="15"/>
  <c r="BH11" i="15"/>
  <c r="BL11" i="15" s="1"/>
  <c r="BG11" i="15"/>
  <c r="AP11" i="15" s="1"/>
  <c r="BF11" i="15"/>
  <c r="BC11" i="15"/>
  <c r="BB11" i="15"/>
  <c r="BA11" i="15"/>
  <c r="AZ11" i="15"/>
  <c r="AY11" i="15"/>
  <c r="AE11" i="15" s="1"/>
  <c r="AX11" i="15"/>
  <c r="BD11" i="15" s="1"/>
  <c r="AD11" i="15"/>
  <c r="BR10" i="15"/>
  <c r="BQ10" i="15"/>
  <c r="BP10" i="15"/>
  <c r="BT10" i="15" s="1"/>
  <c r="BO10" i="15"/>
  <c r="BN10" i="15"/>
  <c r="BJ10" i="15"/>
  <c r="BI10" i="15"/>
  <c r="BH10" i="15"/>
  <c r="BG10" i="15"/>
  <c r="BF10" i="15"/>
  <c r="BB10" i="15"/>
  <c r="BA10" i="15"/>
  <c r="AZ10" i="15"/>
  <c r="AY10" i="15"/>
  <c r="AX10" i="15"/>
  <c r="AA10" i="15"/>
  <c r="AD10" i="15" s="1"/>
  <c r="Z10" i="15"/>
  <c r="BS10" i="15" s="1"/>
  <c r="AQ10" i="15" s="1"/>
  <c r="BR9" i="15"/>
  <c r="BQ9" i="15"/>
  <c r="BP9" i="15"/>
  <c r="BO9" i="15"/>
  <c r="BN9" i="15"/>
  <c r="BI9" i="15"/>
  <c r="BH9" i="15"/>
  <c r="BG9" i="15"/>
  <c r="BF9" i="15"/>
  <c r="BC9" i="15"/>
  <c r="BA9" i="15"/>
  <c r="AZ9" i="15"/>
  <c r="AY9" i="15"/>
  <c r="AX9" i="15"/>
  <c r="AD9" i="15"/>
  <c r="AA9" i="15"/>
  <c r="BK9" i="15" s="1"/>
  <c r="Z9" i="15"/>
  <c r="BS9" i="15" s="1"/>
  <c r="W9" i="15"/>
  <c r="BB9" i="15" s="1"/>
  <c r="V9" i="15"/>
  <c r="BJ9" i="15" s="1"/>
  <c r="BP8" i="15"/>
  <c r="BO8" i="15"/>
  <c r="BN8" i="15"/>
  <c r="BH8" i="15"/>
  <c r="BG8" i="15"/>
  <c r="BF8" i="15"/>
  <c r="AZ8" i="15"/>
  <c r="AY8" i="15"/>
  <c r="AX8" i="15"/>
  <c r="AA8" i="15"/>
  <c r="BK8" i="15" s="1"/>
  <c r="Z8" i="15"/>
  <c r="BS8" i="15" s="1"/>
  <c r="W8" i="15"/>
  <c r="BB8" i="15" s="1"/>
  <c r="V8" i="15"/>
  <c r="BJ8" i="15" s="1"/>
  <c r="S8" i="15"/>
  <c r="R8" i="15"/>
  <c r="BA8" i="15" s="1"/>
  <c r="BR7" i="15"/>
  <c r="BQ7" i="15"/>
  <c r="BP7" i="15"/>
  <c r="BT7" i="15" s="1"/>
  <c r="BO7" i="15"/>
  <c r="BN7" i="15"/>
  <c r="BH7" i="15"/>
  <c r="BG7" i="15"/>
  <c r="AP7" i="15" s="1"/>
  <c r="BF7" i="15"/>
  <c r="BC7" i="15"/>
  <c r="AY7" i="15"/>
  <c r="AX7" i="15"/>
  <c r="AD7" i="15"/>
  <c r="AA7" i="15"/>
  <c r="BK7" i="15" s="1"/>
  <c r="Z7" i="15"/>
  <c r="BS7" i="15" s="1"/>
  <c r="W7" i="15"/>
  <c r="BB7" i="15" s="1"/>
  <c r="V7" i="15"/>
  <c r="BJ7" i="15" s="1"/>
  <c r="S7" i="15"/>
  <c r="BI7" i="15" s="1"/>
  <c r="R7" i="15"/>
  <c r="BA7" i="15" s="1"/>
  <c r="O7" i="15"/>
  <c r="AZ7" i="15" s="1"/>
  <c r="N7" i="15"/>
  <c r="BP6" i="15"/>
  <c r="BN6" i="15"/>
  <c r="BF6" i="15"/>
  <c r="AX6" i="15"/>
  <c r="AA6" i="15"/>
  <c r="BK6" i="15" s="1"/>
  <c r="Z6" i="15"/>
  <c r="BS6" i="15" s="1"/>
  <c r="W6" i="15"/>
  <c r="BB6" i="15" s="1"/>
  <c r="V6" i="15"/>
  <c r="BJ6" i="15" s="1"/>
  <c r="S6" i="15"/>
  <c r="R6" i="15"/>
  <c r="BA6" i="15" s="1"/>
  <c r="O6" i="15"/>
  <c r="N6" i="15"/>
  <c r="AZ6" i="15" s="1"/>
  <c r="K6" i="15"/>
  <c r="BG6" i="15" s="1"/>
  <c r="J6" i="15"/>
  <c r="BO6" i="15" s="1"/>
  <c r="A54" i="14"/>
  <c r="A53" i="14"/>
  <c r="A52" i="14"/>
  <c r="A51" i="14"/>
  <c r="A50" i="14"/>
  <c r="A49" i="14"/>
  <c r="A45" i="14"/>
  <c r="A44" i="14"/>
  <c r="A43" i="14"/>
  <c r="A42" i="14"/>
  <c r="A41" i="14"/>
  <c r="A40" i="14"/>
  <c r="A36" i="14"/>
  <c r="A35" i="14"/>
  <c r="A34" i="14"/>
  <c r="A33" i="14"/>
  <c r="A32" i="14"/>
  <c r="A31" i="14"/>
  <c r="A27" i="14"/>
  <c r="A26" i="14"/>
  <c r="A25" i="14"/>
  <c r="A24" i="14"/>
  <c r="A23" i="14"/>
  <c r="A22" i="14"/>
  <c r="C17" i="14"/>
  <c r="C18" i="43" s="1"/>
  <c r="C16" i="14"/>
  <c r="C17" i="43" s="1"/>
  <c r="C15" i="14"/>
  <c r="C16" i="43" s="1"/>
  <c r="C14" i="14"/>
  <c r="C15" i="43" s="1"/>
  <c r="BS11" i="14"/>
  <c r="BR11" i="14"/>
  <c r="BQ11" i="14"/>
  <c r="BP11" i="14"/>
  <c r="BO11" i="14"/>
  <c r="BN11" i="14"/>
  <c r="BK11" i="14"/>
  <c r="BJ11" i="14"/>
  <c r="BI11" i="14"/>
  <c r="BH11" i="14"/>
  <c r="BG11" i="14"/>
  <c r="BF11" i="14"/>
  <c r="BL11" i="14" s="1"/>
  <c r="BC11" i="14"/>
  <c r="BB11" i="14"/>
  <c r="BA11" i="14"/>
  <c r="AZ11" i="14"/>
  <c r="BD11" i="14" s="1"/>
  <c r="AY11" i="14"/>
  <c r="AX11" i="14"/>
  <c r="AD11" i="14"/>
  <c r="BR10" i="14"/>
  <c r="BQ10" i="14"/>
  <c r="BP10" i="14"/>
  <c r="BO10" i="14"/>
  <c r="BN10" i="14"/>
  <c r="BJ10" i="14"/>
  <c r="BI10" i="14"/>
  <c r="BH10" i="14"/>
  <c r="BG10" i="14"/>
  <c r="BF10" i="14"/>
  <c r="BC10" i="14"/>
  <c r="BB10" i="14"/>
  <c r="BA10" i="14"/>
  <c r="AZ10" i="14"/>
  <c r="AY10" i="14"/>
  <c r="AX10" i="14"/>
  <c r="BD10" i="14" s="1"/>
  <c r="AD10" i="14"/>
  <c r="AA10" i="14"/>
  <c r="Z10" i="14"/>
  <c r="BK10" i="14" s="1"/>
  <c r="BR9" i="14"/>
  <c r="BQ9" i="14"/>
  <c r="BP9" i="14"/>
  <c r="BO9" i="14"/>
  <c r="BN9" i="14"/>
  <c r="BT9" i="14" s="1"/>
  <c r="BK9" i="14"/>
  <c r="BI9" i="14"/>
  <c r="BH9" i="14"/>
  <c r="BG9" i="14"/>
  <c r="BF9" i="14"/>
  <c r="BC9" i="14"/>
  <c r="BA9" i="14"/>
  <c r="AZ9" i="14"/>
  <c r="AY9" i="14"/>
  <c r="AX9" i="14"/>
  <c r="AQ9" i="14"/>
  <c r="AD9" i="14"/>
  <c r="AA9" i="14"/>
  <c r="Z9" i="14"/>
  <c r="BS9" i="14" s="1"/>
  <c r="W9" i="14"/>
  <c r="BB9" i="14" s="1"/>
  <c r="V9" i="14"/>
  <c r="BJ9" i="14" s="1"/>
  <c r="BP8" i="14"/>
  <c r="BO8" i="14"/>
  <c r="BN8" i="14"/>
  <c r="BH8" i="14"/>
  <c r="BG8" i="14"/>
  <c r="BF8" i="14"/>
  <c r="AZ8" i="14"/>
  <c r="AY8" i="14"/>
  <c r="AX8" i="14"/>
  <c r="AA8" i="14"/>
  <c r="Z8" i="14"/>
  <c r="W8" i="14"/>
  <c r="V8" i="14"/>
  <c r="BJ8" i="14" s="1"/>
  <c r="S8" i="14"/>
  <c r="R8" i="14"/>
  <c r="BR7" i="14"/>
  <c r="BQ7" i="14"/>
  <c r="BP7" i="14"/>
  <c r="BO7" i="14"/>
  <c r="BN7" i="14"/>
  <c r="BK7" i="14"/>
  <c r="BG7" i="14"/>
  <c r="BF7" i="14"/>
  <c r="AY7" i="14"/>
  <c r="AX7" i="14"/>
  <c r="AA7" i="14"/>
  <c r="BC7" i="14" s="1"/>
  <c r="Z7" i="14"/>
  <c r="BS7" i="14" s="1"/>
  <c r="BT7" i="14" s="1"/>
  <c r="W7" i="14"/>
  <c r="BB7" i="14" s="1"/>
  <c r="V7" i="14"/>
  <c r="S7" i="14"/>
  <c r="BI7" i="14" s="1"/>
  <c r="R7" i="14"/>
  <c r="O7" i="14"/>
  <c r="N7" i="14"/>
  <c r="BN6" i="14"/>
  <c r="BJ6" i="14"/>
  <c r="BF6" i="14"/>
  <c r="AX6" i="14"/>
  <c r="AA6" i="14"/>
  <c r="Z6" i="14"/>
  <c r="W6" i="14"/>
  <c r="V6" i="14"/>
  <c r="S6" i="14"/>
  <c r="R6" i="14"/>
  <c r="BA6" i="14" s="1"/>
  <c r="O6" i="14"/>
  <c r="N6" i="14"/>
  <c r="K6" i="14"/>
  <c r="J6" i="14"/>
  <c r="BO6" i="14" s="1"/>
  <c r="A54" i="13"/>
  <c r="A53" i="13"/>
  <c r="A52" i="13"/>
  <c r="A51" i="13"/>
  <c r="A50" i="13"/>
  <c r="A49" i="13"/>
  <c r="A45" i="13"/>
  <c r="A44" i="13"/>
  <c r="A43" i="13"/>
  <c r="A42" i="13"/>
  <c r="A41" i="13"/>
  <c r="A40" i="13"/>
  <c r="A36" i="13"/>
  <c r="A35" i="13"/>
  <c r="A34" i="13"/>
  <c r="A33" i="13"/>
  <c r="A32" i="13"/>
  <c r="A31" i="13"/>
  <c r="A27" i="13"/>
  <c r="A26" i="13"/>
  <c r="A25" i="13"/>
  <c r="A24" i="13"/>
  <c r="A23" i="13"/>
  <c r="A22" i="13"/>
  <c r="C17" i="13"/>
  <c r="C14" i="43" s="1"/>
  <c r="C16" i="13"/>
  <c r="C13" i="43" s="1"/>
  <c r="C15" i="13"/>
  <c r="C12" i="43" s="1"/>
  <c r="C14" i="13"/>
  <c r="C11" i="43" s="1"/>
  <c r="BS11" i="13"/>
  <c r="BR11" i="13"/>
  <c r="BQ11" i="13"/>
  <c r="BP11" i="13"/>
  <c r="BO11" i="13"/>
  <c r="AQ11" i="13" s="1"/>
  <c r="BN11" i="13"/>
  <c r="BK11" i="13"/>
  <c r="BJ11" i="13"/>
  <c r="BI11" i="13"/>
  <c r="BH11" i="13"/>
  <c r="AP11" i="13" s="1"/>
  <c r="BG11" i="13"/>
  <c r="BF11" i="13"/>
  <c r="BC11" i="13"/>
  <c r="BB11" i="13"/>
  <c r="BA11" i="13"/>
  <c r="AZ11" i="13"/>
  <c r="AY11" i="13"/>
  <c r="AE11" i="13" s="1"/>
  <c r="AX11" i="13"/>
  <c r="BD11" i="13" s="1"/>
  <c r="AD11" i="13"/>
  <c r="BR10" i="13"/>
  <c r="BQ10" i="13"/>
  <c r="BP10" i="13"/>
  <c r="BT10" i="13" s="1"/>
  <c r="BO10" i="13"/>
  <c r="BN10" i="13"/>
  <c r="BK10" i="13"/>
  <c r="BJ10" i="13"/>
  <c r="BI10" i="13"/>
  <c r="BH10" i="13"/>
  <c r="BG10" i="13"/>
  <c r="AP10" i="13" s="1"/>
  <c r="BF10" i="13"/>
  <c r="BL10" i="13" s="1"/>
  <c r="BB10" i="13"/>
  <c r="BA10" i="13"/>
  <c r="AZ10" i="13"/>
  <c r="AY10" i="13"/>
  <c r="AX10" i="13"/>
  <c r="AA10" i="13"/>
  <c r="AD10" i="13" s="1"/>
  <c r="Z10" i="13"/>
  <c r="BS10" i="13" s="1"/>
  <c r="AQ10" i="13" s="1"/>
  <c r="BQ9" i="13"/>
  <c r="BP9" i="13"/>
  <c r="BO9" i="13"/>
  <c r="BN9" i="13"/>
  <c r="BI9" i="13"/>
  <c r="BH9" i="13"/>
  <c r="BG9" i="13"/>
  <c r="BF9" i="13"/>
  <c r="BC9" i="13"/>
  <c r="BA9" i="13"/>
  <c r="AZ9" i="13"/>
  <c r="AY9" i="13"/>
  <c r="AX9" i="13"/>
  <c r="AD9" i="13"/>
  <c r="AA9" i="13"/>
  <c r="Z9" i="13"/>
  <c r="BK9" i="13" s="1"/>
  <c r="W9" i="13"/>
  <c r="V9" i="13"/>
  <c r="BB9" i="13" s="1"/>
  <c r="BP8" i="13"/>
  <c r="BO8" i="13"/>
  <c r="BN8" i="13"/>
  <c r="BH8" i="13"/>
  <c r="BG8" i="13"/>
  <c r="BF8" i="13"/>
  <c r="AZ8" i="13"/>
  <c r="AY8" i="13"/>
  <c r="AX8" i="13"/>
  <c r="AA8" i="13"/>
  <c r="BK8" i="13" s="1"/>
  <c r="Z8" i="13"/>
  <c r="BS8" i="13" s="1"/>
  <c r="W8" i="13"/>
  <c r="BB8" i="13" s="1"/>
  <c r="V8" i="13"/>
  <c r="S8" i="13"/>
  <c r="R8" i="13"/>
  <c r="BQ7" i="13"/>
  <c r="BO7" i="13"/>
  <c r="BN7" i="13"/>
  <c r="BH7" i="13"/>
  <c r="BG7" i="13"/>
  <c r="BF7" i="13"/>
  <c r="BC7" i="13"/>
  <c r="AY7" i="13"/>
  <c r="AX7" i="13"/>
  <c r="AD7" i="13"/>
  <c r="AA7" i="13"/>
  <c r="Z7" i="13"/>
  <c r="BK7" i="13" s="1"/>
  <c r="W7" i="13"/>
  <c r="V7" i="13"/>
  <c r="BB7" i="13" s="1"/>
  <c r="S7" i="13"/>
  <c r="R7" i="13"/>
  <c r="BA7" i="13" s="1"/>
  <c r="O7" i="13"/>
  <c r="N7" i="13"/>
  <c r="BP7" i="13" s="1"/>
  <c r="BP6" i="13"/>
  <c r="BN6" i="13"/>
  <c r="BG6" i="13"/>
  <c r="BF6" i="13"/>
  <c r="BB6" i="13"/>
  <c r="AX6" i="13"/>
  <c r="AA6" i="13"/>
  <c r="BK6" i="13" s="1"/>
  <c r="Z6" i="13"/>
  <c r="BS6" i="13" s="1"/>
  <c r="W6" i="13"/>
  <c r="V6" i="13"/>
  <c r="BJ6" i="13" s="1"/>
  <c r="S6" i="13"/>
  <c r="R6" i="13"/>
  <c r="BA6" i="13" s="1"/>
  <c r="O6" i="13"/>
  <c r="N6" i="13"/>
  <c r="AZ6" i="13" s="1"/>
  <c r="K6" i="13"/>
  <c r="J6" i="13"/>
  <c r="BO6" i="13" s="1"/>
  <c r="A54" i="12"/>
  <c r="A53" i="12"/>
  <c r="A52" i="12"/>
  <c r="A51" i="12"/>
  <c r="A50" i="12"/>
  <c r="A49" i="12"/>
  <c r="A45" i="12"/>
  <c r="A44" i="12"/>
  <c r="A43" i="12"/>
  <c r="A42" i="12"/>
  <c r="A41" i="12"/>
  <c r="A40" i="12"/>
  <c r="A36" i="12"/>
  <c r="A35" i="12"/>
  <c r="A34" i="12"/>
  <c r="A33" i="12"/>
  <c r="A32" i="12"/>
  <c r="A31" i="12"/>
  <c r="A27" i="12"/>
  <c r="A26" i="12"/>
  <c r="A25" i="12"/>
  <c r="A24" i="12"/>
  <c r="A23" i="12"/>
  <c r="A22" i="12"/>
  <c r="C17" i="12"/>
  <c r="C10" i="43" s="1"/>
  <c r="C16" i="12"/>
  <c r="C9" i="43" s="1"/>
  <c r="C15" i="12"/>
  <c r="C8" i="43" s="1"/>
  <c r="C14" i="12"/>
  <c r="C7" i="43" s="1"/>
  <c r="BS11" i="12"/>
  <c r="BR11" i="12"/>
  <c r="BQ11" i="12"/>
  <c r="BP11" i="12"/>
  <c r="BO11" i="12"/>
  <c r="BN11" i="12"/>
  <c r="BK11" i="12"/>
  <c r="BJ11" i="12"/>
  <c r="BI11" i="12"/>
  <c r="BH11" i="12"/>
  <c r="BG11" i="12"/>
  <c r="BF11" i="12"/>
  <c r="BL11" i="12" s="1"/>
  <c r="BC11" i="12"/>
  <c r="BB11" i="12"/>
  <c r="BA11" i="12"/>
  <c r="AZ11" i="12"/>
  <c r="AE11" i="12" s="1"/>
  <c r="AY11" i="12"/>
  <c r="AX11" i="12"/>
  <c r="AD11" i="12"/>
  <c r="BR10" i="12"/>
  <c r="BQ10" i="12"/>
  <c r="BP10" i="12"/>
  <c r="BO10" i="12"/>
  <c r="BN10" i="12"/>
  <c r="BJ10" i="12"/>
  <c r="BI10" i="12"/>
  <c r="BH10" i="12"/>
  <c r="AP10" i="12" s="1"/>
  <c r="BG10" i="12"/>
  <c r="BF10" i="12"/>
  <c r="BC10" i="12"/>
  <c r="BB10" i="12"/>
  <c r="BA10" i="12"/>
  <c r="AZ10" i="12"/>
  <c r="AY10" i="12"/>
  <c r="AX10" i="12"/>
  <c r="BD10" i="12" s="1"/>
  <c r="AD10" i="12"/>
  <c r="AA10" i="12"/>
  <c r="Z10" i="12"/>
  <c r="BK10" i="12" s="1"/>
  <c r="BR9" i="12"/>
  <c r="BQ9" i="12"/>
  <c r="BP9" i="12"/>
  <c r="BO9" i="12"/>
  <c r="BN9" i="12"/>
  <c r="BI9" i="12"/>
  <c r="BH9" i="12"/>
  <c r="BG9" i="12"/>
  <c r="BF9" i="12"/>
  <c r="BA9" i="12"/>
  <c r="AZ9" i="12"/>
  <c r="AY9" i="12"/>
  <c r="AX9" i="12"/>
  <c r="AA9" i="12"/>
  <c r="BC9" i="12" s="1"/>
  <c r="Z9" i="12"/>
  <c r="BS9" i="12" s="1"/>
  <c r="W9" i="12"/>
  <c r="AD9" i="12" s="1"/>
  <c r="V9" i="12"/>
  <c r="BJ9" i="12" s="1"/>
  <c r="BQ8" i="12"/>
  <c r="BP8" i="12"/>
  <c r="BO8" i="12"/>
  <c r="BN8" i="12"/>
  <c r="BH8" i="12"/>
  <c r="BG8" i="12"/>
  <c r="BF8" i="12"/>
  <c r="BC8" i="12"/>
  <c r="AZ8" i="12"/>
  <c r="AY8" i="12"/>
  <c r="AX8" i="12"/>
  <c r="AD8" i="12"/>
  <c r="AA8" i="12"/>
  <c r="Z8" i="12"/>
  <c r="BK8" i="12" s="1"/>
  <c r="W8" i="12"/>
  <c r="V8" i="12"/>
  <c r="BB8" i="12" s="1"/>
  <c r="S8" i="12"/>
  <c r="R8" i="12"/>
  <c r="BA8" i="12" s="1"/>
  <c r="BR7" i="12"/>
  <c r="BQ7" i="12"/>
  <c r="BP7" i="12"/>
  <c r="BO7" i="12"/>
  <c r="BN7" i="12"/>
  <c r="BI7" i="12"/>
  <c r="BG7" i="12"/>
  <c r="BF7" i="12"/>
  <c r="AZ7" i="12"/>
  <c r="AY7" i="12"/>
  <c r="AX7" i="12"/>
  <c r="AA7" i="12"/>
  <c r="BC7" i="12" s="1"/>
  <c r="BD7" i="12" s="1"/>
  <c r="Z7" i="12"/>
  <c r="BS7" i="12" s="1"/>
  <c r="W7" i="12"/>
  <c r="BB7" i="12" s="1"/>
  <c r="V7" i="12"/>
  <c r="BJ7" i="12" s="1"/>
  <c r="S7" i="12"/>
  <c r="R7" i="12"/>
  <c r="BA7" i="12" s="1"/>
  <c r="AE7" i="12" s="1"/>
  <c r="O7" i="12"/>
  <c r="BH7" i="12" s="1"/>
  <c r="N7" i="12"/>
  <c r="BQ6" i="12"/>
  <c r="BN6" i="12"/>
  <c r="BH6" i="12"/>
  <c r="BF6" i="12"/>
  <c r="BC6" i="12"/>
  <c r="AY6" i="12"/>
  <c r="AX6" i="12"/>
  <c r="AD6" i="12"/>
  <c r="AA6" i="12"/>
  <c r="Z6" i="12"/>
  <c r="BK6" i="12" s="1"/>
  <c r="W6" i="12"/>
  <c r="V6" i="12"/>
  <c r="BB6" i="12" s="1"/>
  <c r="S6" i="12"/>
  <c r="R6" i="12"/>
  <c r="BA6" i="12" s="1"/>
  <c r="O6" i="12"/>
  <c r="N6" i="12"/>
  <c r="BP6" i="12" s="1"/>
  <c r="K6" i="12"/>
  <c r="J6" i="12"/>
  <c r="BG6" i="12" s="1"/>
  <c r="A54" i="11"/>
  <c r="A53" i="11"/>
  <c r="A52" i="11"/>
  <c r="A51" i="11"/>
  <c r="A50" i="11"/>
  <c r="A49" i="11"/>
  <c r="A45" i="11"/>
  <c r="A44" i="11"/>
  <c r="A43" i="11"/>
  <c r="A42" i="11"/>
  <c r="A41" i="11"/>
  <c r="A40" i="11"/>
  <c r="A36" i="11"/>
  <c r="A35" i="11"/>
  <c r="A34" i="11"/>
  <c r="A33" i="11"/>
  <c r="A32" i="11"/>
  <c r="A31" i="11"/>
  <c r="A27" i="11"/>
  <c r="A26" i="11"/>
  <c r="A25" i="11"/>
  <c r="A24" i="11"/>
  <c r="A23" i="11"/>
  <c r="A22" i="11"/>
  <c r="C17" i="11"/>
  <c r="C6" i="43" s="1"/>
  <c r="C16" i="11"/>
  <c r="C5" i="43" s="1"/>
  <c r="C15" i="11"/>
  <c r="C4" i="43" s="1"/>
  <c r="C14" i="11"/>
  <c r="C3" i="43" s="1"/>
  <c r="BS11" i="11"/>
  <c r="BR11" i="11"/>
  <c r="BQ11" i="11"/>
  <c r="BP11" i="11"/>
  <c r="BO11" i="11"/>
  <c r="AQ11" i="11" s="1"/>
  <c r="BN11" i="11"/>
  <c r="BT11" i="11" s="1"/>
  <c r="BK11" i="11"/>
  <c r="BJ11" i="11"/>
  <c r="BI11" i="11"/>
  <c r="BH11" i="11"/>
  <c r="BG11" i="11"/>
  <c r="BF11" i="11"/>
  <c r="BL11" i="11" s="1"/>
  <c r="BC11" i="11"/>
  <c r="BB11" i="11"/>
  <c r="BA11" i="11"/>
  <c r="AZ11" i="11"/>
  <c r="AY11" i="11"/>
  <c r="AE11" i="11" s="1"/>
  <c r="AX11" i="11"/>
  <c r="BD11" i="11" s="1"/>
  <c r="AP11" i="11"/>
  <c r="AD11" i="11"/>
  <c r="BR10" i="11"/>
  <c r="BQ10" i="11"/>
  <c r="BP10" i="11"/>
  <c r="BO10" i="11"/>
  <c r="BN10" i="11"/>
  <c r="BJ10" i="11"/>
  <c r="BI10" i="11"/>
  <c r="BH10" i="11"/>
  <c r="BG10" i="11"/>
  <c r="BF10" i="11"/>
  <c r="BL10" i="11" s="1"/>
  <c r="BB10" i="11"/>
  <c r="BA10" i="11"/>
  <c r="AZ10" i="11"/>
  <c r="BD10" i="11" s="1"/>
  <c r="AY10" i="11"/>
  <c r="AX10" i="11"/>
  <c r="AA10" i="11"/>
  <c r="BK10" i="11" s="1"/>
  <c r="Z10" i="11"/>
  <c r="BC10" i="11" s="1"/>
  <c r="BQ9" i="11"/>
  <c r="BP9" i="11"/>
  <c r="BO9" i="11"/>
  <c r="BN9" i="11"/>
  <c r="BI9" i="11"/>
  <c r="BH9" i="11"/>
  <c r="BG9" i="11"/>
  <c r="BF9" i="11"/>
  <c r="BA9" i="11"/>
  <c r="AZ9" i="11"/>
  <c r="AY9" i="11"/>
  <c r="AX9" i="11"/>
  <c r="AA9" i="11"/>
  <c r="Z9" i="11"/>
  <c r="BS9" i="11" s="1"/>
  <c r="W9" i="11"/>
  <c r="V9" i="11"/>
  <c r="BR8" i="11"/>
  <c r="BP8" i="11"/>
  <c r="BO8" i="11"/>
  <c r="BN8" i="11"/>
  <c r="BI8" i="11"/>
  <c r="BH8" i="11"/>
  <c r="BG8" i="11"/>
  <c r="BF8" i="11"/>
  <c r="AZ8" i="11"/>
  <c r="AY8" i="11"/>
  <c r="AX8" i="11"/>
  <c r="AA8" i="11"/>
  <c r="BK8" i="11" s="1"/>
  <c r="Z8" i="11"/>
  <c r="BC8" i="11" s="1"/>
  <c r="W8" i="11"/>
  <c r="BB8" i="11" s="1"/>
  <c r="V8" i="11"/>
  <c r="BJ8" i="11" s="1"/>
  <c r="S8" i="11"/>
  <c r="R8" i="11"/>
  <c r="BQ8" i="11" s="1"/>
  <c r="BS7" i="11"/>
  <c r="BO7" i="11"/>
  <c r="BN7" i="11"/>
  <c r="BG7" i="11"/>
  <c r="BF7" i="11"/>
  <c r="AY7" i="11"/>
  <c r="AX7" i="11"/>
  <c r="AA7" i="11"/>
  <c r="Z7" i="11"/>
  <c r="W7" i="11"/>
  <c r="V7" i="11"/>
  <c r="S7" i="11"/>
  <c r="R7" i="11"/>
  <c r="O7" i="11"/>
  <c r="N7" i="11"/>
  <c r="BR6" i="11"/>
  <c r="BP6" i="11"/>
  <c r="BN6" i="11"/>
  <c r="BI6" i="11"/>
  <c r="BF6" i="11"/>
  <c r="AZ6" i="11"/>
  <c r="AX6" i="11"/>
  <c r="AA6" i="11"/>
  <c r="BK6" i="11" s="1"/>
  <c r="Z6" i="11"/>
  <c r="BC6" i="11" s="1"/>
  <c r="W6" i="11"/>
  <c r="BB6" i="11" s="1"/>
  <c r="V6" i="11"/>
  <c r="BJ6" i="11" s="1"/>
  <c r="S6" i="11"/>
  <c r="R6" i="11"/>
  <c r="BQ6" i="11" s="1"/>
  <c r="O6" i="11"/>
  <c r="N6" i="11"/>
  <c r="BH6" i="11" s="1"/>
  <c r="K6" i="11"/>
  <c r="BG6" i="11" s="1"/>
  <c r="AP6" i="11" s="1"/>
  <c r="J6" i="11"/>
  <c r="AY6" i="11" s="1"/>
  <c r="A54" i="10"/>
  <c r="A53" i="10"/>
  <c r="A52" i="10"/>
  <c r="A51" i="10"/>
  <c r="A50" i="10"/>
  <c r="A49" i="10"/>
  <c r="AA48" i="10"/>
  <c r="Y48" i="10"/>
  <c r="W48" i="10"/>
  <c r="T48" i="10"/>
  <c r="R48" i="10"/>
  <c r="A45" i="10"/>
  <c r="A44" i="10"/>
  <c r="A43" i="10"/>
  <c r="A42" i="10"/>
  <c r="A41" i="10"/>
  <c r="A40" i="10"/>
  <c r="AA39" i="10"/>
  <c r="Y39" i="10"/>
  <c r="W39" i="10"/>
  <c r="T39" i="10"/>
  <c r="R39" i="10"/>
  <c r="A36" i="10"/>
  <c r="A35" i="10"/>
  <c r="A34" i="10"/>
  <c r="A33" i="10"/>
  <c r="A32" i="10"/>
  <c r="A31" i="10"/>
  <c r="AA30" i="10"/>
  <c r="Y30" i="10"/>
  <c r="W30" i="10"/>
  <c r="T30" i="10"/>
  <c r="R30" i="10"/>
  <c r="A27" i="10"/>
  <c r="A26" i="10"/>
  <c r="A25" i="10"/>
  <c r="A24" i="10"/>
  <c r="A23" i="10"/>
  <c r="A22" i="10"/>
  <c r="AA21" i="10"/>
  <c r="Y21" i="10"/>
  <c r="W21" i="10"/>
  <c r="T21" i="10"/>
  <c r="R21" i="10"/>
  <c r="C17" i="10"/>
  <c r="C16" i="10"/>
  <c r="C15" i="10"/>
  <c r="C14" i="10"/>
  <c r="BS11" i="10"/>
  <c r="BR11" i="10"/>
  <c r="BQ11" i="10"/>
  <c r="BP11" i="10"/>
  <c r="BO11" i="10"/>
  <c r="AQ11" i="10" s="1"/>
  <c r="BN11" i="10"/>
  <c r="BT11" i="10" s="1"/>
  <c r="BK11" i="10"/>
  <c r="BJ11" i="10"/>
  <c r="BI11" i="10"/>
  <c r="BH11" i="10"/>
  <c r="BG11" i="10"/>
  <c r="BF11" i="10"/>
  <c r="BL11" i="10" s="1"/>
  <c r="BC11" i="10"/>
  <c r="BB11" i="10"/>
  <c r="BA11" i="10"/>
  <c r="AZ11" i="10"/>
  <c r="AY11" i="10"/>
  <c r="AE11" i="10" s="1"/>
  <c r="AX11" i="10"/>
  <c r="BD11" i="10" s="1"/>
  <c r="AP11" i="10"/>
  <c r="AD11" i="10"/>
  <c r="BR10" i="10"/>
  <c r="BQ10" i="10"/>
  <c r="BP10" i="10"/>
  <c r="BO10" i="10"/>
  <c r="BN10" i="10"/>
  <c r="BJ10" i="10"/>
  <c r="BI10" i="10"/>
  <c r="BH10" i="10"/>
  <c r="BG10" i="10"/>
  <c r="BF10" i="10"/>
  <c r="BL10" i="10" s="1"/>
  <c r="BB10" i="10"/>
  <c r="BA10" i="10"/>
  <c r="AZ10" i="10"/>
  <c r="BD10" i="10" s="1"/>
  <c r="AY10" i="10"/>
  <c r="AX10" i="10"/>
  <c r="AA10" i="10"/>
  <c r="BK10" i="10" s="1"/>
  <c r="Z10" i="10"/>
  <c r="BC10" i="10" s="1"/>
  <c r="BQ9" i="10"/>
  <c r="BP9" i="10"/>
  <c r="BO9" i="10"/>
  <c r="BN9" i="10"/>
  <c r="BI9" i="10"/>
  <c r="BH9" i="10"/>
  <c r="BG9" i="10"/>
  <c r="BF9" i="10"/>
  <c r="BA9" i="10"/>
  <c r="AZ9" i="10"/>
  <c r="AY9" i="10"/>
  <c r="AX9" i="10"/>
  <c r="AA9" i="10"/>
  <c r="Z9" i="10"/>
  <c r="BS9" i="10" s="1"/>
  <c r="W9" i="10"/>
  <c r="V9" i="10"/>
  <c r="BR8" i="10"/>
  <c r="BP8" i="10"/>
  <c r="BO8" i="10"/>
  <c r="BN8" i="10"/>
  <c r="BI8" i="10"/>
  <c r="BH8" i="10"/>
  <c r="BG8" i="10"/>
  <c r="BF8" i="10"/>
  <c r="AZ8" i="10"/>
  <c r="AY8" i="10"/>
  <c r="AX8" i="10"/>
  <c r="AA8" i="10"/>
  <c r="BK8" i="10" s="1"/>
  <c r="Z8" i="10"/>
  <c r="BC8" i="10" s="1"/>
  <c r="W8" i="10"/>
  <c r="BB8" i="10" s="1"/>
  <c r="V8" i="10"/>
  <c r="BJ8" i="10" s="1"/>
  <c r="S8" i="10"/>
  <c r="R8" i="10"/>
  <c r="BQ8" i="10" s="1"/>
  <c r="BS7" i="10"/>
  <c r="BO7" i="10"/>
  <c r="BN7" i="10"/>
  <c r="BG7" i="10"/>
  <c r="BF7" i="10"/>
  <c r="AY7" i="10"/>
  <c r="AX7" i="10"/>
  <c r="AA7" i="10"/>
  <c r="Z7" i="10"/>
  <c r="W7" i="10"/>
  <c r="V7" i="10"/>
  <c r="S7" i="10"/>
  <c r="R7" i="10"/>
  <c r="O7" i="10"/>
  <c r="N7" i="10"/>
  <c r="BR6" i="10"/>
  <c r="BP6" i="10"/>
  <c r="BN6" i="10"/>
  <c r="BI6" i="10"/>
  <c r="BF6" i="10"/>
  <c r="AZ6" i="10"/>
  <c r="AX6" i="10"/>
  <c r="AA6" i="10"/>
  <c r="BK6" i="10" s="1"/>
  <c r="Z6" i="10"/>
  <c r="BC6" i="10" s="1"/>
  <c r="W6" i="10"/>
  <c r="BB6" i="10" s="1"/>
  <c r="V6" i="10"/>
  <c r="BJ6" i="10" s="1"/>
  <c r="S6" i="10"/>
  <c r="R6" i="10"/>
  <c r="BQ6" i="10" s="1"/>
  <c r="O6" i="10"/>
  <c r="N6" i="10"/>
  <c r="BH6" i="10" s="1"/>
  <c r="K6" i="10"/>
  <c r="BG6" i="10" s="1"/>
  <c r="AP6" i="10" s="1"/>
  <c r="J6" i="10"/>
  <c r="AY6" i="10" s="1"/>
  <c r="A1" i="10"/>
  <c r="B258" i="8"/>
  <c r="A258" i="8"/>
  <c r="C258" i="8" s="1"/>
  <c r="C257" i="8"/>
  <c r="B257" i="8"/>
  <c r="A257" i="8"/>
  <c r="C256" i="8"/>
  <c r="B256" i="8"/>
  <c r="A256" i="8"/>
  <c r="B255" i="8"/>
  <c r="A255" i="8"/>
  <c r="C255" i="8" s="1"/>
  <c r="B254" i="8"/>
  <c r="A254" i="8"/>
  <c r="C254" i="8" s="1"/>
  <c r="C253" i="8"/>
  <c r="B253" i="8"/>
  <c r="A253" i="8"/>
  <c r="C252" i="8"/>
  <c r="B252" i="8"/>
  <c r="A252" i="8"/>
  <c r="B251" i="8"/>
  <c r="A251" i="8"/>
  <c r="C251" i="8" s="1"/>
  <c r="B250" i="8"/>
  <c r="A250" i="8"/>
  <c r="C250" i="8" s="1"/>
  <c r="C249" i="8"/>
  <c r="B249" i="8"/>
  <c r="A249" i="8"/>
  <c r="C248" i="8"/>
  <c r="B248" i="8"/>
  <c r="A248" i="8"/>
  <c r="B247" i="8"/>
  <c r="A247" i="8"/>
  <c r="C247" i="8" s="1"/>
  <c r="B246" i="8"/>
  <c r="A246" i="8"/>
  <c r="C246" i="8" s="1"/>
  <c r="C245" i="8"/>
  <c r="B245" i="8"/>
  <c r="A245" i="8"/>
  <c r="C244" i="8"/>
  <c r="B244" i="8"/>
  <c r="A244" i="8"/>
  <c r="B243" i="8"/>
  <c r="A243" i="8"/>
  <c r="C243" i="8" s="1"/>
  <c r="B242" i="8"/>
  <c r="A242" i="8"/>
  <c r="C242" i="8" s="1"/>
  <c r="C241" i="8"/>
  <c r="B241" i="8"/>
  <c r="A241" i="8"/>
  <c r="C240" i="8"/>
  <c r="B240" i="8"/>
  <c r="A240" i="8"/>
  <c r="B239" i="8"/>
  <c r="A239" i="8"/>
  <c r="C239" i="8" s="1"/>
  <c r="B238" i="8"/>
  <c r="A238" i="8"/>
  <c r="C238" i="8" s="1"/>
  <c r="C237" i="8"/>
  <c r="B237" i="8"/>
  <c r="A237" i="8"/>
  <c r="C236" i="8"/>
  <c r="B236" i="8"/>
  <c r="A236" i="8"/>
  <c r="B235" i="8"/>
  <c r="A235" i="8"/>
  <c r="C235" i="8" s="1"/>
  <c r="B234" i="8"/>
  <c r="A234" i="8"/>
  <c r="C234" i="8" s="1"/>
  <c r="C232" i="8"/>
  <c r="B232" i="8"/>
  <c r="A232" i="8"/>
  <c r="B231" i="8"/>
  <c r="A231" i="8"/>
  <c r="C231" i="8" s="1"/>
  <c r="C229" i="8"/>
  <c r="B229" i="8"/>
  <c r="A229" i="8"/>
  <c r="C228" i="8"/>
  <c r="B228" i="8"/>
  <c r="A228" i="8"/>
  <c r="B226" i="8"/>
  <c r="A226" i="8"/>
  <c r="C226" i="8" s="1"/>
  <c r="C225" i="8"/>
  <c r="B225" i="8"/>
  <c r="A225" i="8"/>
  <c r="B223" i="8"/>
  <c r="A223" i="8"/>
  <c r="C223" i="8" s="1"/>
  <c r="B222" i="8"/>
  <c r="A222" i="8"/>
  <c r="C222" i="8" s="1"/>
  <c r="C220" i="8"/>
  <c r="B220" i="8"/>
  <c r="A220" i="8"/>
  <c r="B219" i="8"/>
  <c r="A219" i="8"/>
  <c r="C219" i="8" s="1"/>
  <c r="C217" i="8"/>
  <c r="B217" i="8"/>
  <c r="A217" i="8"/>
  <c r="C216" i="8"/>
  <c r="B216" i="8"/>
  <c r="A216" i="8"/>
  <c r="B214" i="8"/>
  <c r="A214" i="8"/>
  <c r="C214" i="8" s="1"/>
  <c r="C213" i="8"/>
  <c r="B213" i="8"/>
  <c r="A213" i="8"/>
  <c r="B211" i="8"/>
  <c r="A211" i="8"/>
  <c r="C211" i="8" s="1"/>
  <c r="B210" i="8"/>
  <c r="A210" i="8"/>
  <c r="C210" i="8" s="1"/>
  <c r="C208" i="8"/>
  <c r="B208" i="8"/>
  <c r="A208" i="8"/>
  <c r="B207" i="8"/>
  <c r="A207" i="8"/>
  <c r="C207" i="8" s="1"/>
  <c r="C205" i="8"/>
  <c r="B205" i="8"/>
  <c r="A205" i="8"/>
  <c r="C204" i="8"/>
  <c r="B204" i="8"/>
  <c r="A204" i="8"/>
  <c r="B202" i="8"/>
  <c r="A202" i="8"/>
  <c r="C202" i="8" s="1"/>
  <c r="C201" i="8"/>
  <c r="B201" i="8"/>
  <c r="A201" i="8"/>
  <c r="B199" i="8"/>
  <c r="A199" i="8"/>
  <c r="C199" i="8" s="1"/>
  <c r="B198" i="8"/>
  <c r="A198" i="8"/>
  <c r="C198" i="8" s="1"/>
  <c r="C196" i="8"/>
  <c r="B196" i="8"/>
  <c r="A196" i="8"/>
  <c r="B194" i="8"/>
  <c r="A194" i="8"/>
  <c r="C194" i="8" s="1"/>
  <c r="C193" i="8"/>
  <c r="B193" i="8"/>
  <c r="A193" i="8"/>
  <c r="C148" i="8"/>
  <c r="B148" i="8"/>
  <c r="A148" i="8"/>
  <c r="B147" i="8"/>
  <c r="A147" i="8"/>
  <c r="C147" i="8" s="1"/>
  <c r="B146" i="8"/>
  <c r="A146" i="8"/>
  <c r="C146" i="8" s="1"/>
  <c r="C145" i="8"/>
  <c r="B145" i="8"/>
  <c r="A145" i="8"/>
  <c r="C144" i="8"/>
  <c r="B144" i="8"/>
  <c r="A144" i="8"/>
  <c r="B143" i="8"/>
  <c r="A143" i="8"/>
  <c r="C143" i="8" s="1"/>
  <c r="B142" i="8"/>
  <c r="A142" i="8"/>
  <c r="C142" i="8" s="1"/>
  <c r="C141" i="8"/>
  <c r="B141" i="8"/>
  <c r="A141" i="8"/>
  <c r="C140" i="8"/>
  <c r="B140" i="8"/>
  <c r="A140" i="8"/>
  <c r="B139" i="8"/>
  <c r="A139" i="8"/>
  <c r="C139" i="8" s="1"/>
  <c r="B138" i="8"/>
  <c r="A138" i="8"/>
  <c r="C138" i="8" s="1"/>
  <c r="C137" i="8"/>
  <c r="B137" i="8"/>
  <c r="A137" i="8"/>
  <c r="A2" i="7"/>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M6" i="6"/>
  <c r="N1" i="54" s="1"/>
  <c r="K6" i="6"/>
  <c r="S5" i="6"/>
  <c r="K5" i="6"/>
  <c r="K4" i="6"/>
  <c r="K3" i="6"/>
  <c r="E2" i="61" s="1"/>
  <c r="AE41" i="12" l="1"/>
  <c r="AD41" i="12" s="1"/>
  <c r="AE23" i="12"/>
  <c r="AD23" i="12" s="1"/>
  <c r="AE32" i="12"/>
  <c r="AD32" i="12" s="1"/>
  <c r="AE50" i="12"/>
  <c r="AD50" i="12" s="1"/>
  <c r="AA27" i="10"/>
  <c r="T36" i="10"/>
  <c r="AE45" i="12"/>
  <c r="AD45" i="12" s="1"/>
  <c r="AE27" i="12"/>
  <c r="AD27" i="12" s="1"/>
  <c r="AE36" i="12"/>
  <c r="AD36" i="12" s="1"/>
  <c r="AE54" i="12"/>
  <c r="AD54" i="12" s="1"/>
  <c r="BL6" i="10"/>
  <c r="AZ7" i="10"/>
  <c r="BH7" i="10"/>
  <c r="AD7" i="10"/>
  <c r="BP7" i="10"/>
  <c r="AQ7" i="10" s="1"/>
  <c r="BR7" i="10"/>
  <c r="BB7" i="10"/>
  <c r="T27" i="10"/>
  <c r="Y36" i="10"/>
  <c r="BL6" i="11"/>
  <c r="AZ7" i="11"/>
  <c r="BD7" i="11" s="1"/>
  <c r="BH7" i="11"/>
  <c r="BL7" i="11" s="1"/>
  <c r="AD7" i="11"/>
  <c r="BP7" i="11"/>
  <c r="BR7" i="11"/>
  <c r="AQ7" i="11" s="1"/>
  <c r="BB7" i="11"/>
  <c r="BT7" i="12"/>
  <c r="AQ7" i="12"/>
  <c r="BT9" i="12"/>
  <c r="AQ9" i="12"/>
  <c r="BT11" i="12"/>
  <c r="AQ11" i="12"/>
  <c r="AE8" i="13"/>
  <c r="BL8" i="13"/>
  <c r="AZ7" i="14"/>
  <c r="AE7" i="14" s="1"/>
  <c r="BH7" i="14"/>
  <c r="AP7" i="14" s="1"/>
  <c r="AD7" i="14"/>
  <c r="BL6" i="15"/>
  <c r="BD7" i="15"/>
  <c r="AE45" i="15"/>
  <c r="AD45" i="15" s="1"/>
  <c r="AE27" i="15"/>
  <c r="AD27" i="15" s="1"/>
  <c r="AE54" i="15"/>
  <c r="AD54" i="15" s="1"/>
  <c r="AE36" i="15"/>
  <c r="AD36" i="15" s="1"/>
  <c r="BT7" i="16"/>
  <c r="BT9" i="16"/>
  <c r="AE6" i="17"/>
  <c r="BL6" i="17"/>
  <c r="BT9" i="17"/>
  <c r="AE41" i="18"/>
  <c r="AD41" i="18" s="1"/>
  <c r="AE23" i="18"/>
  <c r="AD23" i="18" s="1"/>
  <c r="AE50" i="18"/>
  <c r="AD50" i="18" s="1"/>
  <c r="AE32" i="18"/>
  <c r="AD32" i="18" s="1"/>
  <c r="BD7" i="18"/>
  <c r="BT7" i="18"/>
  <c r="BT8" i="18"/>
  <c r="AA39" i="18"/>
  <c r="Z39" i="18"/>
  <c r="AE45" i="20"/>
  <c r="AD45" i="20" s="1"/>
  <c r="AE27" i="20"/>
  <c r="AD27" i="20" s="1"/>
  <c r="AE36" i="20"/>
  <c r="AD36" i="20" s="1"/>
  <c r="AE54" i="20"/>
  <c r="AD54" i="20" s="1"/>
  <c r="BJ7" i="10"/>
  <c r="BL8" i="10"/>
  <c r="BR9" i="10"/>
  <c r="BT9" i="10" s="1"/>
  <c r="AD9" i="10"/>
  <c r="BB9" i="10"/>
  <c r="BD9" i="10" s="1"/>
  <c r="BJ9" i="10"/>
  <c r="AP10" i="10"/>
  <c r="AQ10" i="10"/>
  <c r="AE54" i="10"/>
  <c r="AD54" i="10" s="1"/>
  <c r="AA54" i="10" s="1"/>
  <c r="AE27" i="10"/>
  <c r="AD27" i="10" s="1"/>
  <c r="R27" i="10" s="1"/>
  <c r="AE36" i="10"/>
  <c r="AD36" i="10" s="1"/>
  <c r="W27" i="10"/>
  <c r="R36" i="10"/>
  <c r="AA36" i="10"/>
  <c r="Y45" i="10"/>
  <c r="R54" i="10"/>
  <c r="BJ7" i="11"/>
  <c r="BL8" i="11"/>
  <c r="BR9" i="11"/>
  <c r="BT9" i="11" s="1"/>
  <c r="AD9" i="11"/>
  <c r="BB9" i="11"/>
  <c r="BD9" i="11" s="1"/>
  <c r="BL9" i="11"/>
  <c r="BJ9" i="11"/>
  <c r="AP10" i="11"/>
  <c r="AQ10" i="11"/>
  <c r="AE54" i="11"/>
  <c r="AD54" i="11" s="1"/>
  <c r="AE36" i="11"/>
  <c r="AD36" i="11" s="1"/>
  <c r="AE45" i="11"/>
  <c r="AD45" i="11" s="1"/>
  <c r="AE27" i="11"/>
  <c r="AD27" i="11" s="1"/>
  <c r="BD8" i="12"/>
  <c r="BT10" i="12"/>
  <c r="BD11" i="12"/>
  <c r="BD7" i="13"/>
  <c r="BJ8" i="13"/>
  <c r="BD9" i="13"/>
  <c r="BD10" i="13"/>
  <c r="AE10" i="13"/>
  <c r="AZ6" i="14"/>
  <c r="BH6" i="14"/>
  <c r="BP6" i="14"/>
  <c r="AQ6" i="14" s="1"/>
  <c r="BR6" i="14"/>
  <c r="BB6" i="14"/>
  <c r="BA7" i="14"/>
  <c r="AQ7" i="14"/>
  <c r="BI8" i="14"/>
  <c r="AP8" i="14" s="1"/>
  <c r="BQ8" i="14"/>
  <c r="BT8" i="14" s="1"/>
  <c r="AD8" i="14"/>
  <c r="BC8" i="14"/>
  <c r="BK8" i="14"/>
  <c r="BI7" i="10"/>
  <c r="AP7" i="10" s="1"/>
  <c r="BQ7" i="10"/>
  <c r="BC7" i="10"/>
  <c r="BK7" i="10"/>
  <c r="BA7" i="10"/>
  <c r="BD7" i="10" s="1"/>
  <c r="AP8" i="10"/>
  <c r="AE10" i="10"/>
  <c r="T54" i="10"/>
  <c r="BI7" i="11"/>
  <c r="AP7" i="11" s="1"/>
  <c r="BQ7" i="11"/>
  <c r="BC7" i="11"/>
  <c r="BK7" i="11"/>
  <c r="BA7" i="11"/>
  <c r="AP8" i="11"/>
  <c r="AE10" i="11"/>
  <c r="BD6" i="12"/>
  <c r="BL9" i="13"/>
  <c r="AQ9" i="13"/>
  <c r="BL11" i="13"/>
  <c r="BD7" i="14"/>
  <c r="BA8" i="14"/>
  <c r="BD8" i="14" s="1"/>
  <c r="BS8" i="14"/>
  <c r="B2" i="61"/>
  <c r="B2" i="7"/>
  <c r="BL7" i="10"/>
  <c r="BT7" i="10"/>
  <c r="BC9" i="10"/>
  <c r="BK9" i="10"/>
  <c r="AP9" i="10" s="1"/>
  <c r="W36" i="10"/>
  <c r="T45" i="10"/>
  <c r="AE45" i="10"/>
  <c r="AD45" i="10" s="1"/>
  <c r="W45" i="10" s="1"/>
  <c r="BT7" i="11"/>
  <c r="BC9" i="11"/>
  <c r="BK9" i="11"/>
  <c r="AP9" i="11"/>
  <c r="BL10" i="12"/>
  <c r="AP11" i="12"/>
  <c r="BD6" i="13"/>
  <c r="AE6" i="13"/>
  <c r="BA8" i="13"/>
  <c r="BD8" i="13" s="1"/>
  <c r="AE45" i="13"/>
  <c r="AD45" i="13" s="1"/>
  <c r="AE27" i="13"/>
  <c r="AD27" i="13" s="1"/>
  <c r="AE54" i="13"/>
  <c r="AD54" i="13" s="1"/>
  <c r="AE36" i="13"/>
  <c r="AD36" i="13" s="1"/>
  <c r="BT11" i="13"/>
  <c r="AY6" i="14"/>
  <c r="BD6" i="14" s="1"/>
  <c r="AD6" i="14"/>
  <c r="BG6" i="14"/>
  <c r="AP6" i="14" s="1"/>
  <c r="BI6" i="14"/>
  <c r="BQ6" i="14"/>
  <c r="BC6" i="14"/>
  <c r="BK6" i="14"/>
  <c r="BS6" i="14"/>
  <c r="BJ7" i="14"/>
  <c r="BR8" i="14"/>
  <c r="AQ8" i="14" s="1"/>
  <c r="BB8" i="14"/>
  <c r="BD9" i="14"/>
  <c r="BL10" i="14"/>
  <c r="BA6" i="10"/>
  <c r="AE6" i="10" s="1"/>
  <c r="BO6" i="10"/>
  <c r="BT6" i="10" s="1"/>
  <c r="BS6" i="10"/>
  <c r="BA8" i="10"/>
  <c r="BS8" i="10"/>
  <c r="BT8" i="10" s="1"/>
  <c r="BS10" i="10"/>
  <c r="BT10" i="10" s="1"/>
  <c r="BA6" i="11"/>
  <c r="AE6" i="11" s="1"/>
  <c r="BO6" i="11"/>
  <c r="BT6" i="11" s="1"/>
  <c r="BS6" i="11"/>
  <c r="BA8" i="11"/>
  <c r="BS8" i="11"/>
  <c r="BT8" i="11" s="1"/>
  <c r="BS10" i="11"/>
  <c r="BT10" i="11" s="1"/>
  <c r="AE6" i="12"/>
  <c r="AZ6" i="12"/>
  <c r="BI6" i="12"/>
  <c r="BL6" i="12" s="1"/>
  <c r="BR6" i="12"/>
  <c r="AE8" i="12"/>
  <c r="BI8" i="12"/>
  <c r="BL8" i="12" s="1"/>
  <c r="BR8" i="12"/>
  <c r="BT8" i="12" s="1"/>
  <c r="AE10" i="12"/>
  <c r="AD6" i="13"/>
  <c r="AY6" i="13"/>
  <c r="BC6" i="13"/>
  <c r="BH6" i="13"/>
  <c r="AP6" i="13" s="1"/>
  <c r="BQ6" i="13"/>
  <c r="BT6" i="13" s="1"/>
  <c r="AE7" i="13"/>
  <c r="AZ7" i="13"/>
  <c r="BI7" i="13"/>
  <c r="BL7" i="13" s="1"/>
  <c r="BR7" i="13"/>
  <c r="BT7" i="13" s="1"/>
  <c r="AD8" i="13"/>
  <c r="BC8" i="13"/>
  <c r="BQ8" i="13"/>
  <c r="AQ8" i="13" s="1"/>
  <c r="AE9" i="13"/>
  <c r="BR9" i="13"/>
  <c r="BT9" i="13" s="1"/>
  <c r="BC10" i="13"/>
  <c r="AE9" i="14"/>
  <c r="AE11" i="14"/>
  <c r="AP11" i="14"/>
  <c r="BT6" i="15"/>
  <c r="AQ6" i="15"/>
  <c r="BL7" i="15"/>
  <c r="AQ7" i="15"/>
  <c r="BD8" i="15"/>
  <c r="AP9" i="15"/>
  <c r="AP10" i="15"/>
  <c r="AP7" i="16"/>
  <c r="BD10" i="16"/>
  <c r="AE54" i="17"/>
  <c r="AD54" i="17" s="1"/>
  <c r="AE36" i="17"/>
  <c r="AD36" i="17" s="1"/>
  <c r="AE45" i="17"/>
  <c r="AD45" i="17" s="1"/>
  <c r="AE27" i="17"/>
  <c r="AD27" i="17" s="1"/>
  <c r="BT7" i="19"/>
  <c r="AP8" i="19"/>
  <c r="BJ6" i="12"/>
  <c r="BO6" i="12"/>
  <c r="BS6" i="12"/>
  <c r="BK7" i="12"/>
  <c r="BL7" i="12" s="1"/>
  <c r="BJ8" i="12"/>
  <c r="BS8" i="12"/>
  <c r="BB9" i="12"/>
  <c r="BD9" i="12" s="1"/>
  <c r="BK9" i="12"/>
  <c r="AP9" i="12" s="1"/>
  <c r="BS10" i="12"/>
  <c r="BI6" i="13"/>
  <c r="BR6" i="13"/>
  <c r="AQ6" i="13" s="1"/>
  <c r="BJ7" i="13"/>
  <c r="BS7" i="13"/>
  <c r="BI8" i="13"/>
  <c r="AP8" i="13" s="1"/>
  <c r="BR8" i="13"/>
  <c r="BJ9" i="13"/>
  <c r="AP9" i="13" s="1"/>
  <c r="BS9" i="13"/>
  <c r="AP10" i="14"/>
  <c r="BT11" i="14"/>
  <c r="AQ11" i="14"/>
  <c r="BL9" i="15"/>
  <c r="BT9" i="15"/>
  <c r="BD7" i="16"/>
  <c r="BL10" i="16"/>
  <c r="BL10" i="17"/>
  <c r="AQ8" i="18"/>
  <c r="BD10" i="19"/>
  <c r="BT10" i="19"/>
  <c r="AD6" i="10"/>
  <c r="AE7" i="10"/>
  <c r="AD8" i="10"/>
  <c r="AE9" i="10"/>
  <c r="AD10" i="10"/>
  <c r="AD6" i="11"/>
  <c r="AD8" i="11"/>
  <c r="AE9" i="11"/>
  <c r="AD10" i="11"/>
  <c r="AD7" i="12"/>
  <c r="AQ10" i="12"/>
  <c r="AE6" i="14"/>
  <c r="AP9" i="14"/>
  <c r="BL9" i="14"/>
  <c r="BD9" i="15"/>
  <c r="AQ9" i="15"/>
  <c r="AP8" i="16"/>
  <c r="BT8" i="17"/>
  <c r="AE53" i="17"/>
  <c r="AD53" i="17" s="1"/>
  <c r="AE35" i="17"/>
  <c r="AD35" i="17" s="1"/>
  <c r="AE44" i="17"/>
  <c r="AD44" i="17" s="1"/>
  <c r="AE26" i="17"/>
  <c r="AD26" i="17" s="1"/>
  <c r="BD10" i="17"/>
  <c r="AP10" i="17"/>
  <c r="BT10" i="17"/>
  <c r="BT9" i="18"/>
  <c r="AP10" i="18"/>
  <c r="BT6" i="19"/>
  <c r="BD9" i="19"/>
  <c r="AE54" i="19"/>
  <c r="AD54" i="19" s="1"/>
  <c r="AE45" i="19"/>
  <c r="AD45" i="19" s="1"/>
  <c r="AE27" i="19"/>
  <c r="AD27" i="19" s="1"/>
  <c r="AE36" i="19"/>
  <c r="AD36" i="19" s="1"/>
  <c r="BK10" i="15"/>
  <c r="BL10" i="15" s="1"/>
  <c r="BA6" i="16"/>
  <c r="BD6" i="16" s="1"/>
  <c r="BJ6" i="16"/>
  <c r="BL6" i="16" s="1"/>
  <c r="BO6" i="16"/>
  <c r="BS6" i="16"/>
  <c r="BK7" i="16"/>
  <c r="BA8" i="16"/>
  <c r="BD8" i="16" s="1"/>
  <c r="BJ8" i="16"/>
  <c r="BL8" i="16" s="1"/>
  <c r="BS8" i="16"/>
  <c r="BB9" i="16"/>
  <c r="BD9" i="16" s="1"/>
  <c r="BK9" i="16"/>
  <c r="AP9" i="16" s="1"/>
  <c r="BS10" i="16"/>
  <c r="BT10" i="16" s="1"/>
  <c r="BA7" i="17"/>
  <c r="BD7" i="17" s="1"/>
  <c r="BJ7" i="17"/>
  <c r="BS7" i="17"/>
  <c r="BT7" i="17" s="1"/>
  <c r="BJ9" i="17"/>
  <c r="AP9" i="17" s="1"/>
  <c r="BS9" i="17"/>
  <c r="BL10" i="18"/>
  <c r="AE36" i="18"/>
  <c r="AD36" i="18" s="1"/>
  <c r="AE54" i="18"/>
  <c r="AD54" i="18" s="1"/>
  <c r="BK10" i="19"/>
  <c r="BL10" i="19" s="1"/>
  <c r="BL11" i="19"/>
  <c r="BD6" i="20"/>
  <c r="BT9" i="20"/>
  <c r="AQ9" i="20"/>
  <c r="BT11" i="20"/>
  <c r="AQ11" i="20"/>
  <c r="BL8" i="22"/>
  <c r="BT9" i="22"/>
  <c r="BT6" i="26"/>
  <c r="AE10" i="14"/>
  <c r="AD6" i="15"/>
  <c r="AY6" i="15"/>
  <c r="BC6" i="15"/>
  <c r="AE6" i="15" s="1"/>
  <c r="BH6" i="15"/>
  <c r="AP6" i="15" s="1"/>
  <c r="BQ6" i="15"/>
  <c r="AE7" i="15"/>
  <c r="AD8" i="15"/>
  <c r="BC8" i="15"/>
  <c r="BQ8" i="15"/>
  <c r="AE9" i="15"/>
  <c r="BC10" i="15"/>
  <c r="BD10" i="15" s="1"/>
  <c r="BB6" i="16"/>
  <c r="AE6" i="16" s="1"/>
  <c r="BG6" i="16"/>
  <c r="BK6" i="16"/>
  <c r="BP6" i="16"/>
  <c r="AD7" i="16"/>
  <c r="BH7" i="16"/>
  <c r="BL7" i="16" s="1"/>
  <c r="AQ8" i="16"/>
  <c r="BB8" i="16"/>
  <c r="BK8" i="16"/>
  <c r="AQ10" i="16"/>
  <c r="BK10" i="16"/>
  <c r="AP10" i="16" s="1"/>
  <c r="BA6" i="17"/>
  <c r="BD6" i="17" s="1"/>
  <c r="BO6" i="17"/>
  <c r="BT6" i="17" s="1"/>
  <c r="BS6" i="17"/>
  <c r="BB7" i="17"/>
  <c r="BK7" i="17"/>
  <c r="BP7" i="17"/>
  <c r="AQ7" i="17" s="1"/>
  <c r="BA8" i="17"/>
  <c r="AE8" i="17" s="1"/>
  <c r="BS8" i="17"/>
  <c r="AQ9" i="17"/>
  <c r="BB9" i="17"/>
  <c r="BD9" i="17" s="1"/>
  <c r="BK9" i="17"/>
  <c r="BS10" i="17"/>
  <c r="AE6" i="18"/>
  <c r="AZ6" i="18"/>
  <c r="BD6" i="18" s="1"/>
  <c r="BI6" i="18"/>
  <c r="BR6" i="18"/>
  <c r="AE8" i="18"/>
  <c r="BI8" i="18"/>
  <c r="AP8" i="18" s="1"/>
  <c r="BR8" i="18"/>
  <c r="AP9" i="18"/>
  <c r="AE10" i="18"/>
  <c r="AD6" i="19"/>
  <c r="AY6" i="19"/>
  <c r="AE6" i="19" s="1"/>
  <c r="BC6" i="19"/>
  <c r="BH6" i="19"/>
  <c r="AP6" i="19" s="1"/>
  <c r="BQ6" i="19"/>
  <c r="AE7" i="19"/>
  <c r="AZ7" i="19"/>
  <c r="BD7" i="19" s="1"/>
  <c r="BI7" i="19"/>
  <c r="BL7" i="19" s="1"/>
  <c r="BR7" i="19"/>
  <c r="AD8" i="19"/>
  <c r="BC8" i="19"/>
  <c r="AE8" i="19" s="1"/>
  <c r="BQ8" i="19"/>
  <c r="AE9" i="19"/>
  <c r="BR9" i="19"/>
  <c r="AQ9" i="19" s="1"/>
  <c r="BC10" i="19"/>
  <c r="AE10" i="19" s="1"/>
  <c r="BD8" i="20"/>
  <c r="AE53" i="20"/>
  <c r="AD53" i="20" s="1"/>
  <c r="AE35" i="20"/>
  <c r="AD35" i="20" s="1"/>
  <c r="AE44" i="20"/>
  <c r="AD44" i="20" s="1"/>
  <c r="AE26" i="20"/>
  <c r="AD26" i="20" s="1"/>
  <c r="BD11" i="20"/>
  <c r="BD8" i="21"/>
  <c r="BD9" i="21"/>
  <c r="BT9" i="21"/>
  <c r="BD10" i="22"/>
  <c r="BS10" i="14"/>
  <c r="AQ10" i="14" s="1"/>
  <c r="BI6" i="15"/>
  <c r="BR6" i="15"/>
  <c r="AE8" i="15"/>
  <c r="BI8" i="15"/>
  <c r="AP8" i="15" s="1"/>
  <c r="BR8" i="15"/>
  <c r="AD6" i="16"/>
  <c r="BH6" i="16"/>
  <c r="BQ6" i="16"/>
  <c r="AE7" i="16"/>
  <c r="AD8" i="16"/>
  <c r="BQ8" i="16"/>
  <c r="BT8" i="16" s="1"/>
  <c r="AE9" i="16"/>
  <c r="AD10" i="16"/>
  <c r="AE11" i="16"/>
  <c r="BG6" i="17"/>
  <c r="AP6" i="17" s="1"/>
  <c r="BP6" i="17"/>
  <c r="AD7" i="17"/>
  <c r="BH7" i="17"/>
  <c r="BL7" i="17" s="1"/>
  <c r="BQ7" i="17"/>
  <c r="AQ8" i="17"/>
  <c r="BK8" i="17"/>
  <c r="AP8" i="17" s="1"/>
  <c r="AD9" i="17"/>
  <c r="AQ10" i="17"/>
  <c r="BK10" i="17"/>
  <c r="BJ6" i="18"/>
  <c r="BL6" i="18" s="1"/>
  <c r="BO6" i="18"/>
  <c r="BS6" i="18"/>
  <c r="AQ7" i="18"/>
  <c r="BK7" i="18"/>
  <c r="BL7" i="18" s="1"/>
  <c r="BJ8" i="18"/>
  <c r="BL8" i="18" s="1"/>
  <c r="BS8" i="18"/>
  <c r="AQ9" i="18"/>
  <c r="BB9" i="18"/>
  <c r="AE9" i="18" s="1"/>
  <c r="BK9" i="18"/>
  <c r="BL9" i="18" s="1"/>
  <c r="BS10" i="18"/>
  <c r="AQ10" i="18" s="1"/>
  <c r="AQ11" i="18"/>
  <c r="AE27" i="18"/>
  <c r="AD27" i="18" s="1"/>
  <c r="BI6" i="19"/>
  <c r="BR6" i="19"/>
  <c r="AQ6" i="19" s="1"/>
  <c r="BJ7" i="19"/>
  <c r="AP7" i="19" s="1"/>
  <c r="BS7" i="19"/>
  <c r="AQ7" i="19" s="1"/>
  <c r="BI8" i="19"/>
  <c r="BL8" i="19" s="1"/>
  <c r="BR8" i="19"/>
  <c r="BT8" i="19" s="1"/>
  <c r="BJ9" i="19"/>
  <c r="AP9" i="19" s="1"/>
  <c r="BS9" i="19"/>
  <c r="AP6" i="20"/>
  <c r="AQ6" i="21"/>
  <c r="BT7" i="21"/>
  <c r="AP9" i="21"/>
  <c r="BL6" i="25"/>
  <c r="AE41" i="25"/>
  <c r="AD41" i="25" s="1"/>
  <c r="AE23" i="25"/>
  <c r="AD23" i="25" s="1"/>
  <c r="AE50" i="25"/>
  <c r="AD50" i="25" s="1"/>
  <c r="AE32" i="25"/>
  <c r="AD32" i="25" s="1"/>
  <c r="AE10" i="16"/>
  <c r="AD6" i="17"/>
  <c r="AE7" i="17"/>
  <c r="AD8" i="17"/>
  <c r="AE9" i="17"/>
  <c r="AD7" i="18"/>
  <c r="BT8" i="20"/>
  <c r="AE9" i="20"/>
  <c r="BL10" i="20"/>
  <c r="AY6" i="21"/>
  <c r="AD6" i="21"/>
  <c r="BD6" i="21"/>
  <c r="AE6" i="21"/>
  <c r="BK6" i="21"/>
  <c r="BD7" i="21"/>
  <c r="BL9" i="21"/>
  <c r="BD7" i="22"/>
  <c r="AP8" i="22"/>
  <c r="AP9" i="22"/>
  <c r="BL8" i="23"/>
  <c r="BL9" i="23"/>
  <c r="AE44" i="23"/>
  <c r="AD44" i="23" s="1"/>
  <c r="AE53" i="23"/>
  <c r="AD53" i="23" s="1"/>
  <c r="AE35" i="23"/>
  <c r="AD35" i="23" s="1"/>
  <c r="AE26" i="23"/>
  <c r="AD26" i="23" s="1"/>
  <c r="BD10" i="23"/>
  <c r="BD9" i="25"/>
  <c r="BK8" i="21"/>
  <c r="BK10" i="21"/>
  <c r="AP10" i="21" s="1"/>
  <c r="BA6" i="22"/>
  <c r="AE6" i="22" s="1"/>
  <c r="BJ6" i="22"/>
  <c r="BO6" i="22"/>
  <c r="BS6" i="22"/>
  <c r="BK7" i="22"/>
  <c r="BA8" i="22"/>
  <c r="BD8" i="22" s="1"/>
  <c r="BJ8" i="22"/>
  <c r="BS8" i="22"/>
  <c r="BT8" i="22" s="1"/>
  <c r="BB9" i="22"/>
  <c r="BD9" i="22" s="1"/>
  <c r="BK9" i="22"/>
  <c r="BS10" i="22"/>
  <c r="BT10" i="22" s="1"/>
  <c r="BA7" i="23"/>
  <c r="AE7" i="23" s="1"/>
  <c r="BJ7" i="23"/>
  <c r="BS7" i="23"/>
  <c r="BJ9" i="23"/>
  <c r="BS9" i="23"/>
  <c r="BT9" i="23" s="1"/>
  <c r="BI7" i="24"/>
  <c r="BQ7" i="24"/>
  <c r="BC7" i="24"/>
  <c r="BK7" i="24"/>
  <c r="BA7" i="24"/>
  <c r="AE7" i="24" s="1"/>
  <c r="AE53" i="24"/>
  <c r="AD53" i="24" s="1"/>
  <c r="AE35" i="24"/>
  <c r="AD35" i="24" s="1"/>
  <c r="BT10" i="25"/>
  <c r="AP10" i="26"/>
  <c r="BL10" i="26"/>
  <c r="BD11" i="26"/>
  <c r="AE11" i="26"/>
  <c r="AY6" i="27"/>
  <c r="BD6" i="27" s="1"/>
  <c r="AD6" i="27"/>
  <c r="BG6" i="27"/>
  <c r="BL6" i="27" s="1"/>
  <c r="BI6" i="27"/>
  <c r="BQ6" i="27"/>
  <c r="BC6" i="27"/>
  <c r="BK6" i="27"/>
  <c r="BS6" i="27"/>
  <c r="BD11" i="27"/>
  <c r="AE11" i="27"/>
  <c r="AE49" i="29"/>
  <c r="AD49" i="29" s="1"/>
  <c r="AE31" i="29"/>
  <c r="AD31" i="29" s="1"/>
  <c r="AE40" i="29"/>
  <c r="AD40" i="29" s="1"/>
  <c r="AE22" i="29"/>
  <c r="AD22" i="29" s="1"/>
  <c r="Z30" i="30"/>
  <c r="AA30" i="30"/>
  <c r="BL8" i="32"/>
  <c r="BD11" i="33"/>
  <c r="AE11" i="33"/>
  <c r="BT9" i="34"/>
  <c r="BL9" i="35"/>
  <c r="AP10" i="35"/>
  <c r="BT6" i="36"/>
  <c r="AQ6" i="36"/>
  <c r="AE6" i="20"/>
  <c r="AZ6" i="20"/>
  <c r="BI6" i="20"/>
  <c r="BR6" i="20"/>
  <c r="BA7" i="20"/>
  <c r="BD7" i="20" s="1"/>
  <c r="AE8" i="20"/>
  <c r="BI8" i="20"/>
  <c r="BL8" i="20" s="1"/>
  <c r="BR8" i="20"/>
  <c r="AQ8" i="20" s="1"/>
  <c r="BJ9" i="20"/>
  <c r="AP9" i="20" s="1"/>
  <c r="BS9" i="20"/>
  <c r="AE7" i="21"/>
  <c r="AE9" i="21"/>
  <c r="AD10" i="21"/>
  <c r="BL10" i="21"/>
  <c r="AE11" i="21"/>
  <c r="BB6" i="22"/>
  <c r="BG6" i="22"/>
  <c r="AP6" i="22" s="1"/>
  <c r="BK6" i="22"/>
  <c r="BP6" i="22"/>
  <c r="AD7" i="22"/>
  <c r="BB8" i="22"/>
  <c r="BK8" i="22"/>
  <c r="BL9" i="22"/>
  <c r="AQ10" i="22"/>
  <c r="BK10" i="22"/>
  <c r="AP10" i="22" s="1"/>
  <c r="BL11" i="22"/>
  <c r="BA6" i="23"/>
  <c r="BD6" i="23" s="1"/>
  <c r="BJ6" i="23"/>
  <c r="BO6" i="23"/>
  <c r="BT6" i="23" s="1"/>
  <c r="BS6" i="23"/>
  <c r="BB7" i="23"/>
  <c r="BK7" i="23"/>
  <c r="BP7" i="23"/>
  <c r="BT7" i="23" s="1"/>
  <c r="BA8" i="23"/>
  <c r="AE8" i="23" s="1"/>
  <c r="BJ8" i="23"/>
  <c r="AP8" i="23" s="1"/>
  <c r="BS8" i="23"/>
  <c r="BT8" i="23" s="1"/>
  <c r="AQ9" i="23"/>
  <c r="BB9" i="23"/>
  <c r="BD9" i="23" s="1"/>
  <c r="BK9" i="23"/>
  <c r="BS10" i="23"/>
  <c r="BT10" i="23" s="1"/>
  <c r="AQ11" i="23"/>
  <c r="BT7" i="24"/>
  <c r="AQ7" i="24"/>
  <c r="BC9" i="24"/>
  <c r="BK9" i="24"/>
  <c r="AE44" i="24"/>
  <c r="AD44" i="24" s="1"/>
  <c r="BT8" i="25"/>
  <c r="AE9" i="25"/>
  <c r="AP10" i="25"/>
  <c r="AE11" i="25"/>
  <c r="AP11" i="25"/>
  <c r="AY6" i="26"/>
  <c r="BD6" i="26" s="1"/>
  <c r="AD6" i="26"/>
  <c r="AE6" i="26"/>
  <c r="BK6" i="26"/>
  <c r="BD7" i="26"/>
  <c r="AE7" i="26"/>
  <c r="AP7" i="26"/>
  <c r="BT7" i="26"/>
  <c r="AQ10" i="26"/>
  <c r="BH7" i="27"/>
  <c r="AP7" i="27" s="1"/>
  <c r="AD7" i="27"/>
  <c r="BI8" i="27"/>
  <c r="AP8" i="27" s="1"/>
  <c r="BQ8" i="27"/>
  <c r="AQ8" i="27" s="1"/>
  <c r="AD8" i="27"/>
  <c r="BC8" i="27"/>
  <c r="BK8" i="27"/>
  <c r="BC10" i="27"/>
  <c r="AD10" i="27"/>
  <c r="BK10" i="27"/>
  <c r="AP10" i="27" s="1"/>
  <c r="AQ6" i="28"/>
  <c r="BT11" i="28"/>
  <c r="BT6" i="29"/>
  <c r="AQ6" i="29"/>
  <c r="BT6" i="30"/>
  <c r="BL7" i="31"/>
  <c r="AZ6" i="32"/>
  <c r="BH6" i="32"/>
  <c r="BP6" i="32"/>
  <c r="BR6" i="32"/>
  <c r="BB6" i="32"/>
  <c r="BJ6" i="32"/>
  <c r="BT6" i="32"/>
  <c r="BT9" i="33"/>
  <c r="AQ9" i="33"/>
  <c r="BJ6" i="20"/>
  <c r="BL6" i="20" s="1"/>
  <c r="BO6" i="20"/>
  <c r="BS6" i="20"/>
  <c r="BK7" i="20"/>
  <c r="BL7" i="20" s="1"/>
  <c r="BP7" i="20"/>
  <c r="BT7" i="20" s="1"/>
  <c r="BJ8" i="20"/>
  <c r="BS8" i="20"/>
  <c r="BK9" i="20"/>
  <c r="BS10" i="20"/>
  <c r="AQ10" i="20" s="1"/>
  <c r="BI6" i="21"/>
  <c r="AP6" i="21" s="1"/>
  <c r="BR6" i="21"/>
  <c r="BT6" i="21" s="1"/>
  <c r="AE8" i="21"/>
  <c r="BI8" i="21"/>
  <c r="AP8" i="21" s="1"/>
  <c r="BR8" i="21"/>
  <c r="AQ8" i="21" s="1"/>
  <c r="AE10" i="21"/>
  <c r="AD6" i="22"/>
  <c r="BH6" i="22"/>
  <c r="BQ6" i="22"/>
  <c r="AE7" i="22"/>
  <c r="BI7" i="22"/>
  <c r="AP7" i="22" s="1"/>
  <c r="BR7" i="22"/>
  <c r="AQ7" i="22" s="1"/>
  <c r="AD8" i="22"/>
  <c r="BQ8" i="22"/>
  <c r="AE9" i="22"/>
  <c r="AD10" i="22"/>
  <c r="AE11" i="22"/>
  <c r="BG6" i="23"/>
  <c r="AP6" i="23" s="1"/>
  <c r="BK6" i="23"/>
  <c r="BP6" i="23"/>
  <c r="AQ6" i="23" s="1"/>
  <c r="AD7" i="23"/>
  <c r="BH7" i="23"/>
  <c r="AP7" i="23" s="1"/>
  <c r="BQ7" i="23"/>
  <c r="AQ8" i="23"/>
  <c r="BK8" i="23"/>
  <c r="AD9" i="23"/>
  <c r="AQ10" i="23"/>
  <c r="BK10" i="23"/>
  <c r="AP10" i="23" s="1"/>
  <c r="AZ7" i="24"/>
  <c r="BH7" i="24"/>
  <c r="AD7" i="24"/>
  <c r="BP7" i="24"/>
  <c r="BR7" i="24"/>
  <c r="BB7" i="24"/>
  <c r="BD7" i="24" s="1"/>
  <c r="BS7" i="24"/>
  <c r="BL10" i="24"/>
  <c r="BD7" i="25"/>
  <c r="BT7" i="25"/>
  <c r="AQ7" i="25"/>
  <c r="AQ8" i="25"/>
  <c r="BT9" i="25"/>
  <c r="AQ9" i="25"/>
  <c r="BT11" i="25"/>
  <c r="AQ11" i="25"/>
  <c r="AZ6" i="26"/>
  <c r="BJ6" i="26"/>
  <c r="BL6" i="26" s="1"/>
  <c r="BA8" i="26"/>
  <c r="BD8" i="26" s="1"/>
  <c r="BK8" i="26"/>
  <c r="BD9" i="26"/>
  <c r="AE9" i="26"/>
  <c r="BC10" i="26"/>
  <c r="BD10" i="26" s="1"/>
  <c r="AD10" i="26"/>
  <c r="AE10" i="26"/>
  <c r="AP11" i="26"/>
  <c r="AZ6" i="27"/>
  <c r="BH6" i="27"/>
  <c r="BP6" i="27"/>
  <c r="BR6" i="27"/>
  <c r="BB6" i="27"/>
  <c r="BD9" i="27"/>
  <c r="AE9" i="27"/>
  <c r="BB9" i="27"/>
  <c r="BT10" i="27"/>
  <c r="AQ10" i="27"/>
  <c r="BT11" i="27"/>
  <c r="BR8" i="28"/>
  <c r="BB8" i="28"/>
  <c r="BJ8" i="28"/>
  <c r="AP8" i="28"/>
  <c r="BL9" i="28"/>
  <c r="BT7" i="30"/>
  <c r="AQ7" i="30"/>
  <c r="BD9" i="31"/>
  <c r="BT9" i="31"/>
  <c r="BL9" i="32"/>
  <c r="AQ7" i="21"/>
  <c r="AQ9" i="21"/>
  <c r="AQ11" i="21"/>
  <c r="AE8" i="22"/>
  <c r="AE10" i="22"/>
  <c r="AD6" i="23"/>
  <c r="AD8" i="23"/>
  <c r="AE9" i="23"/>
  <c r="AD10" i="23"/>
  <c r="AE11" i="23"/>
  <c r="BJ7" i="24"/>
  <c r="BR9" i="24"/>
  <c r="AQ9" i="24" s="1"/>
  <c r="AD9" i="24"/>
  <c r="BB9" i="24"/>
  <c r="BD9" i="24"/>
  <c r="BL9" i="24"/>
  <c r="BJ9" i="24"/>
  <c r="AP9" i="24" s="1"/>
  <c r="BT11" i="24"/>
  <c r="AQ11" i="24"/>
  <c r="AE26" i="24"/>
  <c r="AD26" i="24" s="1"/>
  <c r="BD8" i="25"/>
  <c r="AP9" i="26"/>
  <c r="BT9" i="26"/>
  <c r="BA6" i="27"/>
  <c r="BO6" i="27"/>
  <c r="BD7" i="27"/>
  <c r="AE7" i="27"/>
  <c r="BL7" i="27"/>
  <c r="BR8" i="27"/>
  <c r="BT8" i="27" s="1"/>
  <c r="BB8" i="27"/>
  <c r="BD8" i="27" s="1"/>
  <c r="BL8" i="27"/>
  <c r="BJ9" i="27"/>
  <c r="AP9" i="27" s="1"/>
  <c r="BK9" i="27"/>
  <c r="BD10" i="27"/>
  <c r="BD7" i="28"/>
  <c r="BT10" i="28"/>
  <c r="AQ10" i="28"/>
  <c r="BD8" i="29"/>
  <c r="AE8" i="29"/>
  <c r="AE52" i="30"/>
  <c r="AD52" i="30" s="1"/>
  <c r="AE34" i="30"/>
  <c r="AD34" i="30" s="1"/>
  <c r="AE43" i="30"/>
  <c r="AD43" i="30" s="1"/>
  <c r="AE25" i="30"/>
  <c r="AD25" i="30" s="1"/>
  <c r="BT8" i="31"/>
  <c r="BD10" i="31"/>
  <c r="BT7" i="32"/>
  <c r="BR8" i="32"/>
  <c r="AQ8" i="32" s="1"/>
  <c r="BB8" i="32"/>
  <c r="BJ8" i="32"/>
  <c r="BT8" i="32"/>
  <c r="BL6" i="33"/>
  <c r="BA6" i="24"/>
  <c r="AE6" i="24" s="1"/>
  <c r="BJ6" i="24"/>
  <c r="BO6" i="24"/>
  <c r="BT6" i="24" s="1"/>
  <c r="BS6" i="24"/>
  <c r="BA8" i="24"/>
  <c r="BJ8" i="24"/>
  <c r="BL8" i="24" s="1"/>
  <c r="BS8" i="24"/>
  <c r="BT8" i="24" s="1"/>
  <c r="BS10" i="24"/>
  <c r="BT10" i="24" s="1"/>
  <c r="AZ6" i="25"/>
  <c r="BD6" i="25" s="1"/>
  <c r="BI6" i="25"/>
  <c r="AP6" i="25" s="1"/>
  <c r="BR6" i="25"/>
  <c r="AE8" i="25"/>
  <c r="BI8" i="25"/>
  <c r="AP8" i="25" s="1"/>
  <c r="BR8" i="25"/>
  <c r="AE10" i="25"/>
  <c r="AY6" i="28"/>
  <c r="AD6" i="28"/>
  <c r="BG6" i="28"/>
  <c r="BL6" i="28" s="1"/>
  <c r="BI6" i="28"/>
  <c r="BQ6" i="28"/>
  <c r="BC6" i="28"/>
  <c r="BK6" i="28"/>
  <c r="BS6" i="28"/>
  <c r="BH7" i="28"/>
  <c r="AP7" i="28" s="1"/>
  <c r="BJ7" i="28"/>
  <c r="AP9" i="28"/>
  <c r="BI7" i="29"/>
  <c r="BQ7" i="29"/>
  <c r="BC7" i="29"/>
  <c r="BK7" i="29"/>
  <c r="BA7" i="29"/>
  <c r="BC9" i="29"/>
  <c r="BK9" i="29"/>
  <c r="BD9" i="29"/>
  <c r="AE53" i="29"/>
  <c r="AD53" i="29" s="1"/>
  <c r="AE35" i="29"/>
  <c r="AD35" i="29" s="1"/>
  <c r="AE26" i="29"/>
  <c r="AD26" i="29" s="1"/>
  <c r="AP7" i="30"/>
  <c r="BD8" i="30"/>
  <c r="AP10" i="30"/>
  <c r="AQ10" i="30"/>
  <c r="AE45" i="30"/>
  <c r="AD45" i="30" s="1"/>
  <c r="AE27" i="30"/>
  <c r="AD27" i="30" s="1"/>
  <c r="BL10" i="31"/>
  <c r="BD7" i="32"/>
  <c r="AE7" i="32"/>
  <c r="AP9" i="32"/>
  <c r="BD11" i="32"/>
  <c r="AE11" i="32"/>
  <c r="BP7" i="33"/>
  <c r="AZ7" i="33"/>
  <c r="BD7" i="33" s="1"/>
  <c r="AD7" i="33"/>
  <c r="BH7" i="33"/>
  <c r="BL7" i="33" s="1"/>
  <c r="BJ7" i="33"/>
  <c r="BR7" i="33"/>
  <c r="BG6" i="24"/>
  <c r="BL6" i="24" s="1"/>
  <c r="BK6" i="24"/>
  <c r="BP6" i="24"/>
  <c r="BK8" i="24"/>
  <c r="BK10" i="24"/>
  <c r="AP10" i="24" s="1"/>
  <c r="BO6" i="25"/>
  <c r="BK7" i="25"/>
  <c r="BL7" i="25" s="1"/>
  <c r="BJ8" i="25"/>
  <c r="BS8" i="25"/>
  <c r="BB9" i="25"/>
  <c r="BK9" i="25"/>
  <c r="BL9" i="25" s="1"/>
  <c r="BS10" i="25"/>
  <c r="AQ10" i="25" s="1"/>
  <c r="BI6" i="26"/>
  <c r="AP6" i="26" s="1"/>
  <c r="BR6" i="26"/>
  <c r="AQ6" i="26" s="1"/>
  <c r="BI8" i="26"/>
  <c r="AP8" i="26" s="1"/>
  <c r="BR8" i="26"/>
  <c r="BI7" i="27"/>
  <c r="BR7" i="27"/>
  <c r="AQ7" i="27" s="1"/>
  <c r="BR9" i="27"/>
  <c r="BT9" i="27" s="1"/>
  <c r="AZ7" i="28"/>
  <c r="AE7" i="28" s="1"/>
  <c r="AD7" i="28"/>
  <c r="BI8" i="28"/>
  <c r="BL8" i="28" s="1"/>
  <c r="BQ8" i="28"/>
  <c r="BT8" i="28" s="1"/>
  <c r="AD8" i="28"/>
  <c r="BC8" i="28"/>
  <c r="BK8" i="28"/>
  <c r="AQ9" i="28"/>
  <c r="AE10" i="28"/>
  <c r="BD11" i="28"/>
  <c r="AE11" i="28"/>
  <c r="BL6" i="29"/>
  <c r="AP6" i="29"/>
  <c r="BL7" i="29"/>
  <c r="BT8" i="29"/>
  <c r="AQ8" i="29"/>
  <c r="BL10" i="29"/>
  <c r="BD6" i="30"/>
  <c r="BL7" i="30"/>
  <c r="BT9" i="30"/>
  <c r="AQ9" i="30"/>
  <c r="BT11" i="30"/>
  <c r="AQ11" i="30"/>
  <c r="AE54" i="30"/>
  <c r="AD54" i="30" s="1"/>
  <c r="AQ8" i="31"/>
  <c r="AP10" i="31"/>
  <c r="AY6" i="32"/>
  <c r="AD6" i="32"/>
  <c r="BG6" i="32"/>
  <c r="AP6" i="32" s="1"/>
  <c r="BI6" i="32"/>
  <c r="BQ6" i="32"/>
  <c r="BC6" i="32"/>
  <c r="BK6" i="32"/>
  <c r="BS6" i="32"/>
  <c r="AZ7" i="32"/>
  <c r="BJ7" i="32"/>
  <c r="BI8" i="32"/>
  <c r="AP8" i="32" s="1"/>
  <c r="BQ8" i="32"/>
  <c r="AD8" i="32"/>
  <c r="BC8" i="32"/>
  <c r="BD8" i="32" s="1"/>
  <c r="BK8" i="32"/>
  <c r="BC10" i="32"/>
  <c r="AD10" i="32"/>
  <c r="BK10" i="32"/>
  <c r="BL10" i="32" s="1"/>
  <c r="BD10" i="32"/>
  <c r="BT10" i="32"/>
  <c r="BK8" i="33"/>
  <c r="BC8" i="33"/>
  <c r="BS8" i="33"/>
  <c r="BT8" i="33" s="1"/>
  <c r="BT11" i="33"/>
  <c r="AD6" i="24"/>
  <c r="AD8" i="24"/>
  <c r="AE9" i="24"/>
  <c r="AD10" i="24"/>
  <c r="AE11" i="24"/>
  <c r="AD7" i="25"/>
  <c r="AQ7" i="26"/>
  <c r="AQ9" i="26"/>
  <c r="AQ11" i="26"/>
  <c r="AE6" i="27"/>
  <c r="AE8" i="27"/>
  <c r="AE10" i="27"/>
  <c r="AZ6" i="28"/>
  <c r="BH6" i="28"/>
  <c r="BP6" i="28"/>
  <c r="BT6" i="28" s="1"/>
  <c r="BR6" i="28"/>
  <c r="BB6" i="28"/>
  <c r="BD6" i="28"/>
  <c r="BA7" i="28"/>
  <c r="BA8" i="28"/>
  <c r="BD8" i="28" s="1"/>
  <c r="BS8" i="28"/>
  <c r="BD9" i="28"/>
  <c r="BB9" i="28"/>
  <c r="BC10" i="28"/>
  <c r="BD10" i="28" s="1"/>
  <c r="AD10" i="28"/>
  <c r="BK10" i="28"/>
  <c r="BL10" i="28" s="1"/>
  <c r="AZ7" i="29"/>
  <c r="BH7" i="29"/>
  <c r="AP7" i="29" s="1"/>
  <c r="AD7" i="29"/>
  <c r="BP7" i="29"/>
  <c r="BR7" i="29"/>
  <c r="BT7" i="29" s="1"/>
  <c r="BB7" i="29"/>
  <c r="BS7" i="29"/>
  <c r="AP8" i="29"/>
  <c r="BR9" i="29"/>
  <c r="BT9" i="29" s="1"/>
  <c r="AD9" i="29"/>
  <c r="BB9" i="29"/>
  <c r="AE9" i="29" s="1"/>
  <c r="BJ9" i="29"/>
  <c r="AP9" i="29" s="1"/>
  <c r="AE54" i="29"/>
  <c r="AD54" i="29" s="1"/>
  <c r="AE36" i="29"/>
  <c r="AD36" i="29" s="1"/>
  <c r="AE45" i="29"/>
  <c r="AD45" i="29" s="1"/>
  <c r="AE27" i="29"/>
  <c r="AD27" i="29" s="1"/>
  <c r="AE44" i="29"/>
  <c r="AD44" i="29" s="1"/>
  <c r="AE7" i="30"/>
  <c r="AP9" i="30"/>
  <c r="BD7" i="31"/>
  <c r="BD8" i="31"/>
  <c r="AE8" i="31"/>
  <c r="AE10" i="32"/>
  <c r="BL11" i="32"/>
  <c r="AE49" i="33"/>
  <c r="AD49" i="33" s="1"/>
  <c r="AE31" i="33"/>
  <c r="AD31" i="33" s="1"/>
  <c r="AE40" i="33"/>
  <c r="AD40" i="33" s="1"/>
  <c r="AE22" i="33"/>
  <c r="AD22" i="33" s="1"/>
  <c r="BA7" i="33"/>
  <c r="BI7" i="33"/>
  <c r="BT7" i="33"/>
  <c r="BD9" i="33"/>
  <c r="AP11" i="33"/>
  <c r="BL11" i="33"/>
  <c r="BC7" i="28"/>
  <c r="BQ7" i="28"/>
  <c r="AQ7" i="28" s="1"/>
  <c r="BC9" i="28"/>
  <c r="AE9" i="28" s="1"/>
  <c r="AQ7" i="29"/>
  <c r="AP10" i="29"/>
  <c r="BS10" i="29"/>
  <c r="BT10" i="29" s="1"/>
  <c r="AQ11" i="29"/>
  <c r="AE6" i="30"/>
  <c r="BI6" i="30"/>
  <c r="AP6" i="30" s="1"/>
  <c r="BR6" i="30"/>
  <c r="AQ6" i="30" s="1"/>
  <c r="AE8" i="30"/>
  <c r="BI8" i="30"/>
  <c r="BL8" i="30" s="1"/>
  <c r="BR8" i="30"/>
  <c r="BT8" i="30" s="1"/>
  <c r="AE10" i="30"/>
  <c r="AD6" i="31"/>
  <c r="AY6" i="31"/>
  <c r="BD6" i="31" s="1"/>
  <c r="BC6" i="31"/>
  <c r="BH6" i="31"/>
  <c r="AP6" i="31" s="1"/>
  <c r="BQ6" i="31"/>
  <c r="AE7" i="31"/>
  <c r="BI7" i="31"/>
  <c r="AP7" i="31" s="1"/>
  <c r="BR7" i="31"/>
  <c r="AQ7" i="31" s="1"/>
  <c r="AD8" i="31"/>
  <c r="BC8" i="31"/>
  <c r="BQ8" i="31"/>
  <c r="AE9" i="31"/>
  <c r="BR9" i="31"/>
  <c r="AQ9" i="31" s="1"/>
  <c r="AD10" i="31"/>
  <c r="BC10" i="31"/>
  <c r="AE10" i="31" s="1"/>
  <c r="AE11" i="31"/>
  <c r="AQ6" i="32"/>
  <c r="AD7" i="32"/>
  <c r="BC7" i="32"/>
  <c r="BH7" i="32"/>
  <c r="AP7" i="32" s="1"/>
  <c r="BQ7" i="32"/>
  <c r="AQ7" i="32" s="1"/>
  <c r="AD9" i="32"/>
  <c r="BC9" i="32"/>
  <c r="AE9" i="32" s="1"/>
  <c r="AQ10" i="32"/>
  <c r="BJ6" i="33"/>
  <c r="AP6" i="33" s="1"/>
  <c r="BO6" i="33"/>
  <c r="BS6" i="33"/>
  <c r="AQ6" i="33" s="1"/>
  <c r="BB8" i="33"/>
  <c r="BD8" i="33" s="1"/>
  <c r="BB9" i="33"/>
  <c r="AE9" i="33" s="1"/>
  <c r="AP9" i="33"/>
  <c r="BL9" i="33"/>
  <c r="AE7" i="35"/>
  <c r="AE9" i="35"/>
  <c r="AP9" i="35"/>
  <c r="AE44" i="35"/>
  <c r="AD44" i="35" s="1"/>
  <c r="AE26" i="35"/>
  <c r="AD26" i="35" s="1"/>
  <c r="AE53" i="35"/>
  <c r="AD53" i="35" s="1"/>
  <c r="AE35" i="35"/>
  <c r="AD35" i="35" s="1"/>
  <c r="AA39" i="35"/>
  <c r="Z39" i="35"/>
  <c r="BT7" i="36"/>
  <c r="AQ7" i="36"/>
  <c r="BI6" i="31"/>
  <c r="BR6" i="31"/>
  <c r="BI8" i="31"/>
  <c r="AP8" i="31" s="1"/>
  <c r="BR8" i="31"/>
  <c r="BI7" i="32"/>
  <c r="BR7" i="32"/>
  <c r="BR9" i="32"/>
  <c r="AQ9" i="32" s="1"/>
  <c r="AQ7" i="33"/>
  <c r="BI8" i="33"/>
  <c r="BL8" i="33" s="1"/>
  <c r="AD8" i="33"/>
  <c r="BJ8" i="33"/>
  <c r="AP8" i="33" s="1"/>
  <c r="BD9" i="34"/>
  <c r="BL10" i="34"/>
  <c r="BT8" i="35"/>
  <c r="AQ10" i="35"/>
  <c r="AE6" i="28"/>
  <c r="AE8" i="28"/>
  <c r="BD10" i="33"/>
  <c r="AE10" i="33"/>
  <c r="BD7" i="34"/>
  <c r="BD6" i="35"/>
  <c r="AP7" i="35"/>
  <c r="AD6" i="34"/>
  <c r="AY6" i="34"/>
  <c r="AE6" i="34" s="1"/>
  <c r="BC6" i="34"/>
  <c r="BH6" i="34"/>
  <c r="AP6" i="34" s="1"/>
  <c r="BQ6" i="34"/>
  <c r="AE7" i="34"/>
  <c r="BI7" i="34"/>
  <c r="AP7" i="34" s="1"/>
  <c r="BR7" i="34"/>
  <c r="AQ7" i="34" s="1"/>
  <c r="AD8" i="34"/>
  <c r="BC8" i="34"/>
  <c r="BD8" i="34" s="1"/>
  <c r="BQ8" i="34"/>
  <c r="BT8" i="34" s="1"/>
  <c r="AD10" i="34"/>
  <c r="BC10" i="34"/>
  <c r="BD10" i="34" s="1"/>
  <c r="AE11" i="34"/>
  <c r="BB6" i="35"/>
  <c r="BG6" i="35"/>
  <c r="BK6" i="35"/>
  <c r="BP6" i="35"/>
  <c r="BT6" i="35" s="1"/>
  <c r="BC7" i="35"/>
  <c r="BD7" i="35" s="1"/>
  <c r="BH7" i="35"/>
  <c r="BL7" i="35"/>
  <c r="BQ7" i="35"/>
  <c r="BT7" i="35" s="1"/>
  <c r="BB8" i="35"/>
  <c r="BD8" i="35" s="1"/>
  <c r="BK8" i="35"/>
  <c r="AD9" i="35"/>
  <c r="BC9" i="35"/>
  <c r="BD9" i="35" s="1"/>
  <c r="BK10" i="35"/>
  <c r="BA6" i="36"/>
  <c r="BD6" i="36" s="1"/>
  <c r="BJ6" i="36"/>
  <c r="BB8" i="36"/>
  <c r="BJ8" i="36"/>
  <c r="BR8" i="36"/>
  <c r="BL10" i="36"/>
  <c r="BT7" i="37"/>
  <c r="BD8" i="37"/>
  <c r="BD7" i="38"/>
  <c r="AZ6" i="34"/>
  <c r="BI6" i="34"/>
  <c r="BL6" i="34" s="1"/>
  <c r="BR6" i="34"/>
  <c r="BI8" i="34"/>
  <c r="BR8" i="34"/>
  <c r="AY6" i="35"/>
  <c r="BH6" i="35"/>
  <c r="BQ6" i="35"/>
  <c r="BQ8" i="35"/>
  <c r="BL10" i="35"/>
  <c r="AE36" i="35"/>
  <c r="AD36" i="35" s="1"/>
  <c r="AE54" i="35"/>
  <c r="AD54" i="35" s="1"/>
  <c r="BG6" i="36"/>
  <c r="BK6" i="36"/>
  <c r="BJ7" i="36"/>
  <c r="BD6" i="37"/>
  <c r="BD7" i="37"/>
  <c r="BD10" i="37"/>
  <c r="BT10" i="37"/>
  <c r="AA39" i="37"/>
  <c r="Z39" i="37"/>
  <c r="BJ6" i="34"/>
  <c r="BO6" i="34"/>
  <c r="BS6" i="34"/>
  <c r="BK7" i="34"/>
  <c r="BJ8" i="34"/>
  <c r="BS8" i="34"/>
  <c r="BB9" i="34"/>
  <c r="AE9" i="34" s="1"/>
  <c r="BK9" i="34"/>
  <c r="AP9" i="34" s="1"/>
  <c r="BS10" i="34"/>
  <c r="AQ10" i="34" s="1"/>
  <c r="AE6" i="35"/>
  <c r="BI6" i="35"/>
  <c r="BR6" i="35"/>
  <c r="AE8" i="35"/>
  <c r="BI8" i="35"/>
  <c r="BL8" i="35" s="1"/>
  <c r="BR8" i="35"/>
  <c r="AD6" i="36"/>
  <c r="AD7" i="36"/>
  <c r="BK7" i="36"/>
  <c r="BA8" i="36"/>
  <c r="BI8" i="36"/>
  <c r="AP8" i="36" s="1"/>
  <c r="BQ8" i="36"/>
  <c r="AD8" i="36"/>
  <c r="BK8" i="36"/>
  <c r="BS8" i="36"/>
  <c r="BC8" i="36"/>
  <c r="BD8" i="36" s="1"/>
  <c r="BT10" i="36"/>
  <c r="BL8" i="38"/>
  <c r="BT9" i="38"/>
  <c r="AD7" i="34"/>
  <c r="AQ7" i="35"/>
  <c r="AQ9" i="35"/>
  <c r="AQ11" i="35"/>
  <c r="AE27" i="35"/>
  <c r="AD27" i="35" s="1"/>
  <c r="AE6" i="36"/>
  <c r="BH7" i="36"/>
  <c r="BL7" i="36" s="1"/>
  <c r="AZ7" i="36"/>
  <c r="BD7" i="36" s="1"/>
  <c r="BL8" i="36"/>
  <c r="BT8" i="36"/>
  <c r="AA39" i="36"/>
  <c r="Z39" i="36"/>
  <c r="BD10" i="38"/>
  <c r="Z21" i="38"/>
  <c r="AA21" i="38"/>
  <c r="BI7" i="36"/>
  <c r="BR7" i="36"/>
  <c r="BR9" i="36"/>
  <c r="AQ9" i="36" s="1"/>
  <c r="AD10" i="36"/>
  <c r="BC10" i="36"/>
  <c r="BD10" i="36" s="1"/>
  <c r="AE36" i="36"/>
  <c r="AD36" i="36" s="1"/>
  <c r="AE54" i="36"/>
  <c r="AD54" i="36" s="1"/>
  <c r="BB6" i="37"/>
  <c r="BG6" i="37"/>
  <c r="BK6" i="37"/>
  <c r="BP6" i="37"/>
  <c r="BT6" i="37" s="1"/>
  <c r="AD7" i="37"/>
  <c r="BC7" i="37"/>
  <c r="AE7" i="37" s="1"/>
  <c r="BH7" i="37"/>
  <c r="AP7" i="37" s="1"/>
  <c r="BL7" i="37"/>
  <c r="BB8" i="37"/>
  <c r="AE8" i="37" s="1"/>
  <c r="BK8" i="37"/>
  <c r="AD9" i="37"/>
  <c r="BC9" i="37"/>
  <c r="AE9" i="37" s="1"/>
  <c r="BL9" i="37"/>
  <c r="BK10" i="37"/>
  <c r="AP10" i="37" s="1"/>
  <c r="BL11" i="37"/>
  <c r="BA6" i="38"/>
  <c r="BD6" i="38" s="1"/>
  <c r="BJ6" i="38"/>
  <c r="BO6" i="38"/>
  <c r="BS6" i="38"/>
  <c r="BK7" i="38"/>
  <c r="AP7" i="38" s="1"/>
  <c r="BA8" i="38"/>
  <c r="BD8" i="38" s="1"/>
  <c r="BJ8" i="38"/>
  <c r="AP8" i="38" s="1"/>
  <c r="BS8" i="38"/>
  <c r="BB9" i="38"/>
  <c r="BD9" i="38" s="1"/>
  <c r="BK9" i="38"/>
  <c r="AP9" i="38" s="1"/>
  <c r="BS10" i="38"/>
  <c r="AQ10" i="38" s="1"/>
  <c r="BD7" i="39"/>
  <c r="BL7" i="40"/>
  <c r="BD9" i="40"/>
  <c r="BL8" i="41"/>
  <c r="BT9" i="41"/>
  <c r="BD10" i="41"/>
  <c r="BT10" i="41"/>
  <c r="BA7" i="36"/>
  <c r="AE7" i="36" s="1"/>
  <c r="AE10" i="36"/>
  <c r="AD6" i="37"/>
  <c r="AY6" i="37"/>
  <c r="BC6" i="37"/>
  <c r="BH6" i="37"/>
  <c r="BQ6" i="37"/>
  <c r="BC8" i="37"/>
  <c r="BQ8" i="37"/>
  <c r="BC10" i="37"/>
  <c r="AE36" i="37"/>
  <c r="AD36" i="37" s="1"/>
  <c r="AE54" i="37"/>
  <c r="AD54" i="37" s="1"/>
  <c r="BH7" i="38"/>
  <c r="BL9" i="38"/>
  <c r="BK10" i="38"/>
  <c r="BL10" i="38" s="1"/>
  <c r="BT9" i="39"/>
  <c r="BD7" i="40"/>
  <c r="BB9" i="36"/>
  <c r="BD9" i="36" s="1"/>
  <c r="BK9" i="36"/>
  <c r="AP9" i="36" s="1"/>
  <c r="BS10" i="36"/>
  <c r="AQ10" i="36" s="1"/>
  <c r="AE27" i="36"/>
  <c r="AD27" i="36" s="1"/>
  <c r="AE6" i="37"/>
  <c r="BI6" i="37"/>
  <c r="BR6" i="37"/>
  <c r="BI8" i="37"/>
  <c r="AP8" i="37" s="1"/>
  <c r="BR8" i="37"/>
  <c r="AE10" i="37"/>
  <c r="AD6" i="38"/>
  <c r="BH6" i="38"/>
  <c r="AP6" i="38" s="1"/>
  <c r="BQ6" i="38"/>
  <c r="AE7" i="38"/>
  <c r="AD8" i="38"/>
  <c r="BQ8" i="38"/>
  <c r="AQ8" i="38" s="1"/>
  <c r="AE9" i="38"/>
  <c r="AE54" i="38"/>
  <c r="AD54" i="38" s="1"/>
  <c r="AE45" i="38"/>
  <c r="AD45" i="38" s="1"/>
  <c r="AE36" i="38"/>
  <c r="AD36" i="38" s="1"/>
  <c r="BT7" i="39"/>
  <c r="AP7" i="41"/>
  <c r="AQ8" i="36"/>
  <c r="AQ7" i="37"/>
  <c r="AE27" i="37"/>
  <c r="AD27" i="37" s="1"/>
  <c r="AE8" i="38"/>
  <c r="AE10" i="38"/>
  <c r="AQ9" i="39"/>
  <c r="BD9" i="39"/>
  <c r="BL10" i="40"/>
  <c r="BD6" i="41"/>
  <c r="BL7" i="41"/>
  <c r="BT7" i="41"/>
  <c r="BD8" i="41"/>
  <c r="BL10" i="41"/>
  <c r="AZ6" i="39"/>
  <c r="AE6" i="39" s="1"/>
  <c r="BI6" i="39"/>
  <c r="BL6" i="39" s="1"/>
  <c r="BR6" i="39"/>
  <c r="BA7" i="39"/>
  <c r="BJ7" i="39"/>
  <c r="BL7" i="39" s="1"/>
  <c r="AE8" i="39"/>
  <c r="BI8" i="39"/>
  <c r="BR8" i="39"/>
  <c r="AQ8" i="39" s="1"/>
  <c r="AP9" i="39"/>
  <c r="BJ9" i="39"/>
  <c r="BL9" i="39" s="1"/>
  <c r="AE10" i="39"/>
  <c r="AD6" i="40"/>
  <c r="AY6" i="40"/>
  <c r="BD6" i="40" s="1"/>
  <c r="BC6" i="40"/>
  <c r="BH6" i="40"/>
  <c r="AP6" i="40" s="1"/>
  <c r="BQ6" i="40"/>
  <c r="AE7" i="40"/>
  <c r="BI7" i="40"/>
  <c r="BR7" i="40"/>
  <c r="AQ7" i="40" s="1"/>
  <c r="AD8" i="40"/>
  <c r="BC8" i="40"/>
  <c r="AE8" i="40" s="1"/>
  <c r="BQ8" i="40"/>
  <c r="BR9" i="40"/>
  <c r="AQ9" i="40" s="1"/>
  <c r="AD10" i="40"/>
  <c r="BC10" i="40"/>
  <c r="BD10" i="40" s="1"/>
  <c r="AE11" i="40"/>
  <c r="BG6" i="41"/>
  <c r="BK6" i="41"/>
  <c r="BP6" i="41"/>
  <c r="AQ6" i="41" s="1"/>
  <c r="AD7" i="41"/>
  <c r="BC7" i="41"/>
  <c r="AE7" i="41" s="1"/>
  <c r="BK8" i="41"/>
  <c r="AD9" i="41"/>
  <c r="BC9" i="41"/>
  <c r="BD9" i="41" s="1"/>
  <c r="BL9" i="41"/>
  <c r="BK10" i="41"/>
  <c r="AP10" i="41" s="1"/>
  <c r="BD9" i="42"/>
  <c r="BL10" i="42"/>
  <c r="BA6" i="39"/>
  <c r="BJ6" i="39"/>
  <c r="BO6" i="39"/>
  <c r="BS6" i="39"/>
  <c r="BK7" i="39"/>
  <c r="BA8" i="39"/>
  <c r="BD8" i="39" s="1"/>
  <c r="BJ8" i="39"/>
  <c r="AP8" i="39" s="1"/>
  <c r="BS8" i="39"/>
  <c r="BT8" i="39" s="1"/>
  <c r="BB9" i="39"/>
  <c r="BK9" i="39"/>
  <c r="BS10" i="39"/>
  <c r="AQ10" i="39" s="1"/>
  <c r="AE6" i="40"/>
  <c r="AZ6" i="40"/>
  <c r="BI6" i="40"/>
  <c r="BR6" i="40"/>
  <c r="AP7" i="40"/>
  <c r="BI8" i="40"/>
  <c r="BR8" i="40"/>
  <c r="BT8" i="40" s="1"/>
  <c r="AP9" i="40"/>
  <c r="AE10" i="40"/>
  <c r="AD6" i="41"/>
  <c r="BQ6" i="41"/>
  <c r="BT6" i="41" s="1"/>
  <c r="BQ8" i="41"/>
  <c r="AE54" i="41"/>
  <c r="AD54" i="41" s="1"/>
  <c r="AE36" i="41"/>
  <c r="AD36" i="41" s="1"/>
  <c r="AE45" i="41"/>
  <c r="AD45" i="41" s="1"/>
  <c r="AE27" i="41"/>
  <c r="AD27" i="41" s="1"/>
  <c r="BL9" i="42"/>
  <c r="AP10" i="42"/>
  <c r="BG6" i="39"/>
  <c r="BK6" i="39"/>
  <c r="BP6" i="39"/>
  <c r="AD7" i="39"/>
  <c r="BK8" i="39"/>
  <c r="BK10" i="39"/>
  <c r="AP10" i="39" s="1"/>
  <c r="BJ6" i="40"/>
  <c r="BL6" i="40" s="1"/>
  <c r="BO6" i="40"/>
  <c r="BS6" i="40"/>
  <c r="BK7" i="40"/>
  <c r="BJ8" i="40"/>
  <c r="BL8" i="40" s="1"/>
  <c r="BS8" i="40"/>
  <c r="BB9" i="40"/>
  <c r="AE9" i="40" s="1"/>
  <c r="BK9" i="40"/>
  <c r="BL9" i="40" s="1"/>
  <c r="BS10" i="40"/>
  <c r="AQ10" i="40" s="1"/>
  <c r="AE6" i="41"/>
  <c r="BI6" i="41"/>
  <c r="BR6" i="41"/>
  <c r="AE8" i="41"/>
  <c r="BI8" i="41"/>
  <c r="AP8" i="41" s="1"/>
  <c r="BR8" i="41"/>
  <c r="AE10" i="41"/>
  <c r="BT7" i="42"/>
  <c r="BT9" i="42"/>
  <c r="AD6" i="39"/>
  <c r="AE7" i="39"/>
  <c r="AD8" i="39"/>
  <c r="AE9" i="39"/>
  <c r="AD10" i="39"/>
  <c r="AE11" i="39"/>
  <c r="AD7" i="40"/>
  <c r="AQ7" i="41"/>
  <c r="AQ9" i="41"/>
  <c r="AQ11" i="41"/>
  <c r="BD8" i="42"/>
  <c r="BD10" i="42"/>
  <c r="BT10" i="42"/>
  <c r="AD6" i="42"/>
  <c r="AY6" i="42"/>
  <c r="BC6" i="42"/>
  <c r="BD6" i="42" s="1"/>
  <c r="BH6" i="42"/>
  <c r="AP6" i="42" s="1"/>
  <c r="BQ6" i="42"/>
  <c r="AZ7" i="42"/>
  <c r="BD7" i="42" s="1"/>
  <c r="AD8" i="42"/>
  <c r="BC8" i="42"/>
  <c r="BQ8" i="42"/>
  <c r="AE9" i="42"/>
  <c r="AD10" i="42"/>
  <c r="BC10" i="42"/>
  <c r="AE54" i="42"/>
  <c r="AD54" i="42" s="1"/>
  <c r="AE45" i="42"/>
  <c r="AD45" i="42" s="1"/>
  <c r="AE36" i="42"/>
  <c r="AD36" i="42" s="1"/>
  <c r="AZ6" i="42"/>
  <c r="AE6" i="42" s="1"/>
  <c r="BI6" i="42"/>
  <c r="BL6" i="42" s="1"/>
  <c r="BR6" i="42"/>
  <c r="AE8" i="42"/>
  <c r="BI8" i="42"/>
  <c r="BL8" i="42" s="1"/>
  <c r="BR8" i="42"/>
  <c r="AE10" i="42"/>
  <c r="BJ6" i="42"/>
  <c r="BO6" i="42"/>
  <c r="BS6" i="42"/>
  <c r="BK7" i="42"/>
  <c r="AP7" i="42" s="1"/>
  <c r="BB9" i="42"/>
  <c r="BK9" i="42"/>
  <c r="AP9" i="42" s="1"/>
  <c r="AE27" i="42"/>
  <c r="AD27" i="42" s="1"/>
  <c r="AD7" i="42"/>
  <c r="F74" i="46"/>
  <c r="E12" i="45"/>
  <c r="E14" i="45"/>
  <c r="E16" i="45"/>
  <c r="E18" i="45"/>
  <c r="E20" i="45"/>
  <c r="E22" i="45"/>
  <c r="E24" i="45"/>
  <c r="E26" i="45"/>
  <c r="E28" i="45"/>
  <c r="E30" i="45"/>
  <c r="E32" i="45"/>
  <c r="E34" i="45"/>
  <c r="E36" i="45"/>
  <c r="E38" i="45"/>
  <c r="E40" i="45"/>
  <c r="AE49" i="42" l="1"/>
  <c r="AD49" i="42" s="1"/>
  <c r="AE31" i="42"/>
  <c r="AD31" i="42" s="1"/>
  <c r="AE22" i="42"/>
  <c r="AD22" i="42" s="1"/>
  <c r="AE40" i="42"/>
  <c r="AD40" i="42" s="1"/>
  <c r="AE50" i="41"/>
  <c r="AD50" i="41" s="1"/>
  <c r="AE41" i="41"/>
  <c r="AD41" i="41" s="1"/>
  <c r="AE23" i="41"/>
  <c r="AD23" i="41" s="1"/>
  <c r="AE32" i="41"/>
  <c r="AD32" i="41" s="1"/>
  <c r="AE52" i="37"/>
  <c r="AD52" i="37" s="1"/>
  <c r="AE34" i="37"/>
  <c r="AD34" i="37" s="1"/>
  <c r="AE43" i="37"/>
  <c r="AD43" i="37" s="1"/>
  <c r="AE25" i="37"/>
  <c r="AD25" i="37" s="1"/>
  <c r="AE43" i="32"/>
  <c r="AD43" i="32" s="1"/>
  <c r="AE25" i="32"/>
  <c r="AD25" i="32" s="1"/>
  <c r="AE52" i="32"/>
  <c r="AD52" i="32" s="1"/>
  <c r="AE34" i="32"/>
  <c r="AD34" i="32" s="1"/>
  <c r="AE44" i="31"/>
  <c r="AD44" i="31" s="1"/>
  <c r="AE26" i="31"/>
  <c r="AD26" i="31" s="1"/>
  <c r="AE35" i="31"/>
  <c r="AD35" i="31" s="1"/>
  <c r="AE53" i="31"/>
  <c r="AD53" i="31" s="1"/>
  <c r="AE43" i="29"/>
  <c r="AD43" i="29" s="1"/>
  <c r="AE25" i="29"/>
  <c r="AD25" i="29" s="1"/>
  <c r="AE52" i="29"/>
  <c r="AD52" i="29" s="1"/>
  <c r="AE34" i="29"/>
  <c r="AD34" i="29" s="1"/>
  <c r="AE50" i="24"/>
  <c r="AD50" i="24" s="1"/>
  <c r="AE32" i="24"/>
  <c r="AD32" i="24" s="1"/>
  <c r="AE41" i="24"/>
  <c r="AD41" i="24" s="1"/>
  <c r="AE23" i="24"/>
  <c r="AD23" i="24" s="1"/>
  <c r="AE40" i="22"/>
  <c r="AD40" i="22" s="1"/>
  <c r="AE22" i="22"/>
  <c r="AD22" i="22" s="1"/>
  <c r="AE49" i="22"/>
  <c r="AD49" i="22" s="1"/>
  <c r="AE31" i="22"/>
  <c r="AD31" i="22" s="1"/>
  <c r="AE49" i="19"/>
  <c r="AD49" i="19" s="1"/>
  <c r="AE40" i="19"/>
  <c r="AD40" i="19" s="1"/>
  <c r="AE22" i="19"/>
  <c r="AD22" i="19" s="1"/>
  <c r="AE31" i="19"/>
  <c r="AD31" i="19" s="1"/>
  <c r="BC54" i="10"/>
  <c r="BK54" i="10"/>
  <c r="AE49" i="34"/>
  <c r="AD49" i="34" s="1"/>
  <c r="AE31" i="34"/>
  <c r="AD31" i="34" s="1"/>
  <c r="AE40" i="34"/>
  <c r="AD40" i="34" s="1"/>
  <c r="AE22" i="34"/>
  <c r="AD22" i="34" s="1"/>
  <c r="AE50" i="23"/>
  <c r="AD50" i="23" s="1"/>
  <c r="AE32" i="23"/>
  <c r="AD32" i="23" s="1"/>
  <c r="AE41" i="23"/>
  <c r="AD41" i="23" s="1"/>
  <c r="AE23" i="23"/>
  <c r="AD23" i="23" s="1"/>
  <c r="AE40" i="16"/>
  <c r="AD40" i="16" s="1"/>
  <c r="AE22" i="16"/>
  <c r="AD22" i="16" s="1"/>
  <c r="AE49" i="16"/>
  <c r="AD49" i="16" s="1"/>
  <c r="AE31" i="16"/>
  <c r="AD31" i="16" s="1"/>
  <c r="BB45" i="10"/>
  <c r="BJ45" i="10"/>
  <c r="AE42" i="40"/>
  <c r="AD42" i="40" s="1"/>
  <c r="AE24" i="40"/>
  <c r="AD24" i="40" s="1"/>
  <c r="AE51" i="40"/>
  <c r="AD51" i="40" s="1"/>
  <c r="AE33" i="40"/>
  <c r="AD33" i="40" s="1"/>
  <c r="AE49" i="39"/>
  <c r="AD49" i="39" s="1"/>
  <c r="AE31" i="39"/>
  <c r="AD31" i="39" s="1"/>
  <c r="AE40" i="39"/>
  <c r="AD40" i="39" s="1"/>
  <c r="AE22" i="39"/>
  <c r="AD22" i="39" s="1"/>
  <c r="AE41" i="36"/>
  <c r="AD41" i="36" s="1"/>
  <c r="AE23" i="36"/>
  <c r="AD23" i="36" s="1"/>
  <c r="AE50" i="36"/>
  <c r="AD50" i="36" s="1"/>
  <c r="AE32" i="36"/>
  <c r="AD32" i="36" s="1"/>
  <c r="AE41" i="37"/>
  <c r="AD41" i="37" s="1"/>
  <c r="AE23" i="37"/>
  <c r="AD23" i="37" s="1"/>
  <c r="AE50" i="37"/>
  <c r="AD50" i="37" s="1"/>
  <c r="AE32" i="37"/>
  <c r="AD32" i="37" s="1"/>
  <c r="AE43" i="28"/>
  <c r="AD43" i="28" s="1"/>
  <c r="AE25" i="28"/>
  <c r="AD25" i="28" s="1"/>
  <c r="AE52" i="28"/>
  <c r="AD52" i="28" s="1"/>
  <c r="AE34" i="28"/>
  <c r="AD34" i="28" s="1"/>
  <c r="AE50" i="28"/>
  <c r="AD50" i="28" s="1"/>
  <c r="AE32" i="28"/>
  <c r="AD32" i="28" s="1"/>
  <c r="AE23" i="28"/>
  <c r="AD23" i="28" s="1"/>
  <c r="AE41" i="28"/>
  <c r="AD41" i="28" s="1"/>
  <c r="AE40" i="15"/>
  <c r="AD40" i="15" s="1"/>
  <c r="AE22" i="15"/>
  <c r="AD22" i="15" s="1"/>
  <c r="AE49" i="15"/>
  <c r="AD49" i="15" s="1"/>
  <c r="AE31" i="15"/>
  <c r="AD31" i="15" s="1"/>
  <c r="AE52" i="40"/>
  <c r="AD52" i="40" s="1"/>
  <c r="AE34" i="40"/>
  <c r="AD34" i="40" s="1"/>
  <c r="AE43" i="40"/>
  <c r="AD43" i="40" s="1"/>
  <c r="AE25" i="40"/>
  <c r="AD25" i="40" s="1"/>
  <c r="AE51" i="37"/>
  <c r="AD51" i="37" s="1"/>
  <c r="AE33" i="37"/>
  <c r="AD33" i="37" s="1"/>
  <c r="AE42" i="37"/>
  <c r="AD42" i="37" s="1"/>
  <c r="AE24" i="37"/>
  <c r="AD24" i="37" s="1"/>
  <c r="AE52" i="34"/>
  <c r="AD52" i="34" s="1"/>
  <c r="AE34" i="34"/>
  <c r="AD34" i="34" s="1"/>
  <c r="AE43" i="34"/>
  <c r="AD43" i="34" s="1"/>
  <c r="AE25" i="34"/>
  <c r="AD25" i="34" s="1"/>
  <c r="AE53" i="19"/>
  <c r="AD53" i="19" s="1"/>
  <c r="AE26" i="19"/>
  <c r="AD26" i="19" s="1"/>
  <c r="AE44" i="19"/>
  <c r="AD44" i="19" s="1"/>
  <c r="AE35" i="19"/>
  <c r="AD35" i="19" s="1"/>
  <c r="AE42" i="19"/>
  <c r="AD42" i="19" s="1"/>
  <c r="AE33" i="19"/>
  <c r="AD33" i="19" s="1"/>
  <c r="AE51" i="19"/>
  <c r="AD51" i="19" s="1"/>
  <c r="AE24" i="19"/>
  <c r="AD24" i="19" s="1"/>
  <c r="BA27" i="10"/>
  <c r="BI27" i="10"/>
  <c r="AE41" i="14"/>
  <c r="AD41" i="14" s="1"/>
  <c r="AE23" i="14"/>
  <c r="AD23" i="14" s="1"/>
  <c r="AE50" i="14"/>
  <c r="AD50" i="14" s="1"/>
  <c r="AE32" i="14"/>
  <c r="AD32" i="14" s="1"/>
  <c r="AE43" i="39"/>
  <c r="AD43" i="39" s="1"/>
  <c r="AE25" i="39"/>
  <c r="AD25" i="39" s="1"/>
  <c r="AE52" i="39"/>
  <c r="AD52" i="39" s="1"/>
  <c r="AE34" i="39"/>
  <c r="AD34" i="39" s="1"/>
  <c r="AE42" i="41"/>
  <c r="AD42" i="41" s="1"/>
  <c r="AE51" i="41"/>
  <c r="AD51" i="41" s="1"/>
  <c r="AE33" i="41"/>
  <c r="AD33" i="41" s="1"/>
  <c r="AE24" i="41"/>
  <c r="AD24" i="41" s="1"/>
  <c r="AE51" i="38"/>
  <c r="AD51" i="38" s="1"/>
  <c r="AE33" i="38"/>
  <c r="AD33" i="38" s="1"/>
  <c r="AE42" i="38"/>
  <c r="AD42" i="38" s="1"/>
  <c r="AE24" i="38"/>
  <c r="AD24" i="38" s="1"/>
  <c r="Z48" i="36"/>
  <c r="AA48" i="36"/>
  <c r="BT8" i="38"/>
  <c r="BL6" i="36"/>
  <c r="AP6" i="36"/>
  <c r="AP8" i="34"/>
  <c r="G48" i="33"/>
  <c r="F48" i="33"/>
  <c r="AE41" i="30"/>
  <c r="AD41" i="30" s="1"/>
  <c r="AE23" i="30"/>
  <c r="AD23" i="30" s="1"/>
  <c r="AE50" i="30"/>
  <c r="AD50" i="30" s="1"/>
  <c r="AE32" i="30"/>
  <c r="AD32" i="30" s="1"/>
  <c r="AA39" i="30"/>
  <c r="Z39" i="30"/>
  <c r="R48" i="30"/>
  <c r="S48" i="30"/>
  <c r="AE44" i="22"/>
  <c r="AD44" i="22" s="1"/>
  <c r="AE26" i="22"/>
  <c r="AD26" i="22" s="1"/>
  <c r="AE53" i="22"/>
  <c r="AD53" i="22" s="1"/>
  <c r="AE35" i="22"/>
  <c r="AD35" i="22" s="1"/>
  <c r="AE44" i="26"/>
  <c r="AD44" i="26" s="1"/>
  <c r="AE26" i="26"/>
  <c r="AD26" i="26" s="1"/>
  <c r="AE53" i="26"/>
  <c r="AD53" i="26" s="1"/>
  <c r="AE35" i="26"/>
  <c r="AD35" i="26" s="1"/>
  <c r="AE51" i="21"/>
  <c r="AD51" i="21" s="1"/>
  <c r="AE33" i="21"/>
  <c r="AD33" i="21" s="1"/>
  <c r="AE42" i="21"/>
  <c r="AD42" i="21" s="1"/>
  <c r="AE24" i="21"/>
  <c r="AD24" i="21" s="1"/>
  <c r="AP7" i="33"/>
  <c r="AE40" i="26"/>
  <c r="AD40" i="26" s="1"/>
  <c r="AE22" i="26"/>
  <c r="AD22" i="26" s="1"/>
  <c r="AE49" i="26"/>
  <c r="AD49" i="26" s="1"/>
  <c r="AE31" i="26"/>
  <c r="AD31" i="26" s="1"/>
  <c r="BT9" i="24"/>
  <c r="AE43" i="17"/>
  <c r="AD43" i="17" s="1"/>
  <c r="AE25" i="17"/>
  <c r="AD25" i="17" s="1"/>
  <c r="AE52" i="17"/>
  <c r="AD52" i="17" s="1"/>
  <c r="AE34" i="17"/>
  <c r="AD34" i="17" s="1"/>
  <c r="BL7" i="23"/>
  <c r="AE51" i="15"/>
  <c r="AD51" i="15" s="1"/>
  <c r="AE33" i="15"/>
  <c r="AD33" i="15" s="1"/>
  <c r="AE42" i="15"/>
  <c r="AD42" i="15" s="1"/>
  <c r="AE24" i="15"/>
  <c r="AD24" i="15" s="1"/>
  <c r="BD7" i="23"/>
  <c r="W48" i="17"/>
  <c r="V48" i="17"/>
  <c r="AE9" i="12"/>
  <c r="AA21" i="20"/>
  <c r="Z21" i="20"/>
  <c r="AE43" i="42"/>
  <c r="AD43" i="42" s="1"/>
  <c r="AE52" i="42"/>
  <c r="AD52" i="42" s="1"/>
  <c r="AE34" i="42"/>
  <c r="AD34" i="42" s="1"/>
  <c r="AE25" i="42"/>
  <c r="AD25" i="42" s="1"/>
  <c r="BL7" i="42"/>
  <c r="BT6" i="39"/>
  <c r="AQ6" i="39"/>
  <c r="BL8" i="39"/>
  <c r="BL8" i="37"/>
  <c r="AE49" i="36"/>
  <c r="AD49" i="36" s="1"/>
  <c r="AE31" i="36"/>
  <c r="AD31" i="36" s="1"/>
  <c r="AE40" i="36"/>
  <c r="AD40" i="36" s="1"/>
  <c r="AE22" i="36"/>
  <c r="AD22" i="36" s="1"/>
  <c r="W48" i="35"/>
  <c r="V48" i="35"/>
  <c r="BD9" i="32"/>
  <c r="BL6" i="31"/>
  <c r="AQ10" i="29"/>
  <c r="AE43" i="23"/>
  <c r="AD43" i="23" s="1"/>
  <c r="AE25" i="23"/>
  <c r="AD25" i="23" s="1"/>
  <c r="AE34" i="23"/>
  <c r="AD34" i="23" s="1"/>
  <c r="AE52" i="23"/>
  <c r="AD52" i="23" s="1"/>
  <c r="AP7" i="24"/>
  <c r="AE52" i="25"/>
  <c r="AD52" i="25" s="1"/>
  <c r="AE34" i="25"/>
  <c r="AD34" i="25" s="1"/>
  <c r="AE43" i="25"/>
  <c r="AD43" i="25" s="1"/>
  <c r="AE25" i="25"/>
  <c r="AD25" i="25" s="1"/>
  <c r="BT10" i="34"/>
  <c r="AA21" i="18"/>
  <c r="Z21" i="18"/>
  <c r="W30" i="20"/>
  <c r="V30" i="20"/>
  <c r="AE50" i="19"/>
  <c r="AD50" i="19" s="1"/>
  <c r="AE23" i="19"/>
  <c r="AD23" i="19" s="1"/>
  <c r="AE41" i="19"/>
  <c r="AD41" i="19" s="1"/>
  <c r="AE32" i="19"/>
  <c r="AD32" i="19" s="1"/>
  <c r="AP7" i="18"/>
  <c r="BL8" i="17"/>
  <c r="AE43" i="11"/>
  <c r="AD43" i="11" s="1"/>
  <c r="AE25" i="11"/>
  <c r="AD25" i="11" s="1"/>
  <c r="AE52" i="11"/>
  <c r="AD52" i="11" s="1"/>
  <c r="AE34" i="11"/>
  <c r="AD34" i="11" s="1"/>
  <c r="AE50" i="10"/>
  <c r="AD50" i="10" s="1"/>
  <c r="AE23" i="10"/>
  <c r="AD23" i="10" s="1"/>
  <c r="AE32" i="10"/>
  <c r="AD32" i="10" s="1"/>
  <c r="AE41" i="10"/>
  <c r="AD41" i="10" s="1"/>
  <c r="AE52" i="14"/>
  <c r="AD52" i="14" s="1"/>
  <c r="AE34" i="14"/>
  <c r="AD34" i="14" s="1"/>
  <c r="AE43" i="14"/>
  <c r="AD43" i="14" s="1"/>
  <c r="AE25" i="14"/>
  <c r="AD25" i="14" s="1"/>
  <c r="AE8" i="10"/>
  <c r="BD8" i="10"/>
  <c r="J48" i="18"/>
  <c r="K48" i="18"/>
  <c r="AE49" i="17"/>
  <c r="AD49" i="17" s="1"/>
  <c r="AE31" i="17"/>
  <c r="AD31" i="17" s="1"/>
  <c r="AE40" i="17"/>
  <c r="AD40" i="17" s="1"/>
  <c r="AE22" i="17"/>
  <c r="AD22" i="17" s="1"/>
  <c r="AA39" i="15"/>
  <c r="Z39" i="15"/>
  <c r="AE51" i="13"/>
  <c r="AD51" i="13" s="1"/>
  <c r="AE33" i="13"/>
  <c r="AD33" i="13" s="1"/>
  <c r="AE42" i="13"/>
  <c r="AD42" i="13" s="1"/>
  <c r="AE24" i="13"/>
  <c r="AD24" i="13" s="1"/>
  <c r="Z30" i="12"/>
  <c r="AA30" i="12"/>
  <c r="BD6" i="11"/>
  <c r="AA21" i="42"/>
  <c r="Z21" i="42"/>
  <c r="AE53" i="42"/>
  <c r="AD53" i="42" s="1"/>
  <c r="AE44" i="42"/>
  <c r="AD44" i="42" s="1"/>
  <c r="AE35" i="42"/>
  <c r="AD35" i="42" s="1"/>
  <c r="AE26" i="42"/>
  <c r="AD26" i="42" s="1"/>
  <c r="AE51" i="42"/>
  <c r="AD51" i="42" s="1"/>
  <c r="AE42" i="42"/>
  <c r="AD42" i="42" s="1"/>
  <c r="AE24" i="42"/>
  <c r="AD24" i="42" s="1"/>
  <c r="AE33" i="42"/>
  <c r="AD33" i="42" s="1"/>
  <c r="AA48" i="42"/>
  <c r="Z48" i="42"/>
  <c r="AQ8" i="42"/>
  <c r="AE7" i="42"/>
  <c r="BT8" i="42"/>
  <c r="AE53" i="41"/>
  <c r="AD53" i="41" s="1"/>
  <c r="AE44" i="41"/>
  <c r="AD44" i="41" s="1"/>
  <c r="AE26" i="41"/>
  <c r="AD26" i="41" s="1"/>
  <c r="AE35" i="41"/>
  <c r="AD35" i="41" s="1"/>
  <c r="AA39" i="41"/>
  <c r="Z39" i="41"/>
  <c r="AQ8" i="41"/>
  <c r="AP8" i="40"/>
  <c r="AE45" i="40"/>
  <c r="AD45" i="40" s="1"/>
  <c r="AE27" i="40"/>
  <c r="AD27" i="40" s="1"/>
  <c r="AE54" i="40"/>
  <c r="AD54" i="40" s="1"/>
  <c r="AE36" i="40"/>
  <c r="AD36" i="40" s="1"/>
  <c r="BD8" i="40"/>
  <c r="AE6" i="38"/>
  <c r="Z39" i="38"/>
  <c r="AA39" i="38"/>
  <c r="AA21" i="36"/>
  <c r="Z21" i="36"/>
  <c r="AE9" i="41"/>
  <c r="BT10" i="40"/>
  <c r="BD6" i="39"/>
  <c r="BL7" i="38"/>
  <c r="AE53" i="36"/>
  <c r="AD53" i="36" s="1"/>
  <c r="AE35" i="36"/>
  <c r="AD35" i="36" s="1"/>
  <c r="AE44" i="36"/>
  <c r="AD44" i="36" s="1"/>
  <c r="AE26" i="36"/>
  <c r="AD26" i="36" s="1"/>
  <c r="BD7" i="41"/>
  <c r="AP10" i="38"/>
  <c r="BT6" i="38"/>
  <c r="AQ6" i="38"/>
  <c r="Z30" i="36"/>
  <c r="AA30" i="36"/>
  <c r="AE9" i="36"/>
  <c r="Z24" i="38"/>
  <c r="Z27" i="38"/>
  <c r="AA44" i="36"/>
  <c r="AA40" i="36"/>
  <c r="AA45" i="36"/>
  <c r="AA41" i="36"/>
  <c r="AA21" i="35"/>
  <c r="Z21" i="35"/>
  <c r="AQ8" i="34"/>
  <c r="BL10" i="37"/>
  <c r="BL9" i="36"/>
  <c r="Z43" i="37"/>
  <c r="Z42" i="37"/>
  <c r="Z45" i="37"/>
  <c r="Z41" i="37"/>
  <c r="AA48" i="35"/>
  <c r="Z48" i="35"/>
  <c r="AQ8" i="35"/>
  <c r="AE10" i="34"/>
  <c r="AE8" i="34"/>
  <c r="BL6" i="38"/>
  <c r="AP6" i="35"/>
  <c r="BL6" i="35"/>
  <c r="BL9" i="34"/>
  <c r="AE53" i="33"/>
  <c r="AD53" i="33" s="1"/>
  <c r="AE35" i="33"/>
  <c r="AD35" i="33" s="1"/>
  <c r="AE44" i="33"/>
  <c r="AD44" i="33" s="1"/>
  <c r="AE26" i="33"/>
  <c r="AD26" i="33" s="1"/>
  <c r="BL7" i="34"/>
  <c r="Z44" i="35"/>
  <c r="Z45" i="35"/>
  <c r="W21" i="35"/>
  <c r="V21" i="35"/>
  <c r="AE8" i="33"/>
  <c r="AE53" i="30"/>
  <c r="AD53" i="30" s="1"/>
  <c r="AE35" i="30"/>
  <c r="AD35" i="30" s="1"/>
  <c r="AE44" i="30"/>
  <c r="AD44" i="30" s="1"/>
  <c r="AE26" i="30"/>
  <c r="AD26" i="30" s="1"/>
  <c r="AE42" i="30"/>
  <c r="AD42" i="30" s="1"/>
  <c r="AE24" i="30"/>
  <c r="AD24" i="30" s="1"/>
  <c r="AE51" i="30"/>
  <c r="AD51" i="30" s="1"/>
  <c r="AE33" i="30"/>
  <c r="AD33" i="30" s="1"/>
  <c r="AE49" i="30"/>
  <c r="AD49" i="30" s="1"/>
  <c r="AE31" i="30"/>
  <c r="AD31" i="30" s="1"/>
  <c r="AE40" i="30"/>
  <c r="AD40" i="30" s="1"/>
  <c r="AE22" i="30"/>
  <c r="AD22" i="30" s="1"/>
  <c r="G21" i="33"/>
  <c r="F21" i="33"/>
  <c r="AE8" i="32"/>
  <c r="BL6" i="30"/>
  <c r="AA30" i="29"/>
  <c r="Z30" i="29"/>
  <c r="BL9" i="29"/>
  <c r="AE54" i="24"/>
  <c r="AD54" i="24" s="1"/>
  <c r="AE36" i="24"/>
  <c r="AD36" i="24" s="1"/>
  <c r="AE45" i="24"/>
  <c r="AD45" i="24" s="1"/>
  <c r="AE27" i="24"/>
  <c r="AD27" i="24" s="1"/>
  <c r="Z48" i="30"/>
  <c r="AA48" i="30"/>
  <c r="BT6" i="25"/>
  <c r="AQ6" i="25"/>
  <c r="AQ8" i="33"/>
  <c r="AE6" i="31"/>
  <c r="AQ8" i="28"/>
  <c r="AP9" i="25"/>
  <c r="AP7" i="25"/>
  <c r="AE6" i="25"/>
  <c r="AE8" i="24"/>
  <c r="BD8" i="24"/>
  <c r="AE49" i="24"/>
  <c r="AD49" i="24" s="1"/>
  <c r="AE31" i="24"/>
  <c r="AD31" i="24" s="1"/>
  <c r="AE22" i="24"/>
  <c r="AD22" i="24" s="1"/>
  <c r="AE40" i="24"/>
  <c r="AD40" i="24" s="1"/>
  <c r="BL7" i="32"/>
  <c r="S21" i="30"/>
  <c r="R21" i="30"/>
  <c r="AQ8" i="30"/>
  <c r="AE8" i="26"/>
  <c r="AQ10" i="24"/>
  <c r="AQ8" i="24"/>
  <c r="AE51" i="22"/>
  <c r="AD51" i="22" s="1"/>
  <c r="AE33" i="22"/>
  <c r="AD33" i="22" s="1"/>
  <c r="AE42" i="22"/>
  <c r="AD42" i="22" s="1"/>
  <c r="AE24" i="22"/>
  <c r="AD24" i="22" s="1"/>
  <c r="BL7" i="28"/>
  <c r="AP8" i="24"/>
  <c r="AE50" i="22"/>
  <c r="AD50" i="22" s="1"/>
  <c r="AE32" i="22"/>
  <c r="AD32" i="22" s="1"/>
  <c r="AE41" i="22"/>
  <c r="AD41" i="22" s="1"/>
  <c r="AE23" i="22"/>
  <c r="AD23" i="22" s="1"/>
  <c r="AE44" i="21"/>
  <c r="AD44" i="21" s="1"/>
  <c r="AE26" i="21"/>
  <c r="AD26" i="21" s="1"/>
  <c r="AE53" i="21"/>
  <c r="AD53" i="21" s="1"/>
  <c r="AE35" i="21"/>
  <c r="AD35" i="21" s="1"/>
  <c r="AE41" i="26"/>
  <c r="AD41" i="26" s="1"/>
  <c r="AE23" i="26"/>
  <c r="AD23" i="26" s="1"/>
  <c r="AE50" i="26"/>
  <c r="AD50" i="26" s="1"/>
  <c r="AE32" i="26"/>
  <c r="AD32" i="26" s="1"/>
  <c r="AE45" i="25"/>
  <c r="AD45" i="25" s="1"/>
  <c r="AE27" i="25"/>
  <c r="AD27" i="25" s="1"/>
  <c r="AE54" i="25"/>
  <c r="AD54" i="25" s="1"/>
  <c r="AE36" i="25"/>
  <c r="AD36" i="25" s="1"/>
  <c r="BL7" i="24"/>
  <c r="AE52" i="21"/>
  <c r="AD52" i="21" s="1"/>
  <c r="AE34" i="21"/>
  <c r="AD34" i="21" s="1"/>
  <c r="AE43" i="21"/>
  <c r="AD43" i="21" s="1"/>
  <c r="AE25" i="21"/>
  <c r="AD25" i="21" s="1"/>
  <c r="AE42" i="20"/>
  <c r="AD42" i="20" s="1"/>
  <c r="AE24" i="20"/>
  <c r="AD24" i="20" s="1"/>
  <c r="AE51" i="20"/>
  <c r="AD51" i="20" s="1"/>
  <c r="AE33" i="20"/>
  <c r="AD33" i="20" s="1"/>
  <c r="AP8" i="35"/>
  <c r="AQ6" i="35"/>
  <c r="AE54" i="33"/>
  <c r="AD54" i="33" s="1"/>
  <c r="AE36" i="33"/>
  <c r="AD36" i="33" s="1"/>
  <c r="AE45" i="33"/>
  <c r="AD45" i="33" s="1"/>
  <c r="AE27" i="33"/>
  <c r="AD27" i="33" s="1"/>
  <c r="BT7" i="31"/>
  <c r="G48" i="29"/>
  <c r="F48" i="29"/>
  <c r="BL10" i="27"/>
  <c r="AE45" i="26"/>
  <c r="AD45" i="26" s="1"/>
  <c r="AE27" i="26"/>
  <c r="AD27" i="26" s="1"/>
  <c r="AE54" i="26"/>
  <c r="AD54" i="26" s="1"/>
  <c r="AE36" i="26"/>
  <c r="AD36" i="26" s="1"/>
  <c r="BL8" i="26"/>
  <c r="W30" i="24"/>
  <c r="V30" i="24"/>
  <c r="AP9" i="23"/>
  <c r="BT6" i="22"/>
  <c r="AQ6" i="22"/>
  <c r="W30" i="23"/>
  <c r="V30" i="23"/>
  <c r="AE52" i="20"/>
  <c r="AD52" i="20" s="1"/>
  <c r="AE34" i="20"/>
  <c r="AD34" i="20" s="1"/>
  <c r="AE25" i="20"/>
  <c r="AD25" i="20" s="1"/>
  <c r="AE43" i="20"/>
  <c r="AD43" i="20" s="1"/>
  <c r="AP8" i="20"/>
  <c r="AE8" i="16"/>
  <c r="J48" i="25"/>
  <c r="K48" i="25"/>
  <c r="BL10" i="23"/>
  <c r="BL6" i="21"/>
  <c r="BT10" i="20"/>
  <c r="AE50" i="16"/>
  <c r="AD50" i="16" s="1"/>
  <c r="AE32" i="16"/>
  <c r="AD32" i="16" s="1"/>
  <c r="AE41" i="16"/>
  <c r="AD41" i="16" s="1"/>
  <c r="AE23" i="16"/>
  <c r="AD23" i="16" s="1"/>
  <c r="AE10" i="15"/>
  <c r="W48" i="20"/>
  <c r="V48" i="20"/>
  <c r="AE43" i="19"/>
  <c r="AD43" i="19" s="1"/>
  <c r="AE52" i="19"/>
  <c r="AD52" i="19" s="1"/>
  <c r="AE34" i="19"/>
  <c r="AD34" i="19" s="1"/>
  <c r="AE25" i="19"/>
  <c r="AD25" i="19" s="1"/>
  <c r="BL9" i="16"/>
  <c r="AE52" i="15"/>
  <c r="AD52" i="15" s="1"/>
  <c r="AE34" i="15"/>
  <c r="AD34" i="15" s="1"/>
  <c r="AE43" i="15"/>
  <c r="AD43" i="15" s="1"/>
  <c r="AE25" i="15"/>
  <c r="AD25" i="15" s="1"/>
  <c r="AE41" i="15"/>
  <c r="AD41" i="15" s="1"/>
  <c r="AE23" i="15"/>
  <c r="AD23" i="15" s="1"/>
  <c r="AE50" i="15"/>
  <c r="AD50" i="15" s="1"/>
  <c r="AE32" i="15"/>
  <c r="AD32" i="15" s="1"/>
  <c r="BD6" i="24"/>
  <c r="BL6" i="23"/>
  <c r="BD6" i="22"/>
  <c r="BL9" i="20"/>
  <c r="AA48" i="19"/>
  <c r="Z48" i="19"/>
  <c r="BT10" i="18"/>
  <c r="W21" i="17"/>
  <c r="V21" i="17"/>
  <c r="BL9" i="17"/>
  <c r="AQ8" i="12"/>
  <c r="BT9" i="19"/>
  <c r="BD8" i="17"/>
  <c r="BT6" i="12"/>
  <c r="AQ6" i="12"/>
  <c r="BD8" i="19"/>
  <c r="BD6" i="19"/>
  <c r="AA39" i="17"/>
  <c r="Z39" i="17"/>
  <c r="AE53" i="12"/>
  <c r="AD53" i="12" s="1"/>
  <c r="AE35" i="12"/>
  <c r="AD35" i="12" s="1"/>
  <c r="AE44" i="12"/>
  <c r="AD44" i="12" s="1"/>
  <c r="AE26" i="12"/>
  <c r="AD26" i="12" s="1"/>
  <c r="AE42" i="12"/>
  <c r="AD42" i="12" s="1"/>
  <c r="AE24" i="12"/>
  <c r="AD24" i="12" s="1"/>
  <c r="AE51" i="12"/>
  <c r="AD51" i="12" s="1"/>
  <c r="AE33" i="12"/>
  <c r="AD33" i="12" s="1"/>
  <c r="AE8" i="11"/>
  <c r="BD8" i="11"/>
  <c r="BL8" i="14"/>
  <c r="AA48" i="13"/>
  <c r="Z48" i="13"/>
  <c r="AQ9" i="10"/>
  <c r="BL7" i="14"/>
  <c r="AP7" i="13"/>
  <c r="AQ6" i="11"/>
  <c r="AA45" i="10"/>
  <c r="Y27" i="10"/>
  <c r="AQ6" i="10"/>
  <c r="BL9" i="12"/>
  <c r="AA39" i="11"/>
  <c r="Z39" i="11"/>
  <c r="AQ8" i="11"/>
  <c r="AQ8" i="10"/>
  <c r="AA39" i="20"/>
  <c r="Z39" i="20"/>
  <c r="K21" i="18"/>
  <c r="J21" i="18"/>
  <c r="AA30" i="15"/>
  <c r="Z30" i="15"/>
  <c r="AP6" i="12"/>
  <c r="BT8" i="13"/>
  <c r="AA21" i="12"/>
  <c r="Z21" i="12"/>
  <c r="Y54" i="10"/>
  <c r="J48" i="12"/>
  <c r="K48" i="12"/>
  <c r="BD6" i="10"/>
  <c r="AA30" i="37"/>
  <c r="Z30" i="37"/>
  <c r="AE40" i="28"/>
  <c r="AD40" i="28" s="1"/>
  <c r="AE22" i="28"/>
  <c r="AD22" i="28" s="1"/>
  <c r="AE49" i="28"/>
  <c r="AD49" i="28" s="1"/>
  <c r="AE31" i="28"/>
  <c r="AD31" i="28" s="1"/>
  <c r="AE52" i="35"/>
  <c r="AD52" i="35" s="1"/>
  <c r="AE34" i="35"/>
  <c r="AD34" i="35" s="1"/>
  <c r="AE43" i="35"/>
  <c r="AD43" i="35" s="1"/>
  <c r="Z43" i="35" s="1"/>
  <c r="AE25" i="35"/>
  <c r="AD25" i="35" s="1"/>
  <c r="AE52" i="31"/>
  <c r="AD52" i="31" s="1"/>
  <c r="AE34" i="31"/>
  <c r="AD34" i="31" s="1"/>
  <c r="AE43" i="31"/>
  <c r="AD43" i="31" s="1"/>
  <c r="AE25" i="31"/>
  <c r="AD25" i="31" s="1"/>
  <c r="BT6" i="33"/>
  <c r="AA39" i="29"/>
  <c r="Z39" i="29"/>
  <c r="AE49" i="27"/>
  <c r="AD49" i="27" s="1"/>
  <c r="AE40" i="27"/>
  <c r="AD40" i="27" s="1"/>
  <c r="AE22" i="27"/>
  <c r="AD22" i="27" s="1"/>
  <c r="AE31" i="27"/>
  <c r="AD31" i="27" s="1"/>
  <c r="BT9" i="32"/>
  <c r="AE42" i="25"/>
  <c r="AD42" i="25" s="1"/>
  <c r="AE24" i="25"/>
  <c r="AD24" i="25" s="1"/>
  <c r="AE51" i="25"/>
  <c r="AD51" i="25" s="1"/>
  <c r="AE33" i="25"/>
  <c r="AD33" i="25" s="1"/>
  <c r="AE52" i="26"/>
  <c r="AD52" i="26" s="1"/>
  <c r="AE34" i="26"/>
  <c r="AD34" i="26" s="1"/>
  <c r="AE43" i="26"/>
  <c r="AD43" i="26" s="1"/>
  <c r="AE25" i="26"/>
  <c r="AD25" i="26" s="1"/>
  <c r="BL7" i="22"/>
  <c r="BD6" i="34"/>
  <c r="AE44" i="16"/>
  <c r="AD44" i="16" s="1"/>
  <c r="AE26" i="16"/>
  <c r="AD26" i="16" s="1"/>
  <c r="AE53" i="16"/>
  <c r="AD53" i="16" s="1"/>
  <c r="AE35" i="16"/>
  <c r="AD35" i="16" s="1"/>
  <c r="AE49" i="18"/>
  <c r="AD49" i="18" s="1"/>
  <c r="AE31" i="18"/>
  <c r="AD31" i="18" s="1"/>
  <c r="AE40" i="18"/>
  <c r="AD40" i="18" s="1"/>
  <c r="AE22" i="18"/>
  <c r="AD22" i="18" s="1"/>
  <c r="AE53" i="14"/>
  <c r="AD53" i="14" s="1"/>
  <c r="AE35" i="14"/>
  <c r="AD35" i="14" s="1"/>
  <c r="AE44" i="14"/>
  <c r="AD44" i="14" s="1"/>
  <c r="AE26" i="14"/>
  <c r="AD26" i="14" s="1"/>
  <c r="Z30" i="18"/>
  <c r="AA30" i="18"/>
  <c r="AA39" i="19"/>
  <c r="Z39" i="19"/>
  <c r="AE49" i="11"/>
  <c r="AD49" i="11" s="1"/>
  <c r="AE31" i="11"/>
  <c r="AD31" i="11" s="1"/>
  <c r="AE40" i="11"/>
  <c r="AD40" i="11" s="1"/>
  <c r="AE22" i="11"/>
  <c r="AD22" i="11" s="1"/>
  <c r="BB27" i="10"/>
  <c r="BJ27" i="10"/>
  <c r="AP10" i="19"/>
  <c r="BT6" i="14"/>
  <c r="K39" i="12"/>
  <c r="J39" i="12"/>
  <c r="BT6" i="42"/>
  <c r="AQ6" i="42"/>
  <c r="AP8" i="42"/>
  <c r="AE54" i="39"/>
  <c r="AD54" i="39" s="1"/>
  <c r="AE36" i="39"/>
  <c r="AD36" i="39" s="1"/>
  <c r="AE45" i="39"/>
  <c r="AD45" i="39" s="1"/>
  <c r="AE27" i="39"/>
  <c r="AD27" i="39" s="1"/>
  <c r="AE50" i="39"/>
  <c r="AD50" i="39" s="1"/>
  <c r="AE32" i="39"/>
  <c r="AD32" i="39" s="1"/>
  <c r="AE41" i="39"/>
  <c r="AD41" i="39" s="1"/>
  <c r="AE23" i="39"/>
  <c r="AD23" i="39" s="1"/>
  <c r="AP6" i="39"/>
  <c r="Z30" i="41"/>
  <c r="AA30" i="41"/>
  <c r="AE53" i="40"/>
  <c r="AD53" i="40" s="1"/>
  <c r="AE35" i="40"/>
  <c r="AD35" i="40" s="1"/>
  <c r="AE44" i="40"/>
  <c r="AD44" i="40" s="1"/>
  <c r="AE26" i="40"/>
  <c r="AD26" i="40" s="1"/>
  <c r="AQ8" i="40"/>
  <c r="AE53" i="39"/>
  <c r="AD53" i="39" s="1"/>
  <c r="AE35" i="39"/>
  <c r="AD35" i="39" s="1"/>
  <c r="AE44" i="39"/>
  <c r="AD44" i="39" s="1"/>
  <c r="AE26" i="39"/>
  <c r="AD26" i="39" s="1"/>
  <c r="AP7" i="39"/>
  <c r="BT8" i="41"/>
  <c r="BT7" i="40"/>
  <c r="AA21" i="37"/>
  <c r="Z21" i="37"/>
  <c r="BT9" i="40"/>
  <c r="BL10" i="39"/>
  <c r="AA48" i="38"/>
  <c r="Z48" i="38"/>
  <c r="AE50" i="38"/>
  <c r="AD50" i="38" s="1"/>
  <c r="AE32" i="38"/>
  <c r="AD32" i="38" s="1"/>
  <c r="AE41" i="38"/>
  <c r="AD41" i="38" s="1"/>
  <c r="AE23" i="38"/>
  <c r="AD23" i="38" s="1"/>
  <c r="AE44" i="37"/>
  <c r="AD44" i="37" s="1"/>
  <c r="AE26" i="37"/>
  <c r="AD26" i="37" s="1"/>
  <c r="AE53" i="37"/>
  <c r="AD53" i="37" s="1"/>
  <c r="AE35" i="37"/>
  <c r="AD35" i="37" s="1"/>
  <c r="BT10" i="39"/>
  <c r="AP6" i="37"/>
  <c r="BL6" i="37"/>
  <c r="BT10" i="38"/>
  <c r="BD9" i="37"/>
  <c r="AQ6" i="37"/>
  <c r="AA43" i="37"/>
  <c r="AA42" i="37"/>
  <c r="AA45" i="37"/>
  <c r="AA41" i="37"/>
  <c r="AA44" i="37"/>
  <c r="AP7" i="36"/>
  <c r="AA30" i="35"/>
  <c r="Z30" i="35"/>
  <c r="AA43" i="35"/>
  <c r="AA45" i="35"/>
  <c r="AA44" i="35"/>
  <c r="W39" i="35"/>
  <c r="V39" i="35"/>
  <c r="BT7" i="34"/>
  <c r="AE41" i="31"/>
  <c r="AD41" i="31" s="1"/>
  <c r="AE23" i="31"/>
  <c r="AD23" i="31" s="1"/>
  <c r="AE50" i="31"/>
  <c r="AD50" i="31" s="1"/>
  <c r="AE32" i="31"/>
  <c r="AD32" i="31" s="1"/>
  <c r="AQ9" i="29"/>
  <c r="G39" i="33"/>
  <c r="F39" i="33"/>
  <c r="AE44" i="32"/>
  <c r="AD44" i="32" s="1"/>
  <c r="AE26" i="32"/>
  <c r="AD26" i="32" s="1"/>
  <c r="AE53" i="32"/>
  <c r="AD53" i="32" s="1"/>
  <c r="AE35" i="32"/>
  <c r="AD35" i="32" s="1"/>
  <c r="BL8" i="31"/>
  <c r="W39" i="29"/>
  <c r="V39" i="29"/>
  <c r="AA48" i="29"/>
  <c r="Z48" i="29"/>
  <c r="AP10" i="28"/>
  <c r="AE53" i="27"/>
  <c r="AD53" i="27" s="1"/>
  <c r="AE44" i="27"/>
  <c r="AD44" i="27" s="1"/>
  <c r="AE26" i="27"/>
  <c r="AD26" i="27" s="1"/>
  <c r="AE35" i="27"/>
  <c r="AD35" i="27" s="1"/>
  <c r="AP10" i="32"/>
  <c r="BD6" i="32"/>
  <c r="AE6" i="32"/>
  <c r="AP6" i="24"/>
  <c r="AE7" i="33"/>
  <c r="W30" i="29"/>
  <c r="V30" i="29"/>
  <c r="S39" i="30"/>
  <c r="R39" i="30"/>
  <c r="AE42" i="29"/>
  <c r="AD42" i="29" s="1"/>
  <c r="AE24" i="29"/>
  <c r="AD24" i="29" s="1"/>
  <c r="AE51" i="29"/>
  <c r="AD51" i="29" s="1"/>
  <c r="AE33" i="29"/>
  <c r="AD33" i="29" s="1"/>
  <c r="AE50" i="27"/>
  <c r="AD50" i="27" s="1"/>
  <c r="AE32" i="27"/>
  <c r="AD32" i="27" s="1"/>
  <c r="AE41" i="27"/>
  <c r="AD41" i="27" s="1"/>
  <c r="AE23" i="27"/>
  <c r="AD23" i="27" s="1"/>
  <c r="W21" i="24"/>
  <c r="V21" i="24"/>
  <c r="AE54" i="23"/>
  <c r="AD54" i="23" s="1"/>
  <c r="AE45" i="23"/>
  <c r="AD45" i="23" s="1"/>
  <c r="AE36" i="23"/>
  <c r="AD36" i="23" s="1"/>
  <c r="AE27" i="23"/>
  <c r="AD27" i="23" s="1"/>
  <c r="AE54" i="22"/>
  <c r="AD54" i="22" s="1"/>
  <c r="AE36" i="22"/>
  <c r="AD36" i="22" s="1"/>
  <c r="AE45" i="22"/>
  <c r="AD45" i="22" s="1"/>
  <c r="AE27" i="22"/>
  <c r="AD27" i="22" s="1"/>
  <c r="BT6" i="20"/>
  <c r="AQ6" i="20"/>
  <c r="BT7" i="28"/>
  <c r="AQ6" i="24"/>
  <c r="AE45" i="21"/>
  <c r="AD45" i="21" s="1"/>
  <c r="AE27" i="21"/>
  <c r="AD27" i="21" s="1"/>
  <c r="AE54" i="21"/>
  <c r="AD54" i="21" s="1"/>
  <c r="AE36" i="21"/>
  <c r="AD36" i="21" s="1"/>
  <c r="BL8" i="21"/>
  <c r="AA33" i="30"/>
  <c r="AA36" i="30"/>
  <c r="AA32" i="30"/>
  <c r="AA35" i="30"/>
  <c r="AA31" i="30"/>
  <c r="AA34" i="30"/>
  <c r="G21" i="29"/>
  <c r="F21" i="29"/>
  <c r="AE45" i="27"/>
  <c r="AD45" i="27" s="1"/>
  <c r="AE54" i="27"/>
  <c r="AD54" i="27" s="1"/>
  <c r="AE36" i="27"/>
  <c r="AD36" i="27" s="1"/>
  <c r="AE27" i="27"/>
  <c r="AD27" i="27" s="1"/>
  <c r="BL9" i="27"/>
  <c r="AP6" i="27"/>
  <c r="W48" i="24"/>
  <c r="V48" i="24"/>
  <c r="V48" i="23"/>
  <c r="W48" i="23"/>
  <c r="AE40" i="21"/>
  <c r="AD40" i="21" s="1"/>
  <c r="AE22" i="21"/>
  <c r="AD22" i="21" s="1"/>
  <c r="AE49" i="21"/>
  <c r="AD49" i="21" s="1"/>
  <c r="AE31" i="21"/>
  <c r="AD31" i="21" s="1"/>
  <c r="AE50" i="17"/>
  <c r="AD50" i="17" s="1"/>
  <c r="AE32" i="17"/>
  <c r="AD32" i="17" s="1"/>
  <c r="AE41" i="17"/>
  <c r="AD41" i="17" s="1"/>
  <c r="AE23" i="17"/>
  <c r="AD23" i="17" s="1"/>
  <c r="K21" i="25"/>
  <c r="J21" i="25"/>
  <c r="BL10" i="22"/>
  <c r="AQ7" i="20"/>
  <c r="AE43" i="16"/>
  <c r="AD43" i="16" s="1"/>
  <c r="AE25" i="16"/>
  <c r="AD25" i="16" s="1"/>
  <c r="AE52" i="16"/>
  <c r="AD52" i="16" s="1"/>
  <c r="AE34" i="16"/>
  <c r="AD34" i="16" s="1"/>
  <c r="BT7" i="22"/>
  <c r="BT8" i="21"/>
  <c r="V21" i="20"/>
  <c r="W21" i="20"/>
  <c r="AQ8" i="19"/>
  <c r="AE42" i="17"/>
  <c r="AD42" i="17" s="1"/>
  <c r="AE24" i="17"/>
  <c r="AD24" i="17" s="1"/>
  <c r="AE51" i="17"/>
  <c r="AD51" i="17" s="1"/>
  <c r="AE33" i="17"/>
  <c r="AD33" i="17" s="1"/>
  <c r="AP6" i="16"/>
  <c r="AQ8" i="15"/>
  <c r="BT7" i="27"/>
  <c r="AE6" i="23"/>
  <c r="AA30" i="19"/>
  <c r="Z30" i="19"/>
  <c r="W39" i="17"/>
  <c r="V39" i="17"/>
  <c r="BD6" i="15"/>
  <c r="AE8" i="14"/>
  <c r="AE7" i="11"/>
  <c r="AE52" i="10"/>
  <c r="AD52" i="10" s="1"/>
  <c r="AE25" i="10"/>
  <c r="AD25" i="10" s="1"/>
  <c r="AE34" i="10"/>
  <c r="AD34" i="10" s="1"/>
  <c r="AE43" i="10"/>
  <c r="AD43" i="10" s="1"/>
  <c r="BL9" i="19"/>
  <c r="BL6" i="19"/>
  <c r="AA30" i="17"/>
  <c r="Z30" i="17"/>
  <c r="BT8" i="15"/>
  <c r="AE45" i="14"/>
  <c r="AD45" i="14" s="1"/>
  <c r="AE27" i="14"/>
  <c r="AD27" i="14" s="1"/>
  <c r="AE54" i="14"/>
  <c r="AD54" i="14" s="1"/>
  <c r="AE36" i="14"/>
  <c r="AD36" i="14" s="1"/>
  <c r="AE41" i="13"/>
  <c r="AD41" i="13" s="1"/>
  <c r="AE23" i="13"/>
  <c r="AD23" i="13" s="1"/>
  <c r="AE50" i="13"/>
  <c r="AD50" i="13" s="1"/>
  <c r="AE32" i="13"/>
  <c r="AD32" i="13" s="1"/>
  <c r="AP7" i="12"/>
  <c r="AE49" i="12"/>
  <c r="AD49" i="12" s="1"/>
  <c r="AE31" i="12"/>
  <c r="AD31" i="12" s="1"/>
  <c r="AE40" i="12"/>
  <c r="AD40" i="12" s="1"/>
  <c r="AE22" i="12"/>
  <c r="AD22" i="12" s="1"/>
  <c r="AA21" i="13"/>
  <c r="Z21" i="13"/>
  <c r="AQ9" i="11"/>
  <c r="W54" i="10"/>
  <c r="BB36" i="10"/>
  <c r="BJ36" i="10"/>
  <c r="AQ7" i="13"/>
  <c r="AE53" i="11"/>
  <c r="AD53" i="11" s="1"/>
  <c r="AE35" i="11"/>
  <c r="AD35" i="11" s="1"/>
  <c r="AE44" i="11"/>
  <c r="AD44" i="11" s="1"/>
  <c r="AE26" i="11"/>
  <c r="AD26" i="11" s="1"/>
  <c r="R45" i="10"/>
  <c r="AE53" i="10"/>
  <c r="AD53" i="10" s="1"/>
  <c r="AE26" i="10"/>
  <c r="AD26" i="10" s="1"/>
  <c r="AE35" i="10"/>
  <c r="AD35" i="10" s="1"/>
  <c r="AE44" i="10"/>
  <c r="AD44" i="10" s="1"/>
  <c r="BL6" i="13"/>
  <c r="AA30" i="11"/>
  <c r="Z30" i="11"/>
  <c r="BC36" i="10"/>
  <c r="BK36" i="10"/>
  <c r="Z48" i="20"/>
  <c r="AA48" i="20"/>
  <c r="AE7" i="20"/>
  <c r="K39" i="18"/>
  <c r="J39" i="18"/>
  <c r="AA48" i="15"/>
  <c r="Z48" i="15"/>
  <c r="BL8" i="15"/>
  <c r="AA39" i="12"/>
  <c r="Z39" i="12"/>
  <c r="J30" i="12"/>
  <c r="K30" i="12"/>
  <c r="Z39" i="42"/>
  <c r="AA39" i="42"/>
  <c r="AA21" i="41"/>
  <c r="Z21" i="41"/>
  <c r="AP6" i="41"/>
  <c r="BL6" i="41"/>
  <c r="AA30" i="38"/>
  <c r="Z30" i="38"/>
  <c r="AE40" i="37"/>
  <c r="AD40" i="37" s="1"/>
  <c r="AA40" i="37" s="1"/>
  <c r="AE22" i="37"/>
  <c r="AD22" i="37" s="1"/>
  <c r="AE49" i="37"/>
  <c r="AD49" i="37" s="1"/>
  <c r="AE31" i="37"/>
  <c r="AD31" i="37" s="1"/>
  <c r="AA24" i="38"/>
  <c r="AA27" i="38"/>
  <c r="AA23" i="38"/>
  <c r="Z45" i="36"/>
  <c r="Z41" i="36"/>
  <c r="Z44" i="36"/>
  <c r="Z40" i="36"/>
  <c r="AE51" i="35"/>
  <c r="AD51" i="35" s="1"/>
  <c r="AE33" i="35"/>
  <c r="AD33" i="35" s="1"/>
  <c r="AE42" i="35"/>
  <c r="AD42" i="35" s="1"/>
  <c r="Z42" i="35" s="1"/>
  <c r="AE24" i="35"/>
  <c r="AD24" i="35" s="1"/>
  <c r="AE41" i="34"/>
  <c r="AD41" i="34" s="1"/>
  <c r="AE23" i="34"/>
  <c r="AD23" i="34" s="1"/>
  <c r="AE50" i="34"/>
  <c r="AD50" i="34" s="1"/>
  <c r="AE32" i="34"/>
  <c r="AD32" i="34" s="1"/>
  <c r="AE45" i="31"/>
  <c r="AD45" i="31" s="1"/>
  <c r="AE27" i="31"/>
  <c r="AD27" i="31" s="1"/>
  <c r="AE54" i="31"/>
  <c r="AD54" i="31" s="1"/>
  <c r="AE36" i="31"/>
  <c r="AD36" i="31" s="1"/>
  <c r="BD7" i="29"/>
  <c r="AE7" i="29"/>
  <c r="AE54" i="32"/>
  <c r="AD54" i="32" s="1"/>
  <c r="AE36" i="32"/>
  <c r="AD36" i="32" s="1"/>
  <c r="AE45" i="32"/>
  <c r="AD45" i="32" s="1"/>
  <c r="AE27" i="32"/>
  <c r="AD27" i="32" s="1"/>
  <c r="AE53" i="25"/>
  <c r="AD53" i="25" s="1"/>
  <c r="AE35" i="25"/>
  <c r="AD35" i="25" s="1"/>
  <c r="AE44" i="25"/>
  <c r="AD44" i="25" s="1"/>
  <c r="AE26" i="25"/>
  <c r="AD26" i="25" s="1"/>
  <c r="BT6" i="27"/>
  <c r="AQ6" i="27"/>
  <c r="AE43" i="22"/>
  <c r="AD43" i="22" s="1"/>
  <c r="AE25" i="22"/>
  <c r="AD25" i="22" s="1"/>
  <c r="AE52" i="22"/>
  <c r="AD52" i="22" s="1"/>
  <c r="AE34" i="22"/>
  <c r="AD34" i="22" s="1"/>
  <c r="W39" i="24"/>
  <c r="V39" i="24"/>
  <c r="G30" i="29"/>
  <c r="F30" i="29"/>
  <c r="W21" i="23"/>
  <c r="V21" i="23"/>
  <c r="J30" i="25"/>
  <c r="K30" i="25"/>
  <c r="AE52" i="18"/>
  <c r="AD52" i="18" s="1"/>
  <c r="AE34" i="18"/>
  <c r="AD34" i="18" s="1"/>
  <c r="AE43" i="18"/>
  <c r="AD43" i="18" s="1"/>
  <c r="AE25" i="18"/>
  <c r="AD25" i="18" s="1"/>
  <c r="AE54" i="16"/>
  <c r="AD54" i="16" s="1"/>
  <c r="AE36" i="16"/>
  <c r="AD36" i="16" s="1"/>
  <c r="AE45" i="16"/>
  <c r="AD45" i="16" s="1"/>
  <c r="AE27" i="16"/>
  <c r="AD27" i="16" s="1"/>
  <c r="AA21" i="17"/>
  <c r="Z21" i="17"/>
  <c r="AA30" i="13"/>
  <c r="Z30" i="13"/>
  <c r="AA21" i="11"/>
  <c r="Z21" i="11"/>
  <c r="BL9" i="10"/>
  <c r="AA40" i="18"/>
  <c r="AA43" i="18"/>
  <c r="AA45" i="18"/>
  <c r="AA41" i="18"/>
  <c r="AP6" i="18"/>
  <c r="BK27" i="10"/>
  <c r="BC27" i="10"/>
  <c r="Z30" i="42"/>
  <c r="AA30" i="42"/>
  <c r="AE49" i="41"/>
  <c r="AD49" i="41" s="1"/>
  <c r="AE40" i="41"/>
  <c r="AD40" i="41" s="1"/>
  <c r="AE22" i="41"/>
  <c r="AD22" i="41" s="1"/>
  <c r="AE31" i="41"/>
  <c r="AD31" i="41" s="1"/>
  <c r="BT6" i="40"/>
  <c r="AQ6" i="40"/>
  <c r="AA48" i="41"/>
  <c r="Z48" i="41"/>
  <c r="AE49" i="40"/>
  <c r="AD49" i="40" s="1"/>
  <c r="AE31" i="40"/>
  <c r="AD31" i="40" s="1"/>
  <c r="AE40" i="40"/>
  <c r="AD40" i="40" s="1"/>
  <c r="AE22" i="40"/>
  <c r="AD22" i="40" s="1"/>
  <c r="AE41" i="40"/>
  <c r="AD41" i="40" s="1"/>
  <c r="AE23" i="40"/>
  <c r="AD23" i="40" s="1"/>
  <c r="AE50" i="40"/>
  <c r="AD50" i="40" s="1"/>
  <c r="AE32" i="40"/>
  <c r="AD32" i="40" s="1"/>
  <c r="AE42" i="39"/>
  <c r="AD42" i="39" s="1"/>
  <c r="AE24" i="39"/>
  <c r="AD24" i="39" s="1"/>
  <c r="AE51" i="39"/>
  <c r="AD51" i="39" s="1"/>
  <c r="AE33" i="39"/>
  <c r="AD33" i="39" s="1"/>
  <c r="AE44" i="38"/>
  <c r="AD44" i="38" s="1"/>
  <c r="AE53" i="38"/>
  <c r="AD53" i="38" s="1"/>
  <c r="AE26" i="38"/>
  <c r="AD26" i="38" s="1"/>
  <c r="AE35" i="38"/>
  <c r="AD35" i="38" s="1"/>
  <c r="AE52" i="38"/>
  <c r="AD52" i="38" s="1"/>
  <c r="AE25" i="38"/>
  <c r="AD25" i="38" s="1"/>
  <c r="AA25" i="38" s="1"/>
  <c r="AE43" i="38"/>
  <c r="AD43" i="38" s="1"/>
  <c r="AE34" i="38"/>
  <c r="AD34" i="38" s="1"/>
  <c r="AA48" i="37"/>
  <c r="Z48" i="37"/>
  <c r="AQ8" i="37"/>
  <c r="AE8" i="36"/>
  <c r="BT8" i="37"/>
  <c r="BT9" i="36"/>
  <c r="AE40" i="35"/>
  <c r="AD40" i="35" s="1"/>
  <c r="AE22" i="35"/>
  <c r="AD22" i="35" s="1"/>
  <c r="AE49" i="35"/>
  <c r="AD49" i="35" s="1"/>
  <c r="AE31" i="35"/>
  <c r="AD31" i="35" s="1"/>
  <c r="BT6" i="34"/>
  <c r="AQ6" i="34"/>
  <c r="AE45" i="34"/>
  <c r="AD45" i="34" s="1"/>
  <c r="AE27" i="34"/>
  <c r="AD27" i="34" s="1"/>
  <c r="AE54" i="34"/>
  <c r="AD54" i="34" s="1"/>
  <c r="AE36" i="34"/>
  <c r="AD36" i="34" s="1"/>
  <c r="AE51" i="28"/>
  <c r="AD51" i="28" s="1"/>
  <c r="AE33" i="28"/>
  <c r="AD33" i="28" s="1"/>
  <c r="AE42" i="28"/>
  <c r="AD42" i="28" s="1"/>
  <c r="AE24" i="28"/>
  <c r="AD24" i="28" s="1"/>
  <c r="W30" i="35"/>
  <c r="V30" i="35"/>
  <c r="AE41" i="35"/>
  <c r="AD41" i="35" s="1"/>
  <c r="AA41" i="35" s="1"/>
  <c r="AE23" i="35"/>
  <c r="AD23" i="35" s="1"/>
  <c r="AE50" i="35"/>
  <c r="AD50" i="35" s="1"/>
  <c r="AE32" i="35"/>
  <c r="AD32" i="35" s="1"/>
  <c r="AE43" i="33"/>
  <c r="AD43" i="33" s="1"/>
  <c r="AE25" i="33"/>
  <c r="AD25" i="33" s="1"/>
  <c r="AE52" i="33"/>
  <c r="AD52" i="33" s="1"/>
  <c r="AE34" i="33"/>
  <c r="AD34" i="33" s="1"/>
  <c r="AQ6" i="31"/>
  <c r="BT6" i="31"/>
  <c r="G30" i="33"/>
  <c r="F30" i="33"/>
  <c r="AE51" i="31"/>
  <c r="AD51" i="31" s="1"/>
  <c r="AE33" i="31"/>
  <c r="AD33" i="31" s="1"/>
  <c r="AE24" i="31"/>
  <c r="AD24" i="31" s="1"/>
  <c r="AE42" i="31"/>
  <c r="AD42" i="31" s="1"/>
  <c r="AA21" i="29"/>
  <c r="Z21" i="29"/>
  <c r="AE33" i="27"/>
  <c r="AD33" i="27" s="1"/>
  <c r="AE51" i="27"/>
  <c r="AD51" i="27" s="1"/>
  <c r="AE42" i="27"/>
  <c r="AD42" i="27" s="1"/>
  <c r="AE24" i="27"/>
  <c r="AD24" i="27" s="1"/>
  <c r="AE43" i="24"/>
  <c r="AD43" i="24" s="1"/>
  <c r="AE25" i="24"/>
  <c r="AD25" i="24" s="1"/>
  <c r="AE52" i="24"/>
  <c r="AD52" i="24" s="1"/>
  <c r="AE34" i="24"/>
  <c r="AD34" i="24" s="1"/>
  <c r="BL6" i="32"/>
  <c r="AP8" i="30"/>
  <c r="AE54" i="28"/>
  <c r="AD54" i="28" s="1"/>
  <c r="AE36" i="28"/>
  <c r="AD36" i="28" s="1"/>
  <c r="AE27" i="28"/>
  <c r="AD27" i="28" s="1"/>
  <c r="AE45" i="28"/>
  <c r="AD45" i="28" s="1"/>
  <c r="AE44" i="28"/>
  <c r="AD44" i="28" s="1"/>
  <c r="AE26" i="28"/>
  <c r="AD26" i="28" s="1"/>
  <c r="AE53" i="28"/>
  <c r="AD53" i="28" s="1"/>
  <c r="AE35" i="28"/>
  <c r="AD35" i="28" s="1"/>
  <c r="BT8" i="26"/>
  <c r="AQ8" i="26"/>
  <c r="AE50" i="32"/>
  <c r="AD50" i="32" s="1"/>
  <c r="AE32" i="32"/>
  <c r="AD32" i="32" s="1"/>
  <c r="AE41" i="32"/>
  <c r="AD41" i="32" s="1"/>
  <c r="AE23" i="32"/>
  <c r="AD23" i="32" s="1"/>
  <c r="AA21" i="30"/>
  <c r="Z21" i="30"/>
  <c r="W21" i="29"/>
  <c r="V21" i="29"/>
  <c r="W48" i="29"/>
  <c r="V48" i="29"/>
  <c r="AP6" i="28"/>
  <c r="BL8" i="25"/>
  <c r="R30" i="30"/>
  <c r="S30" i="30"/>
  <c r="AE52" i="27"/>
  <c r="AD52" i="27" s="1"/>
  <c r="AE43" i="27"/>
  <c r="AD43" i="27" s="1"/>
  <c r="AE25" i="27"/>
  <c r="AD25" i="27" s="1"/>
  <c r="AE34" i="27"/>
  <c r="AD34" i="27" s="1"/>
  <c r="AE51" i="23"/>
  <c r="AD51" i="23" s="1"/>
  <c r="AE42" i="23"/>
  <c r="AD42" i="23" s="1"/>
  <c r="AE24" i="23"/>
  <c r="AD24" i="23" s="1"/>
  <c r="AE33" i="23"/>
  <c r="AD33" i="23" s="1"/>
  <c r="AQ7" i="23"/>
  <c r="AQ8" i="22"/>
  <c r="AE41" i="21"/>
  <c r="AD41" i="21" s="1"/>
  <c r="AE23" i="21"/>
  <c r="AD23" i="21" s="1"/>
  <c r="AE50" i="21"/>
  <c r="AD50" i="21" s="1"/>
  <c r="AE32" i="21"/>
  <c r="AD32" i="21" s="1"/>
  <c r="AP7" i="20"/>
  <c r="AE49" i="20"/>
  <c r="AD49" i="20" s="1"/>
  <c r="AE31" i="20"/>
  <c r="AD31" i="20" s="1"/>
  <c r="AE40" i="20"/>
  <c r="AD40" i="20" s="1"/>
  <c r="AE22" i="20"/>
  <c r="AD22" i="20" s="1"/>
  <c r="BL8" i="34"/>
  <c r="Z34" i="30"/>
  <c r="Z33" i="30"/>
  <c r="Z36" i="30"/>
  <c r="Z32" i="30"/>
  <c r="Z35" i="30"/>
  <c r="Z31" i="30"/>
  <c r="G39" i="29"/>
  <c r="F39" i="29"/>
  <c r="W39" i="23"/>
  <c r="V39" i="23"/>
  <c r="AQ9" i="27"/>
  <c r="K39" i="25"/>
  <c r="J39" i="25"/>
  <c r="BD8" i="23"/>
  <c r="BT6" i="18"/>
  <c r="AQ6" i="18"/>
  <c r="AP7" i="17"/>
  <c r="AQ6" i="17"/>
  <c r="BL6" i="22"/>
  <c r="V39" i="20"/>
  <c r="W39" i="20"/>
  <c r="AE53" i="18"/>
  <c r="AD53" i="18" s="1"/>
  <c r="AE35" i="18"/>
  <c r="AD35" i="18" s="1"/>
  <c r="AE44" i="18"/>
  <c r="AD44" i="18" s="1"/>
  <c r="AE26" i="18"/>
  <c r="AD26" i="18" s="1"/>
  <c r="AE42" i="18"/>
  <c r="AD42" i="18" s="1"/>
  <c r="AA42" i="18" s="1"/>
  <c r="AE24" i="18"/>
  <c r="AD24" i="18" s="1"/>
  <c r="AE51" i="18"/>
  <c r="AD51" i="18" s="1"/>
  <c r="AE33" i="18"/>
  <c r="AD33" i="18" s="1"/>
  <c r="Z48" i="18"/>
  <c r="AA48" i="18"/>
  <c r="BT6" i="16"/>
  <c r="AQ6" i="16"/>
  <c r="AA21" i="19"/>
  <c r="Z21" i="19"/>
  <c r="W30" i="17"/>
  <c r="V30" i="17"/>
  <c r="BT10" i="14"/>
  <c r="AE49" i="14"/>
  <c r="AD49" i="14" s="1"/>
  <c r="AE31" i="14"/>
  <c r="AD31" i="14" s="1"/>
  <c r="AE40" i="14"/>
  <c r="AD40" i="14" s="1"/>
  <c r="AE22" i="14"/>
  <c r="AD22" i="14" s="1"/>
  <c r="BD9" i="18"/>
  <c r="AA48" i="17"/>
  <c r="Z48" i="17"/>
  <c r="AE52" i="13"/>
  <c r="AD52" i="13" s="1"/>
  <c r="AE34" i="13"/>
  <c r="AD34" i="13" s="1"/>
  <c r="AE43" i="13"/>
  <c r="AD43" i="13" s="1"/>
  <c r="AE25" i="13"/>
  <c r="AD25" i="13" s="1"/>
  <c r="AE49" i="10"/>
  <c r="AD49" i="10" s="1"/>
  <c r="AE22" i="10"/>
  <c r="AD22" i="10" s="1"/>
  <c r="AE31" i="10"/>
  <c r="AD31" i="10" s="1"/>
  <c r="AE40" i="10"/>
  <c r="AD40" i="10" s="1"/>
  <c r="BL6" i="14"/>
  <c r="AA39" i="13"/>
  <c r="Z39" i="13"/>
  <c r="AE40" i="13"/>
  <c r="AD40" i="13" s="1"/>
  <c r="AE22" i="13"/>
  <c r="AD22" i="13" s="1"/>
  <c r="AE31" i="13"/>
  <c r="AD31" i="13" s="1"/>
  <c r="AE49" i="13"/>
  <c r="AD49" i="13" s="1"/>
  <c r="AP8" i="12"/>
  <c r="AE44" i="13"/>
  <c r="AD44" i="13" s="1"/>
  <c r="AE26" i="13"/>
  <c r="AD26" i="13" s="1"/>
  <c r="AE35" i="13"/>
  <c r="AD35" i="13" s="1"/>
  <c r="AE53" i="13"/>
  <c r="AD53" i="13" s="1"/>
  <c r="AA48" i="11"/>
  <c r="Z48" i="11"/>
  <c r="BA54" i="10"/>
  <c r="BI54" i="10"/>
  <c r="BA36" i="10"/>
  <c r="BI36" i="10"/>
  <c r="Z30" i="20"/>
  <c r="AA30" i="20"/>
  <c r="Z45" i="18"/>
  <c r="Z41" i="18"/>
  <c r="Z44" i="18"/>
  <c r="Z40" i="18"/>
  <c r="Z43" i="18"/>
  <c r="Z42" i="18"/>
  <c r="J30" i="18"/>
  <c r="K30" i="18"/>
  <c r="AA21" i="15"/>
  <c r="Z21" i="15"/>
  <c r="Z48" i="12"/>
  <c r="AA48" i="12"/>
  <c r="K21" i="12"/>
  <c r="J21" i="12"/>
  <c r="A1" i="45"/>
  <c r="B1" i="45"/>
  <c r="O190" i="6"/>
  <c r="O174" i="6"/>
  <c r="O158" i="6"/>
  <c r="AA199" i="6"/>
  <c r="AA183" i="6"/>
  <c r="AA167" i="6"/>
  <c r="AA151" i="6"/>
  <c r="AA188" i="6"/>
  <c r="AA172" i="6"/>
  <c r="AA156" i="6"/>
  <c r="U187" i="6"/>
  <c r="AA141" i="6"/>
  <c r="AA125" i="6"/>
  <c r="AA109" i="6"/>
  <c r="AA93" i="6"/>
  <c r="AA77" i="6"/>
  <c r="AA61" i="6"/>
  <c r="AA45" i="6"/>
  <c r="AA29" i="6"/>
  <c r="AA20" i="6"/>
  <c r="AA12" i="6"/>
  <c r="H1" i="45"/>
  <c r="S1" i="45"/>
  <c r="U196" i="6"/>
  <c r="U180" i="6"/>
  <c r="U164" i="6"/>
  <c r="U148" i="6"/>
  <c r="O191" i="6"/>
  <c r="O175" i="6"/>
  <c r="O159" i="6"/>
  <c r="O196" i="6"/>
  <c r="O180" i="6"/>
  <c r="O164" i="6"/>
  <c r="O148" i="6"/>
  <c r="O153" i="6"/>
  <c r="O133" i="6"/>
  <c r="O117" i="6"/>
  <c r="O101" i="6"/>
  <c r="O85" i="6"/>
  <c r="O69" i="6"/>
  <c r="O53" i="6"/>
  <c r="O37" i="6"/>
  <c r="O24" i="6"/>
  <c r="O16" i="6"/>
  <c r="I70" i="6"/>
  <c r="I191" i="6"/>
  <c r="O142" i="6"/>
  <c r="O126" i="6"/>
  <c r="T1" i="45"/>
  <c r="E1" i="45"/>
  <c r="I200" i="6"/>
  <c r="I184" i="6"/>
  <c r="I168" i="6"/>
  <c r="I152" i="6"/>
  <c r="U193" i="6"/>
  <c r="U177" i="6"/>
  <c r="U161" i="6"/>
  <c r="U198" i="6"/>
  <c r="U182" i="6"/>
  <c r="U166" i="6"/>
  <c r="U150" i="6"/>
  <c r="U163" i="6"/>
  <c r="U135" i="6"/>
  <c r="U119" i="6"/>
  <c r="U103" i="6"/>
  <c r="U87" i="6"/>
  <c r="U71" i="6"/>
  <c r="U55" i="6"/>
  <c r="U39" i="6"/>
  <c r="U25" i="6"/>
  <c r="U17" i="6"/>
  <c r="U82" i="6"/>
  <c r="AA201" i="6"/>
  <c r="O145" i="6"/>
  <c r="U128" i="6"/>
  <c r="U112" i="6"/>
  <c r="U96" i="6"/>
  <c r="U80" i="6"/>
  <c r="U64" i="6"/>
  <c r="U48" i="6"/>
  <c r="P1" i="45"/>
  <c r="AD1" i="45"/>
  <c r="AA198" i="6"/>
  <c r="AA182" i="6"/>
  <c r="AA166" i="6"/>
  <c r="AA150" i="6"/>
  <c r="I193" i="6"/>
  <c r="I177" i="6"/>
  <c r="I161" i="6"/>
  <c r="I198" i="6"/>
  <c r="I182" i="6"/>
  <c r="I166" i="6"/>
  <c r="I150" i="6"/>
  <c r="O161" i="6"/>
  <c r="I135" i="6"/>
  <c r="I119" i="6"/>
  <c r="I103" i="6"/>
  <c r="I87" i="6"/>
  <c r="I71" i="6"/>
  <c r="I55" i="6"/>
  <c r="I39" i="6"/>
  <c r="I25" i="6"/>
  <c r="I17" i="6"/>
  <c r="U74" i="6"/>
  <c r="I199" i="6"/>
  <c r="I144" i="6"/>
  <c r="I128" i="6"/>
  <c r="I112" i="6"/>
  <c r="I96" i="6"/>
  <c r="I80" i="6"/>
  <c r="I64" i="6"/>
  <c r="I48" i="6"/>
  <c r="AA138" i="6"/>
  <c r="O94" i="6"/>
  <c r="O62" i="6"/>
  <c r="AA34" i="6"/>
  <c r="U62" i="6"/>
  <c r="O157" i="6"/>
  <c r="I133" i="6"/>
  <c r="I117" i="6"/>
  <c r="I101" i="6"/>
  <c r="I85" i="6"/>
  <c r="I69" i="6"/>
  <c r="I53" i="6"/>
  <c r="I37" i="6"/>
  <c r="AB1" i="45"/>
  <c r="O1" i="45"/>
  <c r="O202" i="6"/>
  <c r="O186" i="6"/>
  <c r="O170" i="6"/>
  <c r="O154" i="6"/>
  <c r="AA195" i="6"/>
  <c r="AA179" i="6"/>
  <c r="AA163" i="6"/>
  <c r="AA200" i="6"/>
  <c r="AA184" i="6"/>
  <c r="AA168" i="6"/>
  <c r="AA152" i="6"/>
  <c r="U171" i="6"/>
  <c r="AA137" i="6"/>
  <c r="AA121" i="6"/>
  <c r="AA105" i="6"/>
  <c r="AA89" i="6"/>
  <c r="AA73" i="6"/>
  <c r="AA57" i="6"/>
  <c r="AA41" i="6"/>
  <c r="AA26" i="6"/>
  <c r="AA18" i="6"/>
  <c r="I90" i="6"/>
  <c r="Q1" i="45"/>
  <c r="AC1" i="45"/>
  <c r="U192" i="6"/>
  <c r="U176" i="6"/>
  <c r="U160" i="6"/>
  <c r="U144" i="6"/>
  <c r="O187" i="6"/>
  <c r="O171" i="6"/>
  <c r="O155" i="6"/>
  <c r="O192" i="6"/>
  <c r="O176" i="6"/>
  <c r="O160" i="6"/>
  <c r="O201" i="6"/>
  <c r="O144" i="6"/>
  <c r="O129" i="6"/>
  <c r="O113" i="6"/>
  <c r="O97" i="6"/>
  <c r="O81" i="6"/>
  <c r="O65" i="6"/>
  <c r="O49" i="6"/>
  <c r="O33" i="6"/>
  <c r="O22" i="6"/>
  <c r="O14" i="6"/>
  <c r="AA56" i="6"/>
  <c r="I175" i="6"/>
  <c r="O138" i="6"/>
  <c r="O122" i="6"/>
  <c r="D1" i="45"/>
  <c r="N1" i="45"/>
  <c r="I196" i="6"/>
  <c r="I180" i="6"/>
  <c r="I164" i="6"/>
  <c r="I148" i="6"/>
  <c r="U189" i="6"/>
  <c r="U173" i="6"/>
  <c r="U157" i="6"/>
  <c r="U194" i="6"/>
  <c r="U178" i="6"/>
  <c r="U162" i="6"/>
  <c r="U146" i="6"/>
  <c r="I149" i="6"/>
  <c r="U131" i="6"/>
  <c r="U115" i="6"/>
  <c r="U99" i="6"/>
  <c r="U83" i="6"/>
  <c r="U67" i="6"/>
  <c r="U51" i="6"/>
  <c r="U35" i="6"/>
  <c r="U23" i="6"/>
  <c r="U15" i="6"/>
  <c r="I66" i="6"/>
  <c r="AA185" i="6"/>
  <c r="U140" i="6"/>
  <c r="U124" i="6"/>
  <c r="U108" i="6"/>
  <c r="U92" i="6"/>
  <c r="U76" i="6"/>
  <c r="U60" i="6"/>
  <c r="U44" i="6"/>
  <c r="AA1" i="45"/>
  <c r="I1" i="45"/>
  <c r="AA194" i="6"/>
  <c r="AA178" i="6"/>
  <c r="AA162" i="6"/>
  <c r="AA146" i="6"/>
  <c r="I189" i="6"/>
  <c r="I173" i="6"/>
  <c r="I157" i="6"/>
  <c r="I194" i="6"/>
  <c r="I178" i="6"/>
  <c r="I162" i="6"/>
  <c r="I146" i="6"/>
  <c r="I147" i="6"/>
  <c r="I131" i="6"/>
  <c r="I115" i="6"/>
  <c r="I99" i="6"/>
  <c r="I83" i="6"/>
  <c r="I67" i="6"/>
  <c r="I51" i="6"/>
  <c r="I35" i="6"/>
  <c r="I23" i="6"/>
  <c r="I15" i="6"/>
  <c r="O60" i="6"/>
  <c r="I183" i="6"/>
  <c r="I140" i="6"/>
  <c r="I124" i="6"/>
  <c r="I108" i="6"/>
  <c r="I92" i="6"/>
  <c r="I76" i="6"/>
  <c r="I60" i="6"/>
  <c r="I44" i="6"/>
  <c r="AA122" i="6"/>
  <c r="O86" i="6"/>
  <c r="O54" i="6"/>
  <c r="AA30" i="6"/>
  <c r="O28" i="6"/>
  <c r="U145" i="6"/>
  <c r="I129" i="6"/>
  <c r="I113" i="6"/>
  <c r="I97" i="6"/>
  <c r="I81" i="6"/>
  <c r="I65" i="6"/>
  <c r="I49" i="6"/>
  <c r="L1" i="45"/>
  <c r="Y1" i="45"/>
  <c r="O198" i="6"/>
  <c r="O182" i="6"/>
  <c r="O166" i="6"/>
  <c r="O150" i="6"/>
  <c r="AA191" i="6"/>
  <c r="AA175" i="6"/>
  <c r="AA159" i="6"/>
  <c r="AA196" i="6"/>
  <c r="AA180" i="6"/>
  <c r="AA164" i="6"/>
  <c r="AA148" i="6"/>
  <c r="U155" i="6"/>
  <c r="AA133" i="6"/>
  <c r="AA117" i="6"/>
  <c r="AA101" i="6"/>
  <c r="AA85" i="6"/>
  <c r="AA69" i="6"/>
  <c r="AA53" i="6"/>
  <c r="AA37" i="6"/>
  <c r="AA24" i="6"/>
  <c r="AA16" i="6"/>
  <c r="AA72" i="6"/>
  <c r="AE1" i="45"/>
  <c r="R1" i="45"/>
  <c r="U188" i="6"/>
  <c r="U172" i="6"/>
  <c r="U156" i="6"/>
  <c r="O199" i="6"/>
  <c r="O183" i="6"/>
  <c r="O167" i="6"/>
  <c r="O151" i="6"/>
  <c r="O188" i="6"/>
  <c r="O172" i="6"/>
  <c r="O156" i="6"/>
  <c r="O185" i="6"/>
  <c r="O141" i="6"/>
  <c r="O125" i="6"/>
  <c r="O109" i="6"/>
  <c r="O93" i="6"/>
  <c r="O77" i="6"/>
  <c r="O61" i="6"/>
  <c r="O45" i="6"/>
  <c r="O29" i="6"/>
  <c r="O20" i="6"/>
  <c r="O12" i="6"/>
  <c r="AA44" i="6"/>
  <c r="I159" i="6"/>
  <c r="O134" i="6"/>
  <c r="O118" i="6"/>
  <c r="K1" i="45"/>
  <c r="G1" i="45"/>
  <c r="I192" i="6"/>
  <c r="I176" i="6"/>
  <c r="I160" i="6"/>
  <c r="U201" i="6"/>
  <c r="U185" i="6"/>
  <c r="U169" i="6"/>
  <c r="U153" i="6"/>
  <c r="U190" i="6"/>
  <c r="U174" i="6"/>
  <c r="U158" i="6"/>
  <c r="U195" i="6"/>
  <c r="U143" i="6"/>
  <c r="U127" i="6"/>
  <c r="U111" i="6"/>
  <c r="U95" i="6"/>
  <c r="U79" i="6"/>
  <c r="U63" i="6"/>
  <c r="U47" i="6"/>
  <c r="U31" i="6"/>
  <c r="U21" i="6"/>
  <c r="U13" i="6"/>
  <c r="I54" i="6"/>
  <c r="AA169" i="6"/>
  <c r="U136" i="6"/>
  <c r="U120" i="6"/>
  <c r="U104" i="6"/>
  <c r="U88" i="6"/>
  <c r="U72" i="6"/>
  <c r="U56" i="6"/>
  <c r="U40" i="6"/>
  <c r="F1" i="45"/>
  <c r="W1" i="45"/>
  <c r="AA190" i="6"/>
  <c r="AA174" i="6"/>
  <c r="AA158" i="6"/>
  <c r="I201" i="6"/>
  <c r="I185" i="6"/>
  <c r="I169" i="6"/>
  <c r="I153" i="6"/>
  <c r="I190" i="6"/>
  <c r="I174" i="6"/>
  <c r="I158" i="6"/>
  <c r="O193" i="6"/>
  <c r="I143" i="6"/>
  <c r="I127" i="6"/>
  <c r="I111" i="6"/>
  <c r="I95" i="6"/>
  <c r="I79" i="6"/>
  <c r="I63" i="6"/>
  <c r="I47" i="6"/>
  <c r="I31" i="6"/>
  <c r="I21" i="6"/>
  <c r="I13" i="6"/>
  <c r="U50" i="6"/>
  <c r="I167" i="6"/>
  <c r="I136" i="6"/>
  <c r="I120" i="6"/>
  <c r="I104" i="6"/>
  <c r="I88" i="6"/>
  <c r="I72" i="6"/>
  <c r="I56" i="6"/>
  <c r="U58" i="6"/>
  <c r="O110" i="6"/>
  <c r="O78" i="6"/>
  <c r="O46" i="6"/>
  <c r="I14" i="6"/>
  <c r="O189" i="6"/>
  <c r="I141" i="6"/>
  <c r="I125" i="6"/>
  <c r="I109" i="6"/>
  <c r="I93" i="6"/>
  <c r="I77" i="6"/>
  <c r="I61" i="6"/>
  <c r="I45" i="6"/>
  <c r="V1" i="45"/>
  <c r="C1" i="45"/>
  <c r="O194" i="6"/>
  <c r="O178" i="6"/>
  <c r="O162" i="6"/>
  <c r="O146" i="6"/>
  <c r="AA187" i="6"/>
  <c r="AA171" i="6"/>
  <c r="AA155" i="6"/>
  <c r="AA192" i="6"/>
  <c r="AA176" i="6"/>
  <c r="AA160" i="6"/>
  <c r="AA144" i="6"/>
  <c r="I145" i="6"/>
  <c r="AA129" i="6"/>
  <c r="AA113" i="6"/>
  <c r="AA97" i="6"/>
  <c r="AA81" i="6"/>
  <c r="AA65" i="6"/>
  <c r="AA49" i="6"/>
  <c r="AA33" i="6"/>
  <c r="AA22" i="6"/>
  <c r="AA14" i="6"/>
  <c r="X1" i="45"/>
  <c r="J1" i="45"/>
  <c r="U200" i="6"/>
  <c r="U184" i="6"/>
  <c r="U168" i="6"/>
  <c r="U152" i="6"/>
  <c r="O195" i="6"/>
  <c r="O179" i="6"/>
  <c r="O163" i="6"/>
  <c r="O200" i="6"/>
  <c r="O184" i="6"/>
  <c r="O168" i="6"/>
  <c r="O152" i="6"/>
  <c r="O169" i="6"/>
  <c r="O137" i="6"/>
  <c r="O121" i="6"/>
  <c r="O105" i="6"/>
  <c r="O89" i="6"/>
  <c r="O73" i="6"/>
  <c r="O57" i="6"/>
  <c r="O41" i="6"/>
  <c r="O26" i="6"/>
  <c r="O18" i="6"/>
  <c r="I86" i="6"/>
  <c r="I30" i="6"/>
  <c r="O147" i="6"/>
  <c r="O130" i="6"/>
  <c r="O114" i="6"/>
  <c r="Z1" i="45"/>
  <c r="M1" i="45"/>
  <c r="I188" i="6"/>
  <c r="I172" i="6"/>
  <c r="I156" i="6"/>
  <c r="U197" i="6"/>
  <c r="U181" i="6"/>
  <c r="U165" i="6"/>
  <c r="U202" i="6"/>
  <c r="U186" i="6"/>
  <c r="U170" i="6"/>
  <c r="U154" i="6"/>
  <c r="U179" i="6"/>
  <c r="U139" i="6"/>
  <c r="U123" i="6"/>
  <c r="U107" i="6"/>
  <c r="U91" i="6"/>
  <c r="U75" i="6"/>
  <c r="U59" i="6"/>
  <c r="U43" i="6"/>
  <c r="U27" i="6"/>
  <c r="U19" i="6"/>
  <c r="U11" i="6"/>
  <c r="AA40" i="6"/>
  <c r="AA153" i="6"/>
  <c r="U132" i="6"/>
  <c r="U116" i="6"/>
  <c r="U100" i="6"/>
  <c r="U84" i="6"/>
  <c r="U68" i="6"/>
  <c r="U52" i="6"/>
  <c r="AF1" i="45"/>
  <c r="U1" i="45"/>
  <c r="AA202" i="6"/>
  <c r="AA186" i="6"/>
  <c r="AA170" i="6"/>
  <c r="AA154" i="6"/>
  <c r="I197" i="6"/>
  <c r="I181" i="6"/>
  <c r="I165" i="6"/>
  <c r="I202" i="6"/>
  <c r="I186" i="6"/>
  <c r="I170" i="6"/>
  <c r="I154" i="6"/>
  <c r="O177" i="6"/>
  <c r="I139" i="6"/>
  <c r="I123" i="6"/>
  <c r="I107" i="6"/>
  <c r="I91" i="6"/>
  <c r="I75" i="6"/>
  <c r="I59" i="6"/>
  <c r="I43" i="6"/>
  <c r="I27" i="6"/>
  <c r="I19" i="6"/>
  <c r="I11" i="6"/>
  <c r="I38" i="6"/>
  <c r="I151" i="6"/>
  <c r="I132" i="6"/>
  <c r="I116" i="6"/>
  <c r="I100" i="6"/>
  <c r="I84" i="6"/>
  <c r="I68" i="6"/>
  <c r="I52" i="6"/>
  <c r="AA177" i="6"/>
  <c r="O102" i="6"/>
  <c r="O70" i="6"/>
  <c r="AA38" i="6"/>
  <c r="I94" i="6"/>
  <c r="O173" i="6"/>
  <c r="I137" i="6"/>
  <c r="I121" i="6"/>
  <c r="I105" i="6"/>
  <c r="I89" i="6"/>
  <c r="I73" i="6"/>
  <c r="I57" i="6"/>
  <c r="I41" i="6"/>
  <c r="I33" i="6"/>
  <c r="I22" i="6"/>
  <c r="O13" i="6"/>
  <c r="AA52" i="6"/>
  <c r="I163" i="6"/>
  <c r="AA132" i="6"/>
  <c r="AA104" i="6"/>
  <c r="AA48" i="6"/>
  <c r="AA106" i="6"/>
  <c r="AA74" i="6"/>
  <c r="AA42" i="6"/>
  <c r="AA13" i="6"/>
  <c r="U183" i="6"/>
  <c r="AA139" i="6"/>
  <c r="AA123" i="6"/>
  <c r="AA107" i="6"/>
  <c r="AA91" i="6"/>
  <c r="AA75" i="6"/>
  <c r="AA59" i="6"/>
  <c r="AA43" i="6"/>
  <c r="AA27" i="6"/>
  <c r="AA19" i="6"/>
  <c r="O84" i="6"/>
  <c r="I34" i="6"/>
  <c r="AA145" i="6"/>
  <c r="O128" i="6"/>
  <c r="O112" i="6"/>
  <c r="U34" i="6"/>
  <c r="O106" i="6"/>
  <c r="O74" i="6"/>
  <c r="O42" i="6"/>
  <c r="U12" i="6"/>
  <c r="O181" i="6"/>
  <c r="O139" i="6"/>
  <c r="O123" i="6"/>
  <c r="O107" i="6"/>
  <c r="O91" i="6"/>
  <c r="O75" i="6"/>
  <c r="O59" i="6"/>
  <c r="O43" i="6"/>
  <c r="O27" i="6"/>
  <c r="O19" i="6"/>
  <c r="I82" i="6"/>
  <c r="O32" i="6"/>
  <c r="U142" i="6"/>
  <c r="U126" i="6"/>
  <c r="U110" i="6"/>
  <c r="O92" i="6"/>
  <c r="O40" i="6"/>
  <c r="U78" i="6"/>
  <c r="AA193" i="6"/>
  <c r="AA102" i="6"/>
  <c r="AA70" i="6"/>
  <c r="I40" i="6"/>
  <c r="AA11" i="6"/>
  <c r="U175" i="6"/>
  <c r="U137" i="6"/>
  <c r="U121" i="6"/>
  <c r="U105" i="6"/>
  <c r="U89" i="6"/>
  <c r="U73" i="6"/>
  <c r="U57" i="6"/>
  <c r="U41" i="6"/>
  <c r="U26" i="6"/>
  <c r="U18" i="6"/>
  <c r="AA80" i="6"/>
  <c r="AA197" i="6"/>
  <c r="I142" i="6"/>
  <c r="I126" i="6"/>
  <c r="I110" i="6"/>
  <c r="U90" i="6"/>
  <c r="U38" i="6"/>
  <c r="O64" i="6"/>
  <c r="I122" i="6"/>
  <c r="O80" i="6"/>
  <c r="AA120" i="6"/>
  <c r="I29" i="6"/>
  <c r="I20" i="6"/>
  <c r="AA92" i="6"/>
  <c r="AA36" i="6"/>
  <c r="AA147" i="6"/>
  <c r="AA128" i="6"/>
  <c r="AA88" i="6"/>
  <c r="AA161" i="6"/>
  <c r="AA98" i="6"/>
  <c r="AA66" i="6"/>
  <c r="O38" i="6"/>
  <c r="O88" i="6"/>
  <c r="U167" i="6"/>
  <c r="AA135" i="6"/>
  <c r="AA119" i="6"/>
  <c r="AA103" i="6"/>
  <c r="AA87" i="6"/>
  <c r="AA71" i="6"/>
  <c r="AA55" i="6"/>
  <c r="AA39" i="6"/>
  <c r="AA25" i="6"/>
  <c r="AA17" i="6"/>
  <c r="AA76" i="6"/>
  <c r="AA189" i="6"/>
  <c r="O140" i="6"/>
  <c r="O124" i="6"/>
  <c r="O108" i="6"/>
  <c r="O149" i="6"/>
  <c r="O98" i="6"/>
  <c r="O66" i="6"/>
  <c r="U36" i="6"/>
  <c r="O72" i="6"/>
  <c r="O165" i="6"/>
  <c r="O135" i="6"/>
  <c r="O119" i="6"/>
  <c r="O103" i="6"/>
  <c r="O87" i="6"/>
  <c r="O71" i="6"/>
  <c r="O55" i="6"/>
  <c r="O39" i="6"/>
  <c r="O25" i="6"/>
  <c r="O17" i="6"/>
  <c r="I74" i="6"/>
  <c r="I187" i="6"/>
  <c r="U138" i="6"/>
  <c r="U122" i="6"/>
  <c r="U106" i="6"/>
  <c r="AA84" i="6"/>
  <c r="AA28" i="6"/>
  <c r="O36" i="6"/>
  <c r="AA142" i="6"/>
  <c r="AA94" i="6"/>
  <c r="AA62" i="6"/>
  <c r="I36" i="6"/>
  <c r="O68" i="6"/>
  <c r="U159" i="6"/>
  <c r="U133" i="6"/>
  <c r="U117" i="6"/>
  <c r="U101" i="6"/>
  <c r="U85" i="6"/>
  <c r="U69" i="6"/>
  <c r="U53" i="6"/>
  <c r="U37" i="6"/>
  <c r="U24" i="6"/>
  <c r="U16" i="6"/>
  <c r="U66" i="6"/>
  <c r="AA181" i="6"/>
  <c r="I138" i="6"/>
  <c r="I106" i="6"/>
  <c r="O104" i="6"/>
  <c r="I26" i="6"/>
  <c r="I18" i="6"/>
  <c r="I78" i="6"/>
  <c r="I195" i="6"/>
  <c r="AA140" i="6"/>
  <c r="AA124" i="6"/>
  <c r="I50" i="6"/>
  <c r="AA134" i="6"/>
  <c r="AA90" i="6"/>
  <c r="AA58" i="6"/>
  <c r="O34" i="6"/>
  <c r="O48" i="6"/>
  <c r="U151" i="6"/>
  <c r="AA131" i="6"/>
  <c r="AA115" i="6"/>
  <c r="AA99" i="6"/>
  <c r="AA83" i="6"/>
  <c r="AA67" i="6"/>
  <c r="AA51" i="6"/>
  <c r="AA35" i="6"/>
  <c r="AA23" i="6"/>
  <c r="AA15" i="6"/>
  <c r="AA60" i="6"/>
  <c r="AA173" i="6"/>
  <c r="O136" i="6"/>
  <c r="O120" i="6"/>
  <c r="O100" i="6"/>
  <c r="AA130" i="6"/>
  <c r="O90" i="6"/>
  <c r="O58" i="6"/>
  <c r="U32" i="6"/>
  <c r="I42" i="6"/>
  <c r="U149" i="6"/>
  <c r="O131" i="6"/>
  <c r="O115" i="6"/>
  <c r="O99" i="6"/>
  <c r="O83" i="6"/>
  <c r="O67" i="6"/>
  <c r="O51" i="6"/>
  <c r="O35" i="6"/>
  <c r="O23" i="6"/>
  <c r="O15" i="6"/>
  <c r="O56" i="6"/>
  <c r="I171" i="6"/>
  <c r="U134" i="6"/>
  <c r="U118" i="6"/>
  <c r="U102" i="6"/>
  <c r="U70" i="6"/>
  <c r="AA112" i="6"/>
  <c r="O96" i="6"/>
  <c r="AA126" i="6"/>
  <c r="AA86" i="6"/>
  <c r="AA54" i="6"/>
  <c r="I32" i="6"/>
  <c r="AA32" i="6"/>
  <c r="U147" i="6"/>
  <c r="U129" i="6"/>
  <c r="U113" i="6"/>
  <c r="U97" i="6"/>
  <c r="U81" i="6"/>
  <c r="U65" i="6"/>
  <c r="U49" i="6"/>
  <c r="U33" i="6"/>
  <c r="U22" i="6"/>
  <c r="U14" i="6"/>
  <c r="U54" i="6"/>
  <c r="AA165" i="6"/>
  <c r="I134" i="6"/>
  <c r="I118" i="6"/>
  <c r="I102" i="6"/>
  <c r="AA68" i="6"/>
  <c r="AA108" i="6"/>
  <c r="U86" i="6"/>
  <c r="I114" i="6"/>
  <c r="O52" i="6"/>
  <c r="U30" i="6"/>
  <c r="I24" i="6"/>
  <c r="I16" i="6"/>
  <c r="AA64" i="6"/>
  <c r="I179" i="6"/>
  <c r="AA136" i="6"/>
  <c r="AA116" i="6"/>
  <c r="O76" i="6"/>
  <c r="AA118" i="6"/>
  <c r="AA82" i="6"/>
  <c r="AA50" i="6"/>
  <c r="O30" i="6"/>
  <c r="U199" i="6"/>
  <c r="AA143" i="6"/>
  <c r="AA127" i="6"/>
  <c r="AA111" i="6"/>
  <c r="AA95" i="6"/>
  <c r="AA79" i="6"/>
  <c r="AA63" i="6"/>
  <c r="AA47" i="6"/>
  <c r="AA31" i="6"/>
  <c r="AA21" i="6"/>
  <c r="I12" i="6"/>
  <c r="I46" i="6"/>
  <c r="AA157" i="6"/>
  <c r="O132" i="6"/>
  <c r="O116" i="6"/>
  <c r="I62" i="6"/>
  <c r="AA114" i="6"/>
  <c r="O82" i="6"/>
  <c r="O50" i="6"/>
  <c r="U28" i="6"/>
  <c r="O197" i="6"/>
  <c r="O143" i="6"/>
  <c r="O127" i="6"/>
  <c r="O111" i="6"/>
  <c r="O95" i="6"/>
  <c r="O79" i="6"/>
  <c r="O63" i="6"/>
  <c r="O47" i="6"/>
  <c r="O31" i="6"/>
  <c r="O21" i="6"/>
  <c r="O11" i="6"/>
  <c r="O44" i="6"/>
  <c r="I155" i="6"/>
  <c r="U130" i="6"/>
  <c r="U114" i="6"/>
  <c r="U98" i="6"/>
  <c r="I58" i="6"/>
  <c r="AA100" i="6"/>
  <c r="U46" i="6"/>
  <c r="AA110" i="6"/>
  <c r="AA78" i="6"/>
  <c r="AA46" i="6"/>
  <c r="I28" i="6"/>
  <c r="U191" i="6"/>
  <c r="U141" i="6"/>
  <c r="U125" i="6"/>
  <c r="U109" i="6"/>
  <c r="U93" i="6"/>
  <c r="U77" i="6"/>
  <c r="U61" i="6"/>
  <c r="U45" i="6"/>
  <c r="U29" i="6"/>
  <c r="U20" i="6"/>
  <c r="U94" i="6"/>
  <c r="U42" i="6"/>
  <c r="AA149" i="6"/>
  <c r="I130" i="6"/>
  <c r="I98" i="6"/>
  <c r="AA96" i="6"/>
  <c r="B348" i="61" l="1"/>
  <c r="AD96" i="6"/>
  <c r="E348" i="61" s="1"/>
  <c r="AF96" i="6"/>
  <c r="AE96" i="6"/>
  <c r="AQ96" i="6"/>
  <c r="AC96" i="6"/>
  <c r="D348" i="61" s="1"/>
  <c r="AB96" i="6"/>
  <c r="C348" i="61" s="1"/>
  <c r="A92" i="7"/>
  <c r="B353" i="61"/>
  <c r="M98" i="6"/>
  <c r="N98" i="6"/>
  <c r="F92" i="7" s="1"/>
  <c r="AN98" i="6"/>
  <c r="K98" i="6"/>
  <c r="A124" i="7"/>
  <c r="B481" i="61"/>
  <c r="M130" i="6"/>
  <c r="N130" i="6"/>
  <c r="F124" i="7" s="1"/>
  <c r="AN130" i="6"/>
  <c r="K130" i="6"/>
  <c r="AF149" i="6"/>
  <c r="AE149" i="6"/>
  <c r="AQ149" i="6"/>
  <c r="AB149" i="6"/>
  <c r="AC149" i="6"/>
  <c r="AD149" i="6"/>
  <c r="B131" i="61"/>
  <c r="W42" i="6"/>
  <c r="AP42" i="6"/>
  <c r="A423" i="7"/>
  <c r="Z42" i="6"/>
  <c r="F423" i="7" s="1"/>
  <c r="Y42" i="6"/>
  <c r="E423" i="7" s="1"/>
  <c r="Y94" i="6"/>
  <c r="E475" i="7" s="1"/>
  <c r="A475" i="7"/>
  <c r="B339" i="61"/>
  <c r="W94" i="6"/>
  <c r="Z94" i="6"/>
  <c r="F475" i="7" s="1"/>
  <c r="AP94" i="6"/>
  <c r="A401" i="7"/>
  <c r="AP20" i="6"/>
  <c r="V20" i="6"/>
  <c r="X20" i="6"/>
  <c r="B43" i="61"/>
  <c r="W20" i="6"/>
  <c r="Z20" i="6"/>
  <c r="F401" i="7" s="1"/>
  <c r="Y20" i="6"/>
  <c r="E401" i="7" s="1"/>
  <c r="A410" i="7"/>
  <c r="W29" i="6"/>
  <c r="Z29" i="6"/>
  <c r="F410" i="7" s="1"/>
  <c r="Y29" i="6"/>
  <c r="E410" i="7" s="1"/>
  <c r="B79" i="61"/>
  <c r="AP29" i="6"/>
  <c r="A426" i="7"/>
  <c r="W45" i="6"/>
  <c r="Z45" i="6"/>
  <c r="F426" i="7" s="1"/>
  <c r="Y45" i="6"/>
  <c r="E426" i="7" s="1"/>
  <c r="B143" i="61"/>
  <c r="AP45" i="6"/>
  <c r="A442" i="7"/>
  <c r="W61" i="6"/>
  <c r="Z61" i="6"/>
  <c r="F442" i="7" s="1"/>
  <c r="Y61" i="6"/>
  <c r="E442" i="7" s="1"/>
  <c r="B207" i="61"/>
  <c r="AP61" i="6"/>
  <c r="A458" i="7"/>
  <c r="W77" i="6"/>
  <c r="Z77" i="6"/>
  <c r="F458" i="7" s="1"/>
  <c r="Y77" i="6"/>
  <c r="E458" i="7" s="1"/>
  <c r="B271" i="61"/>
  <c r="AP77" i="6"/>
  <c r="Z93" i="6"/>
  <c r="F474" i="7" s="1"/>
  <c r="Y93" i="6"/>
  <c r="E474" i="7" s="1"/>
  <c r="B335" i="61"/>
  <c r="AP93" i="6"/>
  <c r="A474" i="7"/>
  <c r="W93" i="6"/>
  <c r="Z109" i="6"/>
  <c r="F490" i="7" s="1"/>
  <c r="Y109" i="6"/>
  <c r="E490" i="7" s="1"/>
  <c r="B399" i="61"/>
  <c r="AP109" i="6"/>
  <c r="A490" i="7"/>
  <c r="W109" i="6"/>
  <c r="Z125" i="6"/>
  <c r="F506" i="7" s="1"/>
  <c r="Y125" i="6"/>
  <c r="E506" i="7" s="1"/>
  <c r="B463" i="61"/>
  <c r="AP125" i="6"/>
  <c r="A506" i="7"/>
  <c r="W125" i="6"/>
  <c r="W141" i="6"/>
  <c r="C522" i="7" s="1"/>
  <c r="Y141" i="6"/>
  <c r="E522" i="7" s="1"/>
  <c r="A522" i="7"/>
  <c r="AP141" i="6"/>
  <c r="Z141" i="6"/>
  <c r="F522" i="7" s="1"/>
  <c r="AP191" i="6"/>
  <c r="Y191" i="6"/>
  <c r="E572" i="7" s="1"/>
  <c r="W191" i="6"/>
  <c r="C572" i="7" s="1"/>
  <c r="Z191" i="6"/>
  <c r="F572" i="7" s="1"/>
  <c r="A572" i="7"/>
  <c r="A22" i="7"/>
  <c r="B73" i="61"/>
  <c r="AN28" i="6"/>
  <c r="M28" i="6"/>
  <c r="N28" i="6"/>
  <c r="F22" i="7" s="1"/>
  <c r="K28" i="6"/>
  <c r="B148" i="61"/>
  <c r="AB46" i="6"/>
  <c r="C148" i="61" s="1"/>
  <c r="AF46" i="6"/>
  <c r="AC46" i="6"/>
  <c r="D148" i="61" s="1"/>
  <c r="AE46" i="6"/>
  <c r="AQ46" i="6"/>
  <c r="AD46" i="6"/>
  <c r="E148" i="61" s="1"/>
  <c r="B276" i="61"/>
  <c r="AB78" i="6"/>
  <c r="C276" i="61" s="1"/>
  <c r="AF78" i="6"/>
  <c r="AQ78" i="6"/>
  <c r="AD78" i="6"/>
  <c r="E276" i="61" s="1"/>
  <c r="AC78" i="6"/>
  <c r="D276" i="61" s="1"/>
  <c r="AE78" i="6"/>
  <c r="B404" i="61"/>
  <c r="AB110" i="6"/>
  <c r="C404" i="61" s="1"/>
  <c r="AF110" i="6"/>
  <c r="AC110" i="6"/>
  <c r="D404" i="61" s="1"/>
  <c r="AE110" i="6"/>
  <c r="AQ110" i="6"/>
  <c r="AD110" i="6"/>
  <c r="E404" i="61" s="1"/>
  <c r="W46" i="6"/>
  <c r="Z46" i="6"/>
  <c r="F427" i="7" s="1"/>
  <c r="AP46" i="6"/>
  <c r="B147" i="61"/>
  <c r="A427" i="7"/>
  <c r="Y46" i="6"/>
  <c r="E427" i="7" s="1"/>
  <c r="AQ100" i="6"/>
  <c r="B364" i="61"/>
  <c r="AD100" i="6"/>
  <c r="E364" i="61" s="1"/>
  <c r="AB100" i="6"/>
  <c r="C364" i="61" s="1"/>
  <c r="AE100" i="6"/>
  <c r="AC100" i="6"/>
  <c r="D364" i="61" s="1"/>
  <c r="AF100" i="6"/>
  <c r="K58" i="6"/>
  <c r="N58" i="6"/>
  <c r="F52" i="7" s="1"/>
  <c r="M58" i="6"/>
  <c r="B193" i="61"/>
  <c r="A52" i="7"/>
  <c r="AN58" i="6"/>
  <c r="A479" i="7"/>
  <c r="B355" i="61"/>
  <c r="W98" i="6"/>
  <c r="Z98" i="6"/>
  <c r="F479" i="7" s="1"/>
  <c r="AP98" i="6"/>
  <c r="Y98" i="6"/>
  <c r="E479" i="7" s="1"/>
  <c r="AP114" i="6"/>
  <c r="A495" i="7"/>
  <c r="Z114" i="6"/>
  <c r="F495" i="7" s="1"/>
  <c r="Y114" i="6"/>
  <c r="E495" i="7" s="1"/>
  <c r="B419" i="61"/>
  <c r="W114" i="6"/>
  <c r="AP130" i="6"/>
  <c r="A511" i="7"/>
  <c r="Z130" i="6"/>
  <c r="F511" i="7" s="1"/>
  <c r="Y130" i="6"/>
  <c r="E511" i="7" s="1"/>
  <c r="B483" i="61"/>
  <c r="W130" i="6"/>
  <c r="N155" i="6"/>
  <c r="F149" i="7" s="1"/>
  <c r="AN155" i="6"/>
  <c r="A149" i="7"/>
  <c r="M155" i="6"/>
  <c r="K155" i="6"/>
  <c r="C149" i="7" s="1"/>
  <c r="S44" i="6"/>
  <c r="E230" i="7" s="1"/>
  <c r="B138" i="61"/>
  <c r="A230" i="7"/>
  <c r="AO44" i="6"/>
  <c r="Q44" i="6"/>
  <c r="T44" i="6"/>
  <c r="F230" i="7" s="1"/>
  <c r="Q11" i="6"/>
  <c r="T11" i="6"/>
  <c r="F197" i="7" s="1"/>
  <c r="S11" i="6"/>
  <c r="E197" i="7" s="1"/>
  <c r="P11" i="6"/>
  <c r="A197" i="7"/>
  <c r="R11" i="6"/>
  <c r="AO11" i="6"/>
  <c r="B6" i="61"/>
  <c r="Q21" i="6"/>
  <c r="T21" i="6"/>
  <c r="F207" i="7" s="1"/>
  <c r="R21" i="6"/>
  <c r="S21" i="6"/>
  <c r="E207" i="7" s="1"/>
  <c r="B46" i="61"/>
  <c r="A207" i="7"/>
  <c r="P21" i="6"/>
  <c r="AO21" i="6"/>
  <c r="B86" i="61"/>
  <c r="AO31" i="6"/>
  <c r="A217" i="7"/>
  <c r="T31" i="6"/>
  <c r="F217" i="7" s="1"/>
  <c r="Q31" i="6"/>
  <c r="S31" i="6"/>
  <c r="E217" i="7" s="1"/>
  <c r="B150" i="61"/>
  <c r="AO47" i="6"/>
  <c r="A233" i="7"/>
  <c r="T47" i="6"/>
  <c r="F233" i="7" s="1"/>
  <c r="Q47" i="6"/>
  <c r="S47" i="6"/>
  <c r="E233" i="7" s="1"/>
  <c r="B214" i="61"/>
  <c r="AO63" i="6"/>
  <c r="A249" i="7"/>
  <c r="T63" i="6"/>
  <c r="F249" i="7" s="1"/>
  <c r="Q63" i="6"/>
  <c r="S63" i="6"/>
  <c r="E249" i="7" s="1"/>
  <c r="B278" i="61"/>
  <c r="AO79" i="6"/>
  <c r="A265" i="7"/>
  <c r="T79" i="6"/>
  <c r="F265" i="7" s="1"/>
  <c r="Q79" i="6"/>
  <c r="S79" i="6"/>
  <c r="E265" i="7" s="1"/>
  <c r="Q95" i="6"/>
  <c r="S95" i="6"/>
  <c r="E281" i="7" s="1"/>
  <c r="B342" i="61"/>
  <c r="AO95" i="6"/>
  <c r="A281" i="7"/>
  <c r="T95" i="6"/>
  <c r="F281" i="7" s="1"/>
  <c r="Q111" i="6"/>
  <c r="S111" i="6"/>
  <c r="E297" i="7" s="1"/>
  <c r="B406" i="61"/>
  <c r="AO111" i="6"/>
  <c r="A297" i="7"/>
  <c r="T111" i="6"/>
  <c r="F297" i="7" s="1"/>
  <c r="Q127" i="6"/>
  <c r="S127" i="6"/>
  <c r="E313" i="7" s="1"/>
  <c r="B470" i="61"/>
  <c r="AO127" i="6"/>
  <c r="A313" i="7"/>
  <c r="T127" i="6"/>
  <c r="F313" i="7" s="1"/>
  <c r="S143" i="6"/>
  <c r="E332" i="7" s="1"/>
  <c r="T143" i="6"/>
  <c r="F332" i="7" s="1"/>
  <c r="Q143" i="6"/>
  <c r="C332" i="7" s="1"/>
  <c r="A332" i="7"/>
  <c r="AO143" i="6"/>
  <c r="T197" i="6"/>
  <c r="F386" i="7" s="1"/>
  <c r="Q197" i="6"/>
  <c r="C386" i="7" s="1"/>
  <c r="A386" i="7"/>
  <c r="S197" i="6"/>
  <c r="E386" i="7" s="1"/>
  <c r="AO197" i="6"/>
  <c r="Y28" i="6"/>
  <c r="E409" i="7" s="1"/>
  <c r="A409" i="7"/>
  <c r="AP28" i="6"/>
  <c r="W28" i="6"/>
  <c r="B75" i="61"/>
  <c r="Z28" i="6"/>
  <c r="F409" i="7" s="1"/>
  <c r="A236" i="7"/>
  <c r="Q50" i="6"/>
  <c r="B162" i="61"/>
  <c r="AO50" i="6"/>
  <c r="S50" i="6"/>
  <c r="E236" i="7" s="1"/>
  <c r="T50" i="6"/>
  <c r="F236" i="7" s="1"/>
  <c r="A268" i="7"/>
  <c r="Q82" i="6"/>
  <c r="B290" i="61"/>
  <c r="AO82" i="6"/>
  <c r="S82" i="6"/>
  <c r="E268" i="7" s="1"/>
  <c r="T82" i="6"/>
  <c r="F268" i="7" s="1"/>
  <c r="AE114" i="6"/>
  <c r="AD114" i="6"/>
  <c r="E420" i="61" s="1"/>
  <c r="B420" i="61"/>
  <c r="AB114" i="6"/>
  <c r="C420" i="61" s="1"/>
  <c r="AQ114" i="6"/>
  <c r="AC114" i="6"/>
  <c r="D420" i="61" s="1"/>
  <c r="AF114" i="6"/>
  <c r="M62" i="6"/>
  <c r="N62" i="6"/>
  <c r="F56" i="7" s="1"/>
  <c r="AN62" i="6"/>
  <c r="K62" i="6"/>
  <c r="A56" i="7"/>
  <c r="B209" i="61"/>
  <c r="S116" i="6"/>
  <c r="E302" i="7" s="1"/>
  <c r="T116" i="6"/>
  <c r="F302" i="7" s="1"/>
  <c r="Q116" i="6"/>
  <c r="AO116" i="6"/>
  <c r="A302" i="7"/>
  <c r="B426" i="61"/>
  <c r="S132" i="6"/>
  <c r="E318" i="7" s="1"/>
  <c r="T132" i="6"/>
  <c r="F318" i="7" s="1"/>
  <c r="Q132" i="6"/>
  <c r="AO132" i="6"/>
  <c r="A318" i="7"/>
  <c r="B490" i="61"/>
  <c r="AB157" i="6"/>
  <c r="AD157" i="6"/>
  <c r="AF157" i="6"/>
  <c r="AE157" i="6"/>
  <c r="AQ157" i="6"/>
  <c r="AC157" i="6"/>
  <c r="M46" i="6"/>
  <c r="B145" i="61"/>
  <c r="A40" i="7"/>
  <c r="AN46" i="6"/>
  <c r="N46" i="6"/>
  <c r="F40" i="7" s="1"/>
  <c r="K46" i="6"/>
  <c r="A6" i="7"/>
  <c r="M12" i="6"/>
  <c r="N12" i="6"/>
  <c r="F6" i="7" s="1"/>
  <c r="B9" i="61"/>
  <c r="K12" i="6"/>
  <c r="L12" i="6"/>
  <c r="J12" i="6"/>
  <c r="AN12" i="6"/>
  <c r="AD21" i="6"/>
  <c r="E48" i="61" s="1"/>
  <c r="B48" i="61"/>
  <c r="AC21" i="6"/>
  <c r="D48" i="61" s="1"/>
  <c r="AB21" i="6"/>
  <c r="C48" i="61" s="1"/>
  <c r="AE21" i="6"/>
  <c r="AQ21" i="6"/>
  <c r="AF21" i="6"/>
  <c r="B88" i="61"/>
  <c r="AQ31" i="6"/>
  <c r="AF31" i="6"/>
  <c r="AE31" i="6"/>
  <c r="AC31" i="6"/>
  <c r="D88" i="61" s="1"/>
  <c r="AD31" i="6"/>
  <c r="E88" i="61" s="1"/>
  <c r="AB31" i="6"/>
  <c r="C88" i="61" s="1"/>
  <c r="B152" i="61"/>
  <c r="AF47" i="6"/>
  <c r="AE47" i="6"/>
  <c r="AQ47" i="6"/>
  <c r="AC47" i="6"/>
  <c r="D152" i="61" s="1"/>
  <c r="AB47" i="6"/>
  <c r="C152" i="61" s="1"/>
  <c r="AD47" i="6"/>
  <c r="E152" i="61" s="1"/>
  <c r="B216" i="61"/>
  <c r="AQ63" i="6"/>
  <c r="AB63" i="6"/>
  <c r="C216" i="61" s="1"/>
  <c r="AE63" i="6"/>
  <c r="AC63" i="6"/>
  <c r="D216" i="61" s="1"/>
  <c r="AF63" i="6"/>
  <c r="AD63" i="6"/>
  <c r="E216" i="61" s="1"/>
  <c r="B280" i="61"/>
  <c r="AD79" i="6"/>
  <c r="E280" i="61" s="1"/>
  <c r="AB79" i="6"/>
  <c r="C280" i="61" s="1"/>
  <c r="AE79" i="6"/>
  <c r="AC79" i="6"/>
  <c r="D280" i="61" s="1"/>
  <c r="AF79" i="6"/>
  <c r="AQ79" i="6"/>
  <c r="B344" i="61"/>
  <c r="AF95" i="6"/>
  <c r="AE95" i="6"/>
  <c r="AD95" i="6"/>
  <c r="E344" i="61" s="1"/>
  <c r="AC95" i="6"/>
  <c r="D344" i="61" s="1"/>
  <c r="AB95" i="6"/>
  <c r="C344" i="61" s="1"/>
  <c r="AQ95" i="6"/>
  <c r="B408" i="61"/>
  <c r="AF111" i="6"/>
  <c r="AE111" i="6"/>
  <c r="AD111" i="6"/>
  <c r="E408" i="61" s="1"/>
  <c r="AC111" i="6"/>
  <c r="D408" i="61" s="1"/>
  <c r="AB111" i="6"/>
  <c r="C408" i="61" s="1"/>
  <c r="AQ111" i="6"/>
  <c r="B472" i="61"/>
  <c r="AF127" i="6"/>
  <c r="AE127" i="6"/>
  <c r="AD127" i="6"/>
  <c r="E472" i="61" s="1"/>
  <c r="AC127" i="6"/>
  <c r="D472" i="61" s="1"/>
  <c r="AB127" i="6"/>
  <c r="C472" i="61" s="1"/>
  <c r="AQ127" i="6"/>
  <c r="AF143" i="6"/>
  <c r="AC143" i="6"/>
  <c r="AD143" i="6"/>
  <c r="AE143" i="6"/>
  <c r="AB143" i="6"/>
  <c r="AQ143" i="6"/>
  <c r="Z199" i="6"/>
  <c r="F580" i="7" s="1"/>
  <c r="Y199" i="6"/>
  <c r="E580" i="7" s="1"/>
  <c r="AP199" i="6"/>
  <c r="W199" i="6"/>
  <c r="C580" i="7" s="1"/>
  <c r="A580" i="7"/>
  <c r="T30" i="6"/>
  <c r="F216" i="7" s="1"/>
  <c r="A216" i="7"/>
  <c r="B82" i="61"/>
  <c r="S30" i="6"/>
  <c r="E216" i="7" s="1"/>
  <c r="Q30" i="6"/>
  <c r="AO30" i="6"/>
  <c r="AE50" i="6"/>
  <c r="AD50" i="6"/>
  <c r="E164" i="61" s="1"/>
  <c r="B164" i="61"/>
  <c r="AB50" i="6"/>
  <c r="C164" i="61" s="1"/>
  <c r="AQ50" i="6"/>
  <c r="AC50" i="6"/>
  <c r="D164" i="61" s="1"/>
  <c r="AF50" i="6"/>
  <c r="AE82" i="6"/>
  <c r="AD82" i="6"/>
  <c r="E292" i="61" s="1"/>
  <c r="B292" i="61"/>
  <c r="AB82" i="6"/>
  <c r="C292" i="61" s="1"/>
  <c r="AQ82" i="6"/>
  <c r="AC82" i="6"/>
  <c r="D292" i="61" s="1"/>
  <c r="AF82" i="6"/>
  <c r="AB118" i="6"/>
  <c r="C436" i="61" s="1"/>
  <c r="AQ118" i="6"/>
  <c r="AC118" i="6"/>
  <c r="D436" i="61" s="1"/>
  <c r="AF118" i="6"/>
  <c r="AE118" i="6"/>
  <c r="AD118" i="6"/>
  <c r="E436" i="61" s="1"/>
  <c r="B436" i="61"/>
  <c r="T76" i="6"/>
  <c r="F262" i="7" s="1"/>
  <c r="B266" i="61"/>
  <c r="Q76" i="6"/>
  <c r="AO76" i="6"/>
  <c r="S76" i="6"/>
  <c r="E262" i="7" s="1"/>
  <c r="A262" i="7"/>
  <c r="B428" i="61"/>
  <c r="AD116" i="6"/>
  <c r="E428" i="61" s="1"/>
  <c r="AF116" i="6"/>
  <c r="AE116" i="6"/>
  <c r="AQ116" i="6"/>
  <c r="AC116" i="6"/>
  <c r="D428" i="61" s="1"/>
  <c r="AB116" i="6"/>
  <c r="C428" i="61" s="1"/>
  <c r="AE136" i="6"/>
  <c r="AQ136" i="6"/>
  <c r="AC136" i="6"/>
  <c r="D508" i="61" s="1"/>
  <c r="AB136" i="6"/>
  <c r="C508" i="61" s="1"/>
  <c r="B508" i="61"/>
  <c r="AD136" i="6"/>
  <c r="E508" i="61" s="1"/>
  <c r="AF136" i="6"/>
  <c r="AN179" i="6"/>
  <c r="M179" i="6"/>
  <c r="K179" i="6"/>
  <c r="C173" i="7" s="1"/>
  <c r="A173" i="7"/>
  <c r="N179" i="6"/>
  <c r="F173" i="7" s="1"/>
  <c r="AB64" i="6"/>
  <c r="C220" i="61" s="1"/>
  <c r="AC64" i="6"/>
  <c r="D220" i="61" s="1"/>
  <c r="AD64" i="6"/>
  <c r="E220" i="61" s="1"/>
  <c r="AF64" i="6"/>
  <c r="AE64" i="6"/>
  <c r="AQ64" i="6"/>
  <c r="B220" i="61"/>
  <c r="L16" i="6"/>
  <c r="N16" i="6"/>
  <c r="F10" i="7" s="1"/>
  <c r="AN16" i="6"/>
  <c r="A10" i="7"/>
  <c r="M16" i="6"/>
  <c r="J16" i="6"/>
  <c r="K16" i="6"/>
  <c r="B25" i="61"/>
  <c r="L24" i="6"/>
  <c r="N24" i="6"/>
  <c r="F18" i="7" s="1"/>
  <c r="AN24" i="6"/>
  <c r="A18" i="7"/>
  <c r="M24" i="6"/>
  <c r="J24" i="6"/>
  <c r="K24" i="6"/>
  <c r="B57" i="61"/>
  <c r="A411" i="7"/>
  <c r="B83" i="61"/>
  <c r="Z30" i="6"/>
  <c r="F411" i="7" s="1"/>
  <c r="W30" i="6"/>
  <c r="AP30" i="6"/>
  <c r="Y30" i="6"/>
  <c r="E411" i="7" s="1"/>
  <c r="T52" i="6"/>
  <c r="F238" i="7" s="1"/>
  <c r="AO52" i="6"/>
  <c r="S52" i="6"/>
  <c r="E238" i="7" s="1"/>
  <c r="Q52" i="6"/>
  <c r="A238" i="7"/>
  <c r="B170" i="61"/>
  <c r="A108" i="7"/>
  <c r="B417" i="61"/>
  <c r="M114" i="6"/>
  <c r="N114" i="6"/>
  <c r="F108" i="7" s="1"/>
  <c r="AN114" i="6"/>
  <c r="K114" i="6"/>
  <c r="Y86" i="6"/>
  <c r="E467" i="7" s="1"/>
  <c r="A467" i="7"/>
  <c r="AP86" i="6"/>
  <c r="Z86" i="6"/>
  <c r="F467" i="7" s="1"/>
  <c r="B307" i="61"/>
  <c r="W86" i="6"/>
  <c r="AB108" i="6"/>
  <c r="C396" i="61" s="1"/>
  <c r="B396" i="61"/>
  <c r="AD108" i="6"/>
  <c r="E396" i="61" s="1"/>
  <c r="AF108" i="6"/>
  <c r="AE108" i="6"/>
  <c r="AQ108" i="6"/>
  <c r="AC108" i="6"/>
  <c r="D396" i="61" s="1"/>
  <c r="AB68" i="6"/>
  <c r="C236" i="61" s="1"/>
  <c r="AQ68" i="6"/>
  <c r="AC68" i="6"/>
  <c r="D236" i="61" s="1"/>
  <c r="AF68" i="6"/>
  <c r="B236" i="61"/>
  <c r="AD68" i="6"/>
  <c r="E236" i="61" s="1"/>
  <c r="AE68" i="6"/>
  <c r="A96" i="7"/>
  <c r="M102" i="6"/>
  <c r="B369" i="61"/>
  <c r="AN102" i="6"/>
  <c r="N102" i="6"/>
  <c r="F96" i="7" s="1"/>
  <c r="K102" i="6"/>
  <c r="A112" i="7"/>
  <c r="M118" i="6"/>
  <c r="B433" i="61"/>
  <c r="AN118" i="6"/>
  <c r="N118" i="6"/>
  <c r="F112" i="7" s="1"/>
  <c r="K118" i="6"/>
  <c r="A128" i="7"/>
  <c r="M134" i="6"/>
  <c r="B497" i="61"/>
  <c r="AN134" i="6"/>
  <c r="N134" i="6"/>
  <c r="F128" i="7" s="1"/>
  <c r="K134" i="6"/>
  <c r="AE165" i="6"/>
  <c r="AQ165" i="6"/>
  <c r="AC165" i="6"/>
  <c r="AB165" i="6"/>
  <c r="AF165" i="6"/>
  <c r="AD165" i="6"/>
  <c r="Z54" i="6"/>
  <c r="F435" i="7" s="1"/>
  <c r="B179" i="61"/>
  <c r="W54" i="6"/>
  <c r="Y54" i="6"/>
  <c r="E435" i="7" s="1"/>
  <c r="AP54" i="6"/>
  <c r="A435" i="7"/>
  <c r="W14" i="6"/>
  <c r="AP14" i="6"/>
  <c r="V14" i="6"/>
  <c r="X14" i="6"/>
  <c r="A395" i="7"/>
  <c r="Y14" i="6"/>
  <c r="E395" i="7" s="1"/>
  <c r="Z14" i="6"/>
  <c r="F395" i="7" s="1"/>
  <c r="B19" i="61"/>
  <c r="W22" i="6"/>
  <c r="B51" i="61"/>
  <c r="Y22" i="6"/>
  <c r="E403" i="7" s="1"/>
  <c r="Z22" i="6"/>
  <c r="F403" i="7" s="1"/>
  <c r="A403" i="7"/>
  <c r="AP22" i="6"/>
  <c r="V22" i="6"/>
  <c r="X22" i="6"/>
  <c r="Z33" i="6"/>
  <c r="F414" i="7" s="1"/>
  <c r="AP33" i="6"/>
  <c r="W33" i="6"/>
  <c r="B95" i="61"/>
  <c r="A414" i="7"/>
  <c r="Y33" i="6"/>
  <c r="E414" i="7" s="1"/>
  <c r="Z49" i="6"/>
  <c r="F430" i="7" s="1"/>
  <c r="AP49" i="6"/>
  <c r="W49" i="6"/>
  <c r="B159" i="61"/>
  <c r="A430" i="7"/>
  <c r="Y49" i="6"/>
  <c r="E430" i="7" s="1"/>
  <c r="Z65" i="6"/>
  <c r="F446" i="7" s="1"/>
  <c r="AP65" i="6"/>
  <c r="W65" i="6"/>
  <c r="B223" i="61"/>
  <c r="Y65" i="6"/>
  <c r="E446" i="7" s="1"/>
  <c r="A446" i="7"/>
  <c r="Z81" i="6"/>
  <c r="F462" i="7" s="1"/>
  <c r="AP81" i="6"/>
  <c r="W81" i="6"/>
  <c r="B287" i="61"/>
  <c r="A462" i="7"/>
  <c r="Y81" i="6"/>
  <c r="E462" i="7" s="1"/>
  <c r="AP97" i="6"/>
  <c r="W97" i="6"/>
  <c r="B351" i="61"/>
  <c r="A478" i="7"/>
  <c r="Y97" i="6"/>
  <c r="E478" i="7" s="1"/>
  <c r="Z97" i="6"/>
  <c r="F478" i="7" s="1"/>
  <c r="AP113" i="6"/>
  <c r="W113" i="6"/>
  <c r="B415" i="61"/>
  <c r="A494" i="7"/>
  <c r="Y113" i="6"/>
  <c r="E494" i="7" s="1"/>
  <c r="Z113" i="6"/>
  <c r="F494" i="7" s="1"/>
  <c r="AP129" i="6"/>
  <c r="W129" i="6"/>
  <c r="B479" i="61"/>
  <c r="A510" i="7"/>
  <c r="Y129" i="6"/>
  <c r="E510" i="7" s="1"/>
  <c r="Z129" i="6"/>
  <c r="F510" i="7" s="1"/>
  <c r="AP147" i="6"/>
  <c r="Z147" i="6"/>
  <c r="F528" i="7" s="1"/>
  <c r="Y147" i="6"/>
  <c r="E528" i="7" s="1"/>
  <c r="A528" i="7"/>
  <c r="W147" i="6"/>
  <c r="C528" i="7" s="1"/>
  <c r="B92" i="61"/>
  <c r="AD32" i="6"/>
  <c r="E92" i="61" s="1"/>
  <c r="AC32" i="6"/>
  <c r="D92" i="61" s="1"/>
  <c r="AB32" i="6"/>
  <c r="C92" i="61" s="1"/>
  <c r="AQ32" i="6"/>
  <c r="AE32" i="6"/>
  <c r="AF32" i="6"/>
  <c r="A26" i="7"/>
  <c r="K32" i="6"/>
  <c r="B89" i="61"/>
  <c r="N32" i="6"/>
  <c r="F26" i="7" s="1"/>
  <c r="AN32" i="6"/>
  <c r="M32" i="6"/>
  <c r="AB54" i="6"/>
  <c r="C180" i="61" s="1"/>
  <c r="AE54" i="6"/>
  <c r="AF54" i="6"/>
  <c r="AC54" i="6"/>
  <c r="D180" i="61" s="1"/>
  <c r="AQ54" i="6"/>
  <c r="AD54" i="6"/>
  <c r="E180" i="61" s="1"/>
  <c r="B180" i="61"/>
  <c r="AB86" i="6"/>
  <c r="C308" i="61" s="1"/>
  <c r="AE86" i="6"/>
  <c r="AF86" i="6"/>
  <c r="AC86" i="6"/>
  <c r="D308" i="61" s="1"/>
  <c r="AD86" i="6"/>
  <c r="E308" i="61" s="1"/>
  <c r="B308" i="61"/>
  <c r="AQ86" i="6"/>
  <c r="AQ126" i="6"/>
  <c r="AC126" i="6"/>
  <c r="D468" i="61" s="1"/>
  <c r="AE126" i="6"/>
  <c r="AD126" i="6"/>
  <c r="E468" i="61" s="1"/>
  <c r="B468" i="61"/>
  <c r="AF126" i="6"/>
  <c r="AB126" i="6"/>
  <c r="C468" i="61" s="1"/>
  <c r="AO96" i="6"/>
  <c r="S96" i="6"/>
  <c r="E282" i="7" s="1"/>
  <c r="T96" i="6"/>
  <c r="F282" i="7" s="1"/>
  <c r="Q96" i="6"/>
  <c r="B346" i="61"/>
  <c r="A282" i="7"/>
  <c r="B412" i="61"/>
  <c r="AD112" i="6"/>
  <c r="E412" i="61" s="1"/>
  <c r="AQ112" i="6"/>
  <c r="AC112" i="6"/>
  <c r="D412" i="61" s="1"/>
  <c r="AE112" i="6"/>
  <c r="AF112" i="6"/>
  <c r="AB112" i="6"/>
  <c r="C412" i="61" s="1"/>
  <c r="B243" i="61"/>
  <c r="Y70" i="6"/>
  <c r="E451" i="7" s="1"/>
  <c r="A451" i="7"/>
  <c r="AP70" i="6"/>
  <c r="Z70" i="6"/>
  <c r="F451" i="7" s="1"/>
  <c r="W70" i="6"/>
  <c r="Z102" i="6"/>
  <c r="F483" i="7" s="1"/>
  <c r="Y102" i="6"/>
  <c r="E483" i="7" s="1"/>
  <c r="AP102" i="6"/>
  <c r="B371" i="61"/>
  <c r="A483" i="7"/>
  <c r="W102" i="6"/>
  <c r="W118" i="6"/>
  <c r="A499" i="7"/>
  <c r="Z118" i="6"/>
  <c r="F499" i="7" s="1"/>
  <c r="Y118" i="6"/>
  <c r="E499" i="7" s="1"/>
  <c r="B435" i="61"/>
  <c r="AP118" i="6"/>
  <c r="W134" i="6"/>
  <c r="A515" i="7"/>
  <c r="Z134" i="6"/>
  <c r="F515" i="7" s="1"/>
  <c r="Y134" i="6"/>
  <c r="E515" i="7" s="1"/>
  <c r="B499" i="61"/>
  <c r="AP134" i="6"/>
  <c r="AN171" i="6"/>
  <c r="M171" i="6"/>
  <c r="N171" i="6"/>
  <c r="F165" i="7" s="1"/>
  <c r="K171" i="6"/>
  <c r="C165" i="7" s="1"/>
  <c r="A165" i="7"/>
  <c r="Q56" i="6"/>
  <c r="B186" i="61"/>
  <c r="S56" i="6"/>
  <c r="E242" i="7" s="1"/>
  <c r="A242" i="7"/>
  <c r="AO56" i="6"/>
  <c r="T56" i="6"/>
  <c r="F242" i="7" s="1"/>
  <c r="T15" i="6"/>
  <c r="F201" i="7" s="1"/>
  <c r="P15" i="6"/>
  <c r="A201" i="7"/>
  <c r="S15" i="6"/>
  <c r="E201" i="7" s="1"/>
  <c r="Q15" i="6"/>
  <c r="AO15" i="6"/>
  <c r="R15" i="6"/>
  <c r="B22" i="61"/>
  <c r="T23" i="6"/>
  <c r="F209" i="7" s="1"/>
  <c r="B54" i="61"/>
  <c r="S23" i="6"/>
  <c r="E209" i="7" s="1"/>
  <c r="A209" i="7"/>
  <c r="Q23" i="6"/>
  <c r="P23" i="6"/>
  <c r="AO23" i="6"/>
  <c r="R23" i="6"/>
  <c r="T35" i="6"/>
  <c r="F221" i="7" s="1"/>
  <c r="A221" i="7"/>
  <c r="AO35" i="6"/>
  <c r="S35" i="6"/>
  <c r="E221" i="7" s="1"/>
  <c r="B102" i="61"/>
  <c r="Q35" i="6"/>
  <c r="T51" i="6"/>
  <c r="F237" i="7" s="1"/>
  <c r="A237" i="7"/>
  <c r="AO51" i="6"/>
  <c r="S51" i="6"/>
  <c r="E237" i="7" s="1"/>
  <c r="B166" i="61"/>
  <c r="Q51" i="6"/>
  <c r="T67" i="6"/>
  <c r="F253" i="7" s="1"/>
  <c r="A253" i="7"/>
  <c r="AO67" i="6"/>
  <c r="S67" i="6"/>
  <c r="E253" i="7" s="1"/>
  <c r="B230" i="61"/>
  <c r="Q67" i="6"/>
  <c r="T83" i="6"/>
  <c r="F269" i="7" s="1"/>
  <c r="A269" i="7"/>
  <c r="AO83" i="6"/>
  <c r="S83" i="6"/>
  <c r="E269" i="7" s="1"/>
  <c r="B294" i="61"/>
  <c r="Q83" i="6"/>
  <c r="AO99" i="6"/>
  <c r="S99" i="6"/>
  <c r="E285" i="7" s="1"/>
  <c r="B358" i="61"/>
  <c r="Q99" i="6"/>
  <c r="T99" i="6"/>
  <c r="F285" i="7" s="1"/>
  <c r="A285" i="7"/>
  <c r="AO115" i="6"/>
  <c r="S115" i="6"/>
  <c r="E301" i="7" s="1"/>
  <c r="B422" i="61"/>
  <c r="Q115" i="6"/>
  <c r="T115" i="6"/>
  <c r="F301" i="7" s="1"/>
  <c r="A301" i="7"/>
  <c r="AO131" i="6"/>
  <c r="S131" i="6"/>
  <c r="E317" i="7" s="1"/>
  <c r="B486" i="61"/>
  <c r="Q131" i="6"/>
  <c r="T131" i="6"/>
  <c r="F317" i="7" s="1"/>
  <c r="A317" i="7"/>
  <c r="W149" i="6"/>
  <c r="C530" i="7" s="1"/>
  <c r="Z149" i="6"/>
  <c r="F530" i="7" s="1"/>
  <c r="AP149" i="6"/>
  <c r="A530" i="7"/>
  <c r="Y149" i="6"/>
  <c r="E530" i="7" s="1"/>
  <c r="AN42" i="6"/>
  <c r="K42" i="6"/>
  <c r="A36" i="7"/>
  <c r="B129" i="61"/>
  <c r="M42" i="6"/>
  <c r="N42" i="6"/>
  <c r="F36" i="7" s="1"/>
  <c r="Z32" i="6"/>
  <c r="F413" i="7" s="1"/>
  <c r="A413" i="7"/>
  <c r="AP32" i="6"/>
  <c r="W32" i="6"/>
  <c r="B91" i="61"/>
  <c r="Y32" i="6"/>
  <c r="E413" i="7" s="1"/>
  <c r="AO58" i="6"/>
  <c r="A244" i="7"/>
  <c r="T58" i="6"/>
  <c r="F244" i="7" s="1"/>
  <c r="Q58" i="6"/>
  <c r="B194" i="61"/>
  <c r="S58" i="6"/>
  <c r="E244" i="7" s="1"/>
  <c r="AO90" i="6"/>
  <c r="A276" i="7"/>
  <c r="T90" i="6"/>
  <c r="F276" i="7" s="1"/>
  <c r="Q90" i="6"/>
  <c r="B322" i="61"/>
  <c r="S90" i="6"/>
  <c r="E276" i="7" s="1"/>
  <c r="B484" i="61"/>
  <c r="AB130" i="6"/>
  <c r="C484" i="61" s="1"/>
  <c r="AQ130" i="6"/>
  <c r="AC130" i="6"/>
  <c r="D484" i="61" s="1"/>
  <c r="AF130" i="6"/>
  <c r="AE130" i="6"/>
  <c r="AD130" i="6"/>
  <c r="E484" i="61" s="1"/>
  <c r="AO100" i="6"/>
  <c r="A286" i="7"/>
  <c r="B362" i="61"/>
  <c r="S100" i="6"/>
  <c r="E286" i="7" s="1"/>
  <c r="T100" i="6"/>
  <c r="F286" i="7" s="1"/>
  <c r="Q100" i="6"/>
  <c r="S120" i="6"/>
  <c r="E306" i="7" s="1"/>
  <c r="B442" i="61"/>
  <c r="Q120" i="6"/>
  <c r="T120" i="6"/>
  <c r="F306" i="7" s="1"/>
  <c r="AO120" i="6"/>
  <c r="A306" i="7"/>
  <c r="S136" i="6"/>
  <c r="E322" i="7" s="1"/>
  <c r="B506" i="61"/>
  <c r="Q136" i="6"/>
  <c r="T136" i="6"/>
  <c r="F322" i="7" s="1"/>
  <c r="AO136" i="6"/>
  <c r="A322" i="7"/>
  <c r="AD173" i="6"/>
  <c r="AQ173" i="6"/>
  <c r="AE173" i="6"/>
  <c r="AB173" i="6"/>
  <c r="AC173" i="6"/>
  <c r="AF173" i="6"/>
  <c r="B204" i="61"/>
  <c r="AB60" i="6"/>
  <c r="C204" i="61" s="1"/>
  <c r="AE60" i="6"/>
  <c r="AD60" i="6"/>
  <c r="E204" i="61" s="1"/>
  <c r="AQ60" i="6"/>
  <c r="AC60" i="6"/>
  <c r="D204" i="61" s="1"/>
  <c r="AF60" i="6"/>
  <c r="AQ15" i="6"/>
  <c r="AE15" i="6"/>
  <c r="AC15" i="6"/>
  <c r="D24" i="61" s="1"/>
  <c r="AF15" i="6"/>
  <c r="AD15" i="6"/>
  <c r="E24" i="61" s="1"/>
  <c r="AB15" i="6"/>
  <c r="C24" i="61" s="1"/>
  <c r="B24" i="61"/>
  <c r="AQ23" i="6"/>
  <c r="AF23" i="6"/>
  <c r="AE23" i="6"/>
  <c r="B56" i="61"/>
  <c r="AC23" i="6"/>
  <c r="D56" i="61" s="1"/>
  <c r="AB23" i="6"/>
  <c r="C56" i="61" s="1"/>
  <c r="AD23" i="6"/>
  <c r="E56" i="61" s="1"/>
  <c r="AC35" i="6"/>
  <c r="D104" i="61" s="1"/>
  <c r="AB35" i="6"/>
  <c r="C104" i="61" s="1"/>
  <c r="AE35" i="6"/>
  <c r="B104" i="61"/>
  <c r="AF35" i="6"/>
  <c r="AQ35" i="6"/>
  <c r="AD35" i="6"/>
  <c r="E104" i="61" s="1"/>
  <c r="AC51" i="6"/>
  <c r="D168" i="61" s="1"/>
  <c r="AF51" i="6"/>
  <c r="AD51" i="6"/>
  <c r="E168" i="61" s="1"/>
  <c r="B168" i="61"/>
  <c r="AQ51" i="6"/>
  <c r="AB51" i="6"/>
  <c r="C168" i="61" s="1"/>
  <c r="AE51" i="6"/>
  <c r="AC67" i="6"/>
  <c r="D232" i="61" s="1"/>
  <c r="AF67" i="6"/>
  <c r="AE67" i="6"/>
  <c r="B232" i="61"/>
  <c r="AD67" i="6"/>
  <c r="E232" i="61" s="1"/>
  <c r="AB67" i="6"/>
  <c r="C232" i="61" s="1"/>
  <c r="AQ67" i="6"/>
  <c r="AC83" i="6"/>
  <c r="D296" i="61" s="1"/>
  <c r="AF83" i="6"/>
  <c r="AD83" i="6"/>
  <c r="E296" i="61" s="1"/>
  <c r="B296" i="61"/>
  <c r="AQ83" i="6"/>
  <c r="AB83" i="6"/>
  <c r="C296" i="61" s="1"/>
  <c r="AE83" i="6"/>
  <c r="AC99" i="6"/>
  <c r="D360" i="61" s="1"/>
  <c r="AB99" i="6"/>
  <c r="C360" i="61" s="1"/>
  <c r="AQ99" i="6"/>
  <c r="B360" i="61"/>
  <c r="AF99" i="6"/>
  <c r="AE99" i="6"/>
  <c r="AD99" i="6"/>
  <c r="E360" i="61" s="1"/>
  <c r="AC115" i="6"/>
  <c r="D424" i="61" s="1"/>
  <c r="AB115" i="6"/>
  <c r="C424" i="61" s="1"/>
  <c r="AQ115" i="6"/>
  <c r="B424" i="61"/>
  <c r="AF115" i="6"/>
  <c r="AE115" i="6"/>
  <c r="AD115" i="6"/>
  <c r="E424" i="61" s="1"/>
  <c r="AC131" i="6"/>
  <c r="D488" i="61" s="1"/>
  <c r="AB131" i="6"/>
  <c r="C488" i="61" s="1"/>
  <c r="AQ131" i="6"/>
  <c r="B488" i="61"/>
  <c r="AF131" i="6"/>
  <c r="AE131" i="6"/>
  <c r="AD131" i="6"/>
  <c r="E488" i="61" s="1"/>
  <c r="Z151" i="6"/>
  <c r="F532" i="7" s="1"/>
  <c r="AP151" i="6"/>
  <c r="W151" i="6"/>
  <c r="C532" i="7" s="1"/>
  <c r="Y151" i="6"/>
  <c r="E532" i="7" s="1"/>
  <c r="A532" i="7"/>
  <c r="T48" i="6"/>
  <c r="F234" i="7" s="1"/>
  <c r="A234" i="7"/>
  <c r="AO48" i="6"/>
  <c r="S48" i="6"/>
  <c r="E234" i="7" s="1"/>
  <c r="B154" i="61"/>
  <c r="Q48" i="6"/>
  <c r="S34" i="6"/>
  <c r="E220" i="7" s="1"/>
  <c r="T34" i="6"/>
  <c r="F220" i="7" s="1"/>
  <c r="A220" i="7"/>
  <c r="Q34" i="6"/>
  <c r="B98" i="61"/>
  <c r="AO34" i="6"/>
  <c r="AD58" i="6"/>
  <c r="E196" i="61" s="1"/>
  <c r="B196" i="61"/>
  <c r="AB58" i="6"/>
  <c r="C196" i="61" s="1"/>
  <c r="AQ58" i="6"/>
  <c r="AC58" i="6"/>
  <c r="D196" i="61" s="1"/>
  <c r="AF58" i="6"/>
  <c r="AE58" i="6"/>
  <c r="AQ90" i="6"/>
  <c r="B324" i="61"/>
  <c r="AB90" i="6"/>
  <c r="C324" i="61" s="1"/>
  <c r="AC90" i="6"/>
  <c r="D324" i="61" s="1"/>
  <c r="AD90" i="6"/>
  <c r="E324" i="61" s="1"/>
  <c r="AF90" i="6"/>
  <c r="AE90" i="6"/>
  <c r="AC134" i="6"/>
  <c r="D500" i="61" s="1"/>
  <c r="AF134" i="6"/>
  <c r="AE134" i="6"/>
  <c r="AD134" i="6"/>
  <c r="E500" i="61" s="1"/>
  <c r="B500" i="61"/>
  <c r="AB134" i="6"/>
  <c r="C500" i="61" s="1"/>
  <c r="AQ134" i="6"/>
  <c r="B161" i="61"/>
  <c r="AN50" i="6"/>
  <c r="N50" i="6"/>
  <c r="F44" i="7" s="1"/>
  <c r="A44" i="7"/>
  <c r="K50" i="6"/>
  <c r="M50" i="6"/>
  <c r="AD124" i="6"/>
  <c r="E460" i="61" s="1"/>
  <c r="AF124" i="6"/>
  <c r="AE124" i="6"/>
  <c r="AQ124" i="6"/>
  <c r="AC124" i="6"/>
  <c r="D460" i="61" s="1"/>
  <c r="AB124" i="6"/>
  <c r="C460" i="61" s="1"/>
  <c r="B460" i="61"/>
  <c r="AQ140" i="6"/>
  <c r="AB140" i="6"/>
  <c r="AC140" i="6"/>
  <c r="AD140" i="6"/>
  <c r="AF140" i="6"/>
  <c r="AE140" i="6"/>
  <c r="K195" i="6"/>
  <c r="C189" i="7" s="1"/>
  <c r="M195" i="6"/>
  <c r="N195" i="6"/>
  <c r="F189" i="7" s="1"/>
  <c r="A189" i="7"/>
  <c r="AN195" i="6"/>
  <c r="K78" i="6"/>
  <c r="N78" i="6"/>
  <c r="F72" i="7" s="1"/>
  <c r="AN78" i="6"/>
  <c r="A72" i="7"/>
  <c r="B273" i="61"/>
  <c r="M78" i="6"/>
  <c r="M18" i="6"/>
  <c r="J18" i="6"/>
  <c r="B33" i="61"/>
  <c r="K18" i="6"/>
  <c r="N18" i="6"/>
  <c r="F12" i="7" s="1"/>
  <c r="L18" i="6"/>
  <c r="AN18" i="6"/>
  <c r="A12" i="7"/>
  <c r="M26" i="6"/>
  <c r="J26" i="6"/>
  <c r="B65" i="61"/>
  <c r="K26" i="6"/>
  <c r="N26" i="6"/>
  <c r="F20" i="7" s="1"/>
  <c r="L26" i="6"/>
  <c r="AN26" i="6"/>
  <c r="A20" i="7"/>
  <c r="B378" i="61"/>
  <c r="Q104" i="6"/>
  <c r="T104" i="6"/>
  <c r="F290" i="7" s="1"/>
  <c r="AO104" i="6"/>
  <c r="A290" i="7"/>
  <c r="S104" i="6"/>
  <c r="E290" i="7" s="1"/>
  <c r="K106" i="6"/>
  <c r="M106" i="6"/>
  <c r="B385" i="61"/>
  <c r="AN106" i="6"/>
  <c r="N106" i="6"/>
  <c r="F100" i="7" s="1"/>
  <c r="A100" i="7"/>
  <c r="K138" i="6"/>
  <c r="M138" i="6"/>
  <c r="B513" i="61"/>
  <c r="AN138" i="6"/>
  <c r="N138" i="6"/>
  <c r="F132" i="7" s="1"/>
  <c r="A132" i="7"/>
  <c r="AF181" i="6"/>
  <c r="AE181" i="6"/>
  <c r="AQ181" i="6"/>
  <c r="AB181" i="6"/>
  <c r="AC181" i="6"/>
  <c r="AD181" i="6"/>
  <c r="AP66" i="6"/>
  <c r="Z66" i="6"/>
  <c r="F447" i="7" s="1"/>
  <c r="B227" i="61"/>
  <c r="A447" i="7"/>
  <c r="W66" i="6"/>
  <c r="Y66" i="6"/>
  <c r="E447" i="7" s="1"/>
  <c r="Z16" i="6"/>
  <c r="F397" i="7" s="1"/>
  <c r="A397" i="7"/>
  <c r="X16" i="6"/>
  <c r="Y16" i="6"/>
  <c r="E397" i="7" s="1"/>
  <c r="W16" i="6"/>
  <c r="B27" i="61"/>
  <c r="AP16" i="6"/>
  <c r="V16" i="6"/>
  <c r="Z24" i="6"/>
  <c r="F405" i="7" s="1"/>
  <c r="A405" i="7"/>
  <c r="AP24" i="6"/>
  <c r="X24" i="6"/>
  <c r="W24" i="6"/>
  <c r="B59" i="61"/>
  <c r="Y24" i="6"/>
  <c r="E405" i="7" s="1"/>
  <c r="V24" i="6"/>
  <c r="B111" i="61"/>
  <c r="A418" i="7"/>
  <c r="AP37" i="6"/>
  <c r="Z37" i="6"/>
  <c r="F418" i="7" s="1"/>
  <c r="W37" i="6"/>
  <c r="Y37" i="6"/>
  <c r="E418" i="7" s="1"/>
  <c r="B175" i="61"/>
  <c r="A434" i="7"/>
  <c r="AP53" i="6"/>
  <c r="Z53" i="6"/>
  <c r="F434" i="7" s="1"/>
  <c r="W53" i="6"/>
  <c r="Y53" i="6"/>
  <c r="E434" i="7" s="1"/>
  <c r="B239" i="61"/>
  <c r="A450" i="7"/>
  <c r="AP69" i="6"/>
  <c r="Z69" i="6"/>
  <c r="F450" i="7" s="1"/>
  <c r="W69" i="6"/>
  <c r="Y69" i="6"/>
  <c r="E450" i="7" s="1"/>
  <c r="AP85" i="6"/>
  <c r="Z85" i="6"/>
  <c r="F466" i="7" s="1"/>
  <c r="W85" i="6"/>
  <c r="Y85" i="6"/>
  <c r="E466" i="7" s="1"/>
  <c r="B303" i="61"/>
  <c r="A466" i="7"/>
  <c r="AP101" i="6"/>
  <c r="Z101" i="6"/>
  <c r="F482" i="7" s="1"/>
  <c r="W101" i="6"/>
  <c r="Y101" i="6"/>
  <c r="E482" i="7" s="1"/>
  <c r="B367" i="61"/>
  <c r="A482" i="7"/>
  <c r="AP117" i="6"/>
  <c r="Z117" i="6"/>
  <c r="F498" i="7" s="1"/>
  <c r="W117" i="6"/>
  <c r="Y117" i="6"/>
  <c r="E498" i="7" s="1"/>
  <c r="B431" i="61"/>
  <c r="A498" i="7"/>
  <c r="AP133" i="6"/>
  <c r="Z133" i="6"/>
  <c r="F514" i="7" s="1"/>
  <c r="W133" i="6"/>
  <c r="Y133" i="6"/>
  <c r="E514" i="7" s="1"/>
  <c r="B495" i="61"/>
  <c r="A514" i="7"/>
  <c r="Z159" i="6"/>
  <c r="F540" i="7" s="1"/>
  <c r="AP159" i="6"/>
  <c r="A540" i="7"/>
  <c r="Y159" i="6"/>
  <c r="E540" i="7" s="1"/>
  <c r="W159" i="6"/>
  <c r="C540" i="7" s="1"/>
  <c r="B234" i="61"/>
  <c r="S68" i="6"/>
  <c r="E254" i="7" s="1"/>
  <c r="AO68" i="6"/>
  <c r="A254" i="7"/>
  <c r="Q68" i="6"/>
  <c r="T68" i="6"/>
  <c r="F254" i="7" s="1"/>
  <c r="M36" i="6"/>
  <c r="AN36" i="6"/>
  <c r="B105" i="61"/>
  <c r="N36" i="6"/>
  <c r="F30" i="7" s="1"/>
  <c r="K36" i="6"/>
  <c r="A30" i="7"/>
  <c r="AF62" i="6"/>
  <c r="B212" i="61"/>
  <c r="AB62" i="6"/>
  <c r="C212" i="61" s="1"/>
  <c r="AC62" i="6"/>
  <c r="D212" i="61" s="1"/>
  <c r="AE62" i="6"/>
  <c r="AQ62" i="6"/>
  <c r="AD62" i="6"/>
  <c r="E212" i="61" s="1"/>
  <c r="AF94" i="6"/>
  <c r="B340" i="61"/>
  <c r="AB94" i="6"/>
  <c r="C340" i="61" s="1"/>
  <c r="AQ94" i="6"/>
  <c r="AD94" i="6"/>
  <c r="E340" i="61" s="1"/>
  <c r="AE94" i="6"/>
  <c r="AC94" i="6"/>
  <c r="D340" i="61" s="1"/>
  <c r="AD142" i="6"/>
  <c r="AQ142" i="6"/>
  <c r="AC142" i="6"/>
  <c r="AE142" i="6"/>
  <c r="AF142" i="6"/>
  <c r="AB142" i="6"/>
  <c r="A222" i="7"/>
  <c r="B106" i="61"/>
  <c r="S36" i="6"/>
  <c r="E222" i="7" s="1"/>
  <c r="Q36" i="6"/>
  <c r="AO36" i="6"/>
  <c r="T36" i="6"/>
  <c r="F222" i="7" s="1"/>
  <c r="AE28" i="6"/>
  <c r="AB28" i="6"/>
  <c r="C76" i="61" s="1"/>
  <c r="AF28" i="6"/>
  <c r="AC28" i="6"/>
  <c r="D76" i="61" s="1"/>
  <c r="B76" i="61"/>
  <c r="AQ28" i="6"/>
  <c r="AD28" i="6"/>
  <c r="E76" i="61" s="1"/>
  <c r="AD84" i="6"/>
  <c r="E300" i="61" s="1"/>
  <c r="AF84" i="6"/>
  <c r="AC84" i="6"/>
  <c r="D300" i="61" s="1"/>
  <c r="AB84" i="6"/>
  <c r="C300" i="61" s="1"/>
  <c r="AQ84" i="6"/>
  <c r="AE84" i="6"/>
  <c r="B300" i="61"/>
  <c r="Z106" i="6"/>
  <c r="F487" i="7" s="1"/>
  <c r="Y106" i="6"/>
  <c r="E487" i="7" s="1"/>
  <c r="AP106" i="6"/>
  <c r="B387" i="61"/>
  <c r="A487" i="7"/>
  <c r="W106" i="6"/>
  <c r="W122" i="6"/>
  <c r="Z122" i="6"/>
  <c r="F503" i="7" s="1"/>
  <c r="A503" i="7"/>
  <c r="B451" i="61"/>
  <c r="Y122" i="6"/>
  <c r="E503" i="7" s="1"/>
  <c r="AP122" i="6"/>
  <c r="W138" i="6"/>
  <c r="Z138" i="6"/>
  <c r="F519" i="7" s="1"/>
  <c r="A519" i="7"/>
  <c r="B515" i="61"/>
  <c r="Y138" i="6"/>
  <c r="E519" i="7" s="1"/>
  <c r="AP138" i="6"/>
  <c r="M187" i="6"/>
  <c r="K187" i="6"/>
  <c r="C181" i="7" s="1"/>
  <c r="N187" i="6"/>
  <c r="F181" i="7" s="1"/>
  <c r="AN187" i="6"/>
  <c r="A181" i="7"/>
  <c r="A68" i="7"/>
  <c r="M74" i="6"/>
  <c r="B257" i="61"/>
  <c r="AN74" i="6"/>
  <c r="N74" i="6"/>
  <c r="F68" i="7" s="1"/>
  <c r="K74" i="6"/>
  <c r="P17" i="6"/>
  <c r="Q17" i="6"/>
  <c r="A203" i="7"/>
  <c r="S17" i="6"/>
  <c r="E203" i="7" s="1"/>
  <c r="T17" i="6"/>
  <c r="F203" i="7" s="1"/>
  <c r="B30" i="61"/>
  <c r="R17" i="6"/>
  <c r="AO17" i="6"/>
  <c r="P25" i="6"/>
  <c r="Q25" i="6"/>
  <c r="A211" i="7"/>
  <c r="S25" i="6"/>
  <c r="E211" i="7" s="1"/>
  <c r="T25" i="6"/>
  <c r="F211" i="7" s="1"/>
  <c r="B62" i="61"/>
  <c r="R25" i="6"/>
  <c r="AO25" i="6"/>
  <c r="AO39" i="6"/>
  <c r="Q39" i="6"/>
  <c r="T39" i="6"/>
  <c r="F225" i="7" s="1"/>
  <c r="S39" i="6"/>
  <c r="E225" i="7" s="1"/>
  <c r="B118" i="61"/>
  <c r="A225" i="7"/>
  <c r="AO55" i="6"/>
  <c r="Q55" i="6"/>
  <c r="T55" i="6"/>
  <c r="F241" i="7" s="1"/>
  <c r="S55" i="6"/>
  <c r="E241" i="7" s="1"/>
  <c r="B182" i="61"/>
  <c r="A241" i="7"/>
  <c r="AO71" i="6"/>
  <c r="Q71" i="6"/>
  <c r="T71" i="6"/>
  <c r="F257" i="7" s="1"/>
  <c r="S71" i="6"/>
  <c r="E257" i="7" s="1"/>
  <c r="B246" i="61"/>
  <c r="A257" i="7"/>
  <c r="AO87" i="6"/>
  <c r="Q87" i="6"/>
  <c r="T87" i="6"/>
  <c r="F273" i="7" s="1"/>
  <c r="S87" i="6"/>
  <c r="E273" i="7" s="1"/>
  <c r="B310" i="61"/>
  <c r="A273" i="7"/>
  <c r="B374" i="61"/>
  <c r="A289" i="7"/>
  <c r="AO103" i="6"/>
  <c r="Q103" i="6"/>
  <c r="T103" i="6"/>
  <c r="F289" i="7" s="1"/>
  <c r="S103" i="6"/>
  <c r="E289" i="7" s="1"/>
  <c r="B438" i="61"/>
  <c r="A305" i="7"/>
  <c r="AO119" i="6"/>
  <c r="Q119" i="6"/>
  <c r="T119" i="6"/>
  <c r="F305" i="7" s="1"/>
  <c r="S119" i="6"/>
  <c r="E305" i="7" s="1"/>
  <c r="B502" i="61"/>
  <c r="A321" i="7"/>
  <c r="AO135" i="6"/>
  <c r="Q135" i="6"/>
  <c r="T135" i="6"/>
  <c r="F321" i="7" s="1"/>
  <c r="S135" i="6"/>
  <c r="E321" i="7" s="1"/>
  <c r="T165" i="6"/>
  <c r="F354" i="7" s="1"/>
  <c r="Q165" i="6"/>
  <c r="C354" i="7" s="1"/>
  <c r="A354" i="7"/>
  <c r="AO165" i="6"/>
  <c r="S165" i="6"/>
  <c r="E354" i="7" s="1"/>
  <c r="A258" i="7"/>
  <c r="B250" i="61"/>
  <c r="S72" i="6"/>
  <c r="E258" i="7" s="1"/>
  <c r="T72" i="6"/>
  <c r="F258" i="7" s="1"/>
  <c r="Q72" i="6"/>
  <c r="AO72" i="6"/>
  <c r="Z36" i="6"/>
  <c r="F417" i="7" s="1"/>
  <c r="AP36" i="6"/>
  <c r="A417" i="7"/>
  <c r="B107" i="61"/>
  <c r="W36" i="6"/>
  <c r="Y36" i="6"/>
  <c r="E417" i="7" s="1"/>
  <c r="A252" i="7"/>
  <c r="S66" i="6"/>
  <c r="E252" i="7" s="1"/>
  <c r="B226" i="61"/>
  <c r="AO66" i="6"/>
  <c r="Q66" i="6"/>
  <c r="T66" i="6"/>
  <c r="F252" i="7" s="1"/>
  <c r="A284" i="7"/>
  <c r="Q98" i="6"/>
  <c r="B354" i="61"/>
  <c r="AO98" i="6"/>
  <c r="S98" i="6"/>
  <c r="E284" i="7" s="1"/>
  <c r="T98" i="6"/>
  <c r="F284" i="7" s="1"/>
  <c r="T149" i="6"/>
  <c r="F338" i="7" s="1"/>
  <c r="S149" i="6"/>
  <c r="E338" i="7" s="1"/>
  <c r="Q149" i="6"/>
  <c r="C338" i="7" s="1"/>
  <c r="A338" i="7"/>
  <c r="AO149" i="6"/>
  <c r="B394" i="61"/>
  <c r="Q108" i="6"/>
  <c r="T108" i="6"/>
  <c r="F294" i="7" s="1"/>
  <c r="A294" i="7"/>
  <c r="AO108" i="6"/>
  <c r="S108" i="6"/>
  <c r="E294" i="7" s="1"/>
  <c r="B458" i="61"/>
  <c r="Q124" i="6"/>
  <c r="T124" i="6"/>
  <c r="F310" i="7" s="1"/>
  <c r="A310" i="7"/>
  <c r="AO124" i="6"/>
  <c r="S124" i="6"/>
  <c r="E310" i="7" s="1"/>
  <c r="A329" i="7"/>
  <c r="S140" i="6"/>
  <c r="E329" i="7" s="1"/>
  <c r="Q140" i="6"/>
  <c r="C329" i="7" s="1"/>
  <c r="T140" i="6"/>
  <c r="F329" i="7" s="1"/>
  <c r="AO140" i="6"/>
  <c r="AB189" i="6"/>
  <c r="AD189" i="6"/>
  <c r="AF189" i="6"/>
  <c r="AE189" i="6"/>
  <c r="AQ189" i="6"/>
  <c r="AC189" i="6"/>
  <c r="AB76" i="6"/>
  <c r="C268" i="61" s="1"/>
  <c r="B268" i="61"/>
  <c r="AC76" i="6"/>
  <c r="D268" i="61" s="1"/>
  <c r="AQ76" i="6"/>
  <c r="AE76" i="6"/>
  <c r="AD76" i="6"/>
  <c r="E268" i="61" s="1"/>
  <c r="AF76" i="6"/>
  <c r="AD17" i="6"/>
  <c r="E32" i="61" s="1"/>
  <c r="AQ17" i="6"/>
  <c r="AF17" i="6"/>
  <c r="AE17" i="6"/>
  <c r="B32" i="61"/>
  <c r="AC17" i="6"/>
  <c r="D32" i="61" s="1"/>
  <c r="AB17" i="6"/>
  <c r="C32" i="61" s="1"/>
  <c r="AD25" i="6"/>
  <c r="E64" i="61" s="1"/>
  <c r="AQ25" i="6"/>
  <c r="AF25" i="6"/>
  <c r="AE25" i="6"/>
  <c r="B64" i="61"/>
  <c r="AC25" i="6"/>
  <c r="D64" i="61" s="1"/>
  <c r="AB25" i="6"/>
  <c r="C64" i="61" s="1"/>
  <c r="AE39" i="6"/>
  <c r="AD39" i="6"/>
  <c r="E120" i="61" s="1"/>
  <c r="AC39" i="6"/>
  <c r="D120" i="61" s="1"/>
  <c r="AB39" i="6"/>
  <c r="C120" i="61" s="1"/>
  <c r="AQ39" i="6"/>
  <c r="B120" i="61"/>
  <c r="AF39" i="6"/>
  <c r="AE55" i="6"/>
  <c r="AD55" i="6"/>
  <c r="E184" i="61" s="1"/>
  <c r="AC55" i="6"/>
  <c r="D184" i="61" s="1"/>
  <c r="AB55" i="6"/>
  <c r="C184" i="61" s="1"/>
  <c r="AQ55" i="6"/>
  <c r="B184" i="61"/>
  <c r="AF55" i="6"/>
  <c r="AE71" i="6"/>
  <c r="AQ71" i="6"/>
  <c r="AC71" i="6"/>
  <c r="D248" i="61" s="1"/>
  <c r="AB71" i="6"/>
  <c r="C248" i="61" s="1"/>
  <c r="AD71" i="6"/>
  <c r="E248" i="61" s="1"/>
  <c r="B248" i="61"/>
  <c r="AF71" i="6"/>
  <c r="AE87" i="6"/>
  <c r="AD87" i="6"/>
  <c r="E312" i="61" s="1"/>
  <c r="AC87" i="6"/>
  <c r="D312" i="61" s="1"/>
  <c r="AB87" i="6"/>
  <c r="C312" i="61" s="1"/>
  <c r="AQ87" i="6"/>
  <c r="B312" i="61"/>
  <c r="AF87" i="6"/>
  <c r="AE103" i="6"/>
  <c r="AD103" i="6"/>
  <c r="E376" i="61" s="1"/>
  <c r="AC103" i="6"/>
  <c r="D376" i="61" s="1"/>
  <c r="AB103" i="6"/>
  <c r="C376" i="61" s="1"/>
  <c r="AQ103" i="6"/>
  <c r="B376" i="61"/>
  <c r="AF103" i="6"/>
  <c r="AE119" i="6"/>
  <c r="AD119" i="6"/>
  <c r="E440" i="61" s="1"/>
  <c r="AC119" i="6"/>
  <c r="D440" i="61" s="1"/>
  <c r="AB119" i="6"/>
  <c r="C440" i="61" s="1"/>
  <c r="AQ119" i="6"/>
  <c r="B440" i="61"/>
  <c r="AF119" i="6"/>
  <c r="AE135" i="6"/>
  <c r="AD135" i="6"/>
  <c r="E504" i="61" s="1"/>
  <c r="AC135" i="6"/>
  <c r="D504" i="61" s="1"/>
  <c r="AB135" i="6"/>
  <c r="C504" i="61" s="1"/>
  <c r="AQ135" i="6"/>
  <c r="B504" i="61"/>
  <c r="AF135" i="6"/>
  <c r="A548" i="7"/>
  <c r="Z167" i="6"/>
  <c r="F548" i="7" s="1"/>
  <c r="Y167" i="6"/>
  <c r="E548" i="7" s="1"/>
  <c r="W167" i="6"/>
  <c r="C548" i="7" s="1"/>
  <c r="AP167" i="6"/>
  <c r="Q88" i="6"/>
  <c r="T88" i="6"/>
  <c r="F274" i="7" s="1"/>
  <c r="B314" i="61"/>
  <c r="S88" i="6"/>
  <c r="E274" i="7" s="1"/>
  <c r="AO88" i="6"/>
  <c r="A274" i="7"/>
  <c r="A224" i="7"/>
  <c r="T38" i="6"/>
  <c r="F224" i="7" s="1"/>
  <c r="S38" i="6"/>
  <c r="E224" i="7" s="1"/>
  <c r="B114" i="61"/>
  <c r="AO38" i="6"/>
  <c r="Q38" i="6"/>
  <c r="AB66" i="6"/>
  <c r="C228" i="61" s="1"/>
  <c r="AE66" i="6"/>
  <c r="AD66" i="6"/>
  <c r="E228" i="61" s="1"/>
  <c r="AF66" i="6"/>
  <c r="AC66" i="6"/>
  <c r="D228" i="61" s="1"/>
  <c r="AQ66" i="6"/>
  <c r="B228" i="61"/>
  <c r="AB98" i="6"/>
  <c r="C356" i="61" s="1"/>
  <c r="AQ98" i="6"/>
  <c r="AC98" i="6"/>
  <c r="D356" i="61" s="1"/>
  <c r="AF98" i="6"/>
  <c r="AE98" i="6"/>
  <c r="AD98" i="6"/>
  <c r="E356" i="61" s="1"/>
  <c r="B356" i="61"/>
  <c r="AQ161" i="6"/>
  <c r="AC161" i="6"/>
  <c r="AB161" i="6"/>
  <c r="AF161" i="6"/>
  <c r="AD161" i="6"/>
  <c r="AE161" i="6"/>
  <c r="AB88" i="6"/>
  <c r="C316" i="61" s="1"/>
  <c r="AQ88" i="6"/>
  <c r="AC88" i="6"/>
  <c r="D316" i="61" s="1"/>
  <c r="AF88" i="6"/>
  <c r="B316" i="61"/>
  <c r="AD88" i="6"/>
  <c r="E316" i="61" s="1"/>
  <c r="AE88" i="6"/>
  <c r="AC128" i="6"/>
  <c r="D476" i="61" s="1"/>
  <c r="B476" i="61"/>
  <c r="AF128" i="6"/>
  <c r="AQ128" i="6"/>
  <c r="AB128" i="6"/>
  <c r="C476" i="61" s="1"/>
  <c r="AD128" i="6"/>
  <c r="E476" i="61" s="1"/>
  <c r="AE128" i="6"/>
  <c r="AF147" i="6"/>
  <c r="AQ147" i="6"/>
  <c r="AE147" i="6"/>
  <c r="AD147" i="6"/>
  <c r="AB147" i="6"/>
  <c r="AC147" i="6"/>
  <c r="B108" i="61"/>
  <c r="AD36" i="6"/>
  <c r="E108" i="61" s="1"/>
  <c r="AF36" i="6"/>
  <c r="AE36" i="6"/>
  <c r="AQ36" i="6"/>
  <c r="AC36" i="6"/>
  <c r="D108" i="61" s="1"/>
  <c r="AB36" i="6"/>
  <c r="C108" i="61" s="1"/>
  <c r="AD92" i="6"/>
  <c r="E332" i="61" s="1"/>
  <c r="AB92" i="6"/>
  <c r="C332" i="61" s="1"/>
  <c r="AE92" i="6"/>
  <c r="B332" i="61"/>
  <c r="AC92" i="6"/>
  <c r="D332" i="61" s="1"/>
  <c r="AQ92" i="6"/>
  <c r="AF92" i="6"/>
  <c r="N20" i="6"/>
  <c r="F14" i="7" s="1"/>
  <c r="L20" i="6"/>
  <c r="A14" i="7"/>
  <c r="AN20" i="6"/>
  <c r="J20" i="6"/>
  <c r="M20" i="6"/>
  <c r="B41" i="61"/>
  <c r="K20" i="6"/>
  <c r="N29" i="6"/>
  <c r="F23" i="7" s="1"/>
  <c r="A23" i="7"/>
  <c r="AN29" i="6"/>
  <c r="M29" i="6"/>
  <c r="B77" i="61"/>
  <c r="K29" i="6"/>
  <c r="AC120" i="6"/>
  <c r="D444" i="61" s="1"/>
  <c r="AB120" i="6"/>
  <c r="C444" i="61" s="1"/>
  <c r="B444" i="61"/>
  <c r="AD120" i="6"/>
  <c r="E444" i="61" s="1"/>
  <c r="AF120" i="6"/>
  <c r="AE120" i="6"/>
  <c r="AQ120" i="6"/>
  <c r="B282" i="61"/>
  <c r="S80" i="6"/>
  <c r="E266" i="7" s="1"/>
  <c r="AO80" i="6"/>
  <c r="Q80" i="6"/>
  <c r="A266" i="7"/>
  <c r="T80" i="6"/>
  <c r="F266" i="7" s="1"/>
  <c r="K122" i="6"/>
  <c r="M122" i="6"/>
  <c r="B449" i="61"/>
  <c r="AN122" i="6"/>
  <c r="N122" i="6"/>
  <c r="F116" i="7" s="1"/>
  <c r="A116" i="7"/>
  <c r="AO64" i="6"/>
  <c r="A250" i="7"/>
  <c r="Q64" i="6"/>
  <c r="T64" i="6"/>
  <c r="F250" i="7" s="1"/>
  <c r="B218" i="61"/>
  <c r="S64" i="6"/>
  <c r="E250" i="7" s="1"/>
  <c r="Z38" i="6"/>
  <c r="F419" i="7" s="1"/>
  <c r="A419" i="7"/>
  <c r="B115" i="61"/>
  <c r="Y38" i="6"/>
  <c r="E419" i="7" s="1"/>
  <c r="AP38" i="6"/>
  <c r="W38" i="6"/>
  <c r="B323" i="61"/>
  <c r="AP90" i="6"/>
  <c r="Y90" i="6"/>
  <c r="E471" i="7" s="1"/>
  <c r="A471" i="7"/>
  <c r="W90" i="6"/>
  <c r="Z90" i="6"/>
  <c r="F471" i="7" s="1"/>
  <c r="B401" i="61"/>
  <c r="N110" i="6"/>
  <c r="F104" i="7" s="1"/>
  <c r="AN110" i="6"/>
  <c r="A104" i="7"/>
  <c r="K110" i="6"/>
  <c r="M110" i="6"/>
  <c r="B465" i="61"/>
  <c r="N126" i="6"/>
  <c r="F120" i="7" s="1"/>
  <c r="AN126" i="6"/>
  <c r="A120" i="7"/>
  <c r="K126" i="6"/>
  <c r="M126" i="6"/>
  <c r="AN142" i="6"/>
  <c r="K142" i="6"/>
  <c r="C136" i="7" s="1"/>
  <c r="A136" i="7"/>
  <c r="N142" i="6"/>
  <c r="F136" i="7" s="1"/>
  <c r="M142" i="6"/>
  <c r="AE197" i="6"/>
  <c r="AQ197" i="6"/>
  <c r="AC197" i="6"/>
  <c r="AB197" i="6"/>
  <c r="AF197" i="6"/>
  <c r="AD197" i="6"/>
  <c r="AB80" i="6"/>
  <c r="C284" i="61" s="1"/>
  <c r="AQ80" i="6"/>
  <c r="B284" i="61"/>
  <c r="AF80" i="6"/>
  <c r="AE80" i="6"/>
  <c r="AD80" i="6"/>
  <c r="E284" i="61" s="1"/>
  <c r="AC80" i="6"/>
  <c r="D284" i="61" s="1"/>
  <c r="B35" i="61"/>
  <c r="W18" i="6"/>
  <c r="X18" i="6"/>
  <c r="V18" i="6"/>
  <c r="AP18" i="6"/>
  <c r="A399" i="7"/>
  <c r="Y18" i="6"/>
  <c r="E399" i="7" s="1"/>
  <c r="Z18" i="6"/>
  <c r="F399" i="7" s="1"/>
  <c r="AP26" i="6"/>
  <c r="A407" i="7"/>
  <c r="Z26" i="6"/>
  <c r="F407" i="7" s="1"/>
  <c r="Y26" i="6"/>
  <c r="E407" i="7" s="1"/>
  <c r="B67" i="61"/>
  <c r="W26" i="6"/>
  <c r="W41" i="6"/>
  <c r="A422" i="7"/>
  <c r="AP41" i="6"/>
  <c r="Z41" i="6"/>
  <c r="F422" i="7" s="1"/>
  <c r="B127" i="61"/>
  <c r="Y41" i="6"/>
  <c r="E422" i="7" s="1"/>
  <c r="Y57" i="6"/>
  <c r="E438" i="7" s="1"/>
  <c r="W57" i="6"/>
  <c r="AP57" i="6"/>
  <c r="A438" i="7"/>
  <c r="B191" i="61"/>
  <c r="Z57" i="6"/>
  <c r="F438" i="7" s="1"/>
  <c r="Y73" i="6"/>
  <c r="E454" i="7" s="1"/>
  <c r="W73" i="6"/>
  <c r="AP73" i="6"/>
  <c r="A454" i="7"/>
  <c r="B255" i="61"/>
  <c r="Z73" i="6"/>
  <c r="F454" i="7" s="1"/>
  <c r="W89" i="6"/>
  <c r="AP89" i="6"/>
  <c r="A470" i="7"/>
  <c r="B319" i="61"/>
  <c r="Z89" i="6"/>
  <c r="F470" i="7" s="1"/>
  <c r="Y89" i="6"/>
  <c r="E470" i="7" s="1"/>
  <c r="W105" i="6"/>
  <c r="AP105" i="6"/>
  <c r="A486" i="7"/>
  <c r="B383" i="61"/>
  <c r="Z105" i="6"/>
  <c r="F486" i="7" s="1"/>
  <c r="Y105" i="6"/>
  <c r="E486" i="7" s="1"/>
  <c r="W121" i="6"/>
  <c r="AP121" i="6"/>
  <c r="A502" i="7"/>
  <c r="B447" i="61"/>
  <c r="Z121" i="6"/>
  <c r="F502" i="7" s="1"/>
  <c r="Y121" i="6"/>
  <c r="E502" i="7" s="1"/>
  <c r="W137" i="6"/>
  <c r="AP137" i="6"/>
  <c r="A518" i="7"/>
  <c r="B511" i="61"/>
  <c r="Z137" i="6"/>
  <c r="F518" i="7" s="1"/>
  <c r="Y137" i="6"/>
  <c r="E518" i="7" s="1"/>
  <c r="Z175" i="6"/>
  <c r="F556" i="7" s="1"/>
  <c r="A556" i="7"/>
  <c r="AP175" i="6"/>
  <c r="W175" i="6"/>
  <c r="C556" i="7" s="1"/>
  <c r="Y175" i="6"/>
  <c r="E556" i="7" s="1"/>
  <c r="AQ11" i="6"/>
  <c r="AD11" i="6"/>
  <c r="E8" i="61" s="1"/>
  <c r="AB11" i="6"/>
  <c r="C8" i="61" s="1"/>
  <c r="B8" i="61"/>
  <c r="AC11" i="6"/>
  <c r="D8" i="61" s="1"/>
  <c r="AF11" i="6"/>
  <c r="AE11" i="6"/>
  <c r="B121" i="61"/>
  <c r="M40" i="6"/>
  <c r="N40" i="6"/>
  <c r="F34" i="7" s="1"/>
  <c r="AN40" i="6"/>
  <c r="K40" i="6"/>
  <c r="A34" i="7"/>
  <c r="AF70" i="6"/>
  <c r="AE70" i="6"/>
  <c r="AB70" i="6"/>
  <c r="C244" i="61" s="1"/>
  <c r="AC70" i="6"/>
  <c r="D244" i="61" s="1"/>
  <c r="AQ70" i="6"/>
  <c r="AD70" i="6"/>
  <c r="E244" i="61" s="1"/>
  <c r="B244" i="61"/>
  <c r="AF102" i="6"/>
  <c r="AE102" i="6"/>
  <c r="AB102" i="6"/>
  <c r="C372" i="61" s="1"/>
  <c r="AQ102" i="6"/>
  <c r="B372" i="61"/>
  <c r="AD102" i="6"/>
  <c r="E372" i="61" s="1"/>
  <c r="AC102" i="6"/>
  <c r="D372" i="61" s="1"/>
  <c r="AB193" i="6"/>
  <c r="AF193" i="6"/>
  <c r="AE193" i="6"/>
  <c r="AD193" i="6"/>
  <c r="AC193" i="6"/>
  <c r="AQ193" i="6"/>
  <c r="W78" i="6"/>
  <c r="AP78" i="6"/>
  <c r="Z78" i="6"/>
  <c r="F459" i="7" s="1"/>
  <c r="B275" i="61"/>
  <c r="A459" i="7"/>
  <c r="Y78" i="6"/>
  <c r="E459" i="7" s="1"/>
  <c r="AO40" i="6"/>
  <c r="S40" i="6"/>
  <c r="E226" i="7" s="1"/>
  <c r="T40" i="6"/>
  <c r="F226" i="7" s="1"/>
  <c r="B122" i="61"/>
  <c r="A226" i="7"/>
  <c r="Q40" i="6"/>
  <c r="AO92" i="6"/>
  <c r="S92" i="6"/>
  <c r="E278" i="7" s="1"/>
  <c r="T92" i="6"/>
  <c r="F278" i="7" s="1"/>
  <c r="B330" i="61"/>
  <c r="A278" i="7"/>
  <c r="Q92" i="6"/>
  <c r="AP110" i="6"/>
  <c r="W110" i="6"/>
  <c r="B403" i="61"/>
  <c r="Z110" i="6"/>
  <c r="F491" i="7" s="1"/>
  <c r="A491" i="7"/>
  <c r="Y110" i="6"/>
  <c r="E491" i="7" s="1"/>
  <c r="B467" i="61"/>
  <c r="W126" i="6"/>
  <c r="AP126" i="6"/>
  <c r="Z126" i="6"/>
  <c r="F507" i="7" s="1"/>
  <c r="A507" i="7"/>
  <c r="Y126" i="6"/>
  <c r="E507" i="7" s="1"/>
  <c r="AP142" i="6"/>
  <c r="Z142" i="6"/>
  <c r="F523" i="7" s="1"/>
  <c r="A523" i="7"/>
  <c r="Y142" i="6"/>
  <c r="E523" i="7" s="1"/>
  <c r="W142" i="6"/>
  <c r="C523" i="7" s="1"/>
  <c r="S32" i="6"/>
  <c r="E218" i="7" s="1"/>
  <c r="A218" i="7"/>
  <c r="Q32" i="6"/>
  <c r="T32" i="6"/>
  <c r="F218" i="7" s="1"/>
  <c r="B90" i="61"/>
  <c r="AO32" i="6"/>
  <c r="AN82" i="6"/>
  <c r="M82" i="6"/>
  <c r="K82" i="6"/>
  <c r="N82" i="6"/>
  <c r="F76" i="7" s="1"/>
  <c r="B289" i="61"/>
  <c r="A76" i="7"/>
  <c r="B38" i="61"/>
  <c r="Q19" i="6"/>
  <c r="T19" i="6"/>
  <c r="F205" i="7" s="1"/>
  <c r="AO19" i="6"/>
  <c r="R19" i="6"/>
  <c r="A205" i="7"/>
  <c r="S19" i="6"/>
  <c r="E205" i="7" s="1"/>
  <c r="P19" i="6"/>
  <c r="Q27" i="6"/>
  <c r="AO27" i="6"/>
  <c r="A213" i="7"/>
  <c r="B70" i="61"/>
  <c r="S27" i="6"/>
  <c r="E213" i="7" s="1"/>
  <c r="T27" i="6"/>
  <c r="F213" i="7" s="1"/>
  <c r="B134" i="61"/>
  <c r="T43" i="6"/>
  <c r="F229" i="7" s="1"/>
  <c r="A229" i="7"/>
  <c r="Q43" i="6"/>
  <c r="AO43" i="6"/>
  <c r="S43" i="6"/>
  <c r="E229" i="7" s="1"/>
  <c r="Q59" i="6"/>
  <c r="AO59" i="6"/>
  <c r="A245" i="7"/>
  <c r="B198" i="61"/>
  <c r="S59" i="6"/>
  <c r="E245" i="7" s="1"/>
  <c r="T59" i="6"/>
  <c r="F245" i="7" s="1"/>
  <c r="Q75" i="6"/>
  <c r="AO75" i="6"/>
  <c r="A261" i="7"/>
  <c r="B262" i="61"/>
  <c r="S75" i="6"/>
  <c r="E261" i="7" s="1"/>
  <c r="T75" i="6"/>
  <c r="F261" i="7" s="1"/>
  <c r="AO91" i="6"/>
  <c r="A277" i="7"/>
  <c r="S91" i="6"/>
  <c r="E277" i="7" s="1"/>
  <c r="T91" i="6"/>
  <c r="F277" i="7" s="1"/>
  <c r="Q91" i="6"/>
  <c r="B326" i="61"/>
  <c r="A293" i="7"/>
  <c r="B390" i="61"/>
  <c r="S107" i="6"/>
  <c r="E293" i="7" s="1"/>
  <c r="T107" i="6"/>
  <c r="F293" i="7" s="1"/>
  <c r="Q107" i="6"/>
  <c r="AO107" i="6"/>
  <c r="A309" i="7"/>
  <c r="B454" i="61"/>
  <c r="S123" i="6"/>
  <c r="E309" i="7" s="1"/>
  <c r="T123" i="6"/>
  <c r="F309" i="7" s="1"/>
  <c r="Q123" i="6"/>
  <c r="AO123" i="6"/>
  <c r="Q139" i="6"/>
  <c r="C328" i="7" s="1"/>
  <c r="S139" i="6"/>
  <c r="E328" i="7" s="1"/>
  <c r="AO139" i="6"/>
  <c r="T139" i="6"/>
  <c r="F328" i="7" s="1"/>
  <c r="A328" i="7"/>
  <c r="AO181" i="6"/>
  <c r="A370" i="7"/>
  <c r="T181" i="6"/>
  <c r="F370" i="7" s="1"/>
  <c r="S181" i="6"/>
  <c r="E370" i="7" s="1"/>
  <c r="Q181" i="6"/>
  <c r="C370" i="7" s="1"/>
  <c r="A393" i="7"/>
  <c r="Z12" i="6"/>
  <c r="F393" i="7" s="1"/>
  <c r="Y12" i="6"/>
  <c r="E393" i="7" s="1"/>
  <c r="X12" i="6"/>
  <c r="B11" i="61"/>
  <c r="W12" i="6"/>
  <c r="V12" i="6"/>
  <c r="AP12" i="6"/>
  <c r="AO42" i="6"/>
  <c r="A228" i="7"/>
  <c r="T42" i="6"/>
  <c r="F228" i="7" s="1"/>
  <c r="Q42" i="6"/>
  <c r="B130" i="61"/>
  <c r="S42" i="6"/>
  <c r="E228" i="7" s="1"/>
  <c r="AO74" i="6"/>
  <c r="A260" i="7"/>
  <c r="T74" i="6"/>
  <c r="F260" i="7" s="1"/>
  <c r="Q74" i="6"/>
  <c r="B258" i="61"/>
  <c r="S74" i="6"/>
  <c r="E260" i="7" s="1"/>
  <c r="AO106" i="6"/>
  <c r="A292" i="7"/>
  <c r="T106" i="6"/>
  <c r="F292" i="7" s="1"/>
  <c r="Q106" i="6"/>
  <c r="B386" i="61"/>
  <c r="S106" i="6"/>
  <c r="E292" i="7" s="1"/>
  <c r="W34" i="6"/>
  <c r="A415" i="7"/>
  <c r="B99" i="61"/>
  <c r="Z34" i="6"/>
  <c r="F415" i="7" s="1"/>
  <c r="Y34" i="6"/>
  <c r="E415" i="7" s="1"/>
  <c r="AP34" i="6"/>
  <c r="T112" i="6"/>
  <c r="F298" i="7" s="1"/>
  <c r="Q112" i="6"/>
  <c r="A298" i="7"/>
  <c r="AO112" i="6"/>
  <c r="S112" i="6"/>
  <c r="E298" i="7" s="1"/>
  <c r="B410" i="61"/>
  <c r="T128" i="6"/>
  <c r="F314" i="7" s="1"/>
  <c r="Q128" i="6"/>
  <c r="A314" i="7"/>
  <c r="AO128" i="6"/>
  <c r="S128" i="6"/>
  <c r="E314" i="7" s="1"/>
  <c r="B474" i="61"/>
  <c r="AF145" i="6"/>
  <c r="AD145" i="6"/>
  <c r="AB145" i="6"/>
  <c r="AC145" i="6"/>
  <c r="AQ145" i="6"/>
  <c r="AE145" i="6"/>
  <c r="B97" i="61"/>
  <c r="AN34" i="6"/>
  <c r="M34" i="6"/>
  <c r="K34" i="6"/>
  <c r="A28" i="7"/>
  <c r="N34" i="6"/>
  <c r="F28" i="7" s="1"/>
  <c r="A270" i="7"/>
  <c r="T84" i="6"/>
  <c r="F270" i="7" s="1"/>
  <c r="B298" i="61"/>
  <c r="S84" i="6"/>
  <c r="E270" i="7" s="1"/>
  <c r="AO84" i="6"/>
  <c r="Q84" i="6"/>
  <c r="AF19" i="6"/>
  <c r="AE19" i="6"/>
  <c r="AQ19" i="6"/>
  <c r="AD19" i="6"/>
  <c r="E40" i="61" s="1"/>
  <c r="AB19" i="6"/>
  <c r="C40" i="61" s="1"/>
  <c r="B40" i="61"/>
  <c r="AC19" i="6"/>
  <c r="D40" i="61" s="1"/>
  <c r="AF27" i="6"/>
  <c r="AE27" i="6"/>
  <c r="AC27" i="6"/>
  <c r="D72" i="61" s="1"/>
  <c r="AD27" i="6"/>
  <c r="E72" i="61" s="1"/>
  <c r="AB27" i="6"/>
  <c r="C72" i="61" s="1"/>
  <c r="B72" i="61"/>
  <c r="AQ27" i="6"/>
  <c r="AB43" i="6"/>
  <c r="C136" i="61" s="1"/>
  <c r="AQ43" i="6"/>
  <c r="AD43" i="6"/>
  <c r="E136" i="61" s="1"/>
  <c r="AC43" i="6"/>
  <c r="D136" i="61" s="1"/>
  <c r="AE43" i="6"/>
  <c r="AF43" i="6"/>
  <c r="B136" i="61"/>
  <c r="AQ59" i="6"/>
  <c r="AE59" i="6"/>
  <c r="AC59" i="6"/>
  <c r="D200" i="61" s="1"/>
  <c r="AB59" i="6"/>
  <c r="C200" i="61" s="1"/>
  <c r="AD59" i="6"/>
  <c r="E200" i="61" s="1"/>
  <c r="B200" i="61"/>
  <c r="AF59" i="6"/>
  <c r="AB75" i="6"/>
  <c r="C264" i="61" s="1"/>
  <c r="AD75" i="6"/>
  <c r="E264" i="61" s="1"/>
  <c r="AC75" i="6"/>
  <c r="D264" i="61" s="1"/>
  <c r="AF75" i="6"/>
  <c r="AE75" i="6"/>
  <c r="B264" i="61"/>
  <c r="AQ75" i="6"/>
  <c r="AQ91" i="6"/>
  <c r="AD91" i="6"/>
  <c r="E328" i="61" s="1"/>
  <c r="AC91" i="6"/>
  <c r="D328" i="61" s="1"/>
  <c r="AB91" i="6"/>
  <c r="C328" i="61" s="1"/>
  <c r="AE91" i="6"/>
  <c r="B328" i="61"/>
  <c r="AF91" i="6"/>
  <c r="AE107" i="6"/>
  <c r="AD107" i="6"/>
  <c r="E392" i="61" s="1"/>
  <c r="AC107" i="6"/>
  <c r="D392" i="61" s="1"/>
  <c r="AB107" i="6"/>
  <c r="C392" i="61" s="1"/>
  <c r="AQ107" i="6"/>
  <c r="B392" i="61"/>
  <c r="AF107" i="6"/>
  <c r="AE123" i="6"/>
  <c r="AD123" i="6"/>
  <c r="E456" i="61" s="1"/>
  <c r="AC123" i="6"/>
  <c r="D456" i="61" s="1"/>
  <c r="AB123" i="6"/>
  <c r="C456" i="61" s="1"/>
  <c r="AQ123" i="6"/>
  <c r="B456" i="61"/>
  <c r="AF123" i="6"/>
  <c r="AF139" i="6"/>
  <c r="AD139" i="6"/>
  <c r="AC139" i="6"/>
  <c r="AB139" i="6"/>
  <c r="AQ139" i="6"/>
  <c r="AE139" i="6"/>
  <c r="Y183" i="6"/>
  <c r="E564" i="7" s="1"/>
  <c r="AP183" i="6"/>
  <c r="W183" i="6"/>
  <c r="C564" i="7" s="1"/>
  <c r="A564" i="7"/>
  <c r="Z183" i="6"/>
  <c r="F564" i="7" s="1"/>
  <c r="AQ13" i="6"/>
  <c r="AD13" i="6"/>
  <c r="E16" i="61" s="1"/>
  <c r="AB13" i="6"/>
  <c r="C16" i="61" s="1"/>
  <c r="B16" i="61"/>
  <c r="AC13" i="6"/>
  <c r="D16" i="61" s="1"/>
  <c r="AF13" i="6"/>
  <c r="AE13" i="6"/>
  <c r="AC42" i="6"/>
  <c r="D132" i="61" s="1"/>
  <c r="AD42" i="6"/>
  <c r="E132" i="61" s="1"/>
  <c r="AF42" i="6"/>
  <c r="AE42" i="6"/>
  <c r="AQ42" i="6"/>
  <c r="B132" i="61"/>
  <c r="AB42" i="6"/>
  <c r="C132" i="61" s="1"/>
  <c r="B260" i="61"/>
  <c r="AQ74" i="6"/>
  <c r="AC74" i="6"/>
  <c r="D260" i="61" s="1"/>
  <c r="AF74" i="6"/>
  <c r="AE74" i="6"/>
  <c r="AD74" i="6"/>
  <c r="E260" i="61" s="1"/>
  <c r="AB74" i="6"/>
  <c r="C260" i="61" s="1"/>
  <c r="AQ106" i="6"/>
  <c r="AC106" i="6"/>
  <c r="D388" i="61" s="1"/>
  <c r="AF106" i="6"/>
  <c r="AE106" i="6"/>
  <c r="AD106" i="6"/>
  <c r="E388" i="61" s="1"/>
  <c r="B388" i="61"/>
  <c r="AB106" i="6"/>
  <c r="C388" i="61" s="1"/>
  <c r="AE48" i="6"/>
  <c r="AB48" i="6"/>
  <c r="C156" i="61" s="1"/>
  <c r="AQ48" i="6"/>
  <c r="AC48" i="6"/>
  <c r="D156" i="61" s="1"/>
  <c r="AF48" i="6"/>
  <c r="B156" i="61"/>
  <c r="AD48" i="6"/>
  <c r="E156" i="61" s="1"/>
  <c r="AD104" i="6"/>
  <c r="E380" i="61" s="1"/>
  <c r="AF104" i="6"/>
  <c r="AE104" i="6"/>
  <c r="AQ104" i="6"/>
  <c r="AC104" i="6"/>
  <c r="D380" i="61" s="1"/>
  <c r="AB104" i="6"/>
  <c r="C380" i="61" s="1"/>
  <c r="B380" i="61"/>
  <c r="AC132" i="6"/>
  <c r="D492" i="61" s="1"/>
  <c r="AB132" i="6"/>
  <c r="C492" i="61" s="1"/>
  <c r="B492" i="61"/>
  <c r="AD132" i="6"/>
  <c r="E492" i="61" s="1"/>
  <c r="AF132" i="6"/>
  <c r="AE132" i="6"/>
  <c r="AQ132" i="6"/>
  <c r="A157" i="7"/>
  <c r="AN163" i="6"/>
  <c r="K163" i="6"/>
  <c r="C157" i="7" s="1"/>
  <c r="M163" i="6"/>
  <c r="N163" i="6"/>
  <c r="F157" i="7" s="1"/>
  <c r="AC52" i="6"/>
  <c r="D172" i="61" s="1"/>
  <c r="AD52" i="6"/>
  <c r="E172" i="61" s="1"/>
  <c r="B172" i="61"/>
  <c r="AB52" i="6"/>
  <c r="C172" i="61" s="1"/>
  <c r="AF52" i="6"/>
  <c r="AE52" i="6"/>
  <c r="AQ52" i="6"/>
  <c r="R13" i="6"/>
  <c r="B14" i="61"/>
  <c r="A199" i="7"/>
  <c r="T13" i="6"/>
  <c r="F199" i="7" s="1"/>
  <c r="AO13" i="6"/>
  <c r="P13" i="6"/>
  <c r="Q13" i="6"/>
  <c r="S13" i="6"/>
  <c r="E199" i="7" s="1"/>
  <c r="J22" i="6"/>
  <c r="L22" i="6"/>
  <c r="K22" i="6"/>
  <c r="B49" i="61"/>
  <c r="M22" i="6"/>
  <c r="N22" i="6"/>
  <c r="F16" i="7" s="1"/>
  <c r="A16" i="7"/>
  <c r="AN22" i="6"/>
  <c r="AN33" i="6"/>
  <c r="N33" i="6"/>
  <c r="F27" i="7" s="1"/>
  <c r="A27" i="7"/>
  <c r="B93" i="61"/>
  <c r="K33" i="6"/>
  <c r="M33" i="6"/>
  <c r="N41" i="6"/>
  <c r="F35" i="7" s="1"/>
  <c r="AN41" i="6"/>
  <c r="B125" i="61"/>
  <c r="A35" i="7"/>
  <c r="M41" i="6"/>
  <c r="K41" i="6"/>
  <c r="N57" i="6"/>
  <c r="F51" i="7" s="1"/>
  <c r="AN57" i="6"/>
  <c r="B189" i="61"/>
  <c r="A51" i="7"/>
  <c r="M57" i="6"/>
  <c r="K57" i="6"/>
  <c r="N73" i="6"/>
  <c r="F67" i="7" s="1"/>
  <c r="AN73" i="6"/>
  <c r="B253" i="61"/>
  <c r="A67" i="7"/>
  <c r="M73" i="6"/>
  <c r="K73" i="6"/>
  <c r="N89" i="6"/>
  <c r="F83" i="7" s="1"/>
  <c r="AN89" i="6"/>
  <c r="B317" i="61"/>
  <c r="A83" i="7"/>
  <c r="M89" i="6"/>
  <c r="K89" i="6"/>
  <c r="N105" i="6"/>
  <c r="F99" i="7" s="1"/>
  <c r="AN105" i="6"/>
  <c r="B381" i="61"/>
  <c r="A99" i="7"/>
  <c r="M105" i="6"/>
  <c r="K105" i="6"/>
  <c r="N121" i="6"/>
  <c r="F115" i="7" s="1"/>
  <c r="AN121" i="6"/>
  <c r="B445" i="61"/>
  <c r="A115" i="7"/>
  <c r="M121" i="6"/>
  <c r="K121" i="6"/>
  <c r="N137" i="6"/>
  <c r="F131" i="7" s="1"/>
  <c r="AN137" i="6"/>
  <c r="B509" i="61"/>
  <c r="A131" i="7"/>
  <c r="M137" i="6"/>
  <c r="K137" i="6"/>
  <c r="S173" i="6"/>
  <c r="E362" i="7" s="1"/>
  <c r="AO173" i="6"/>
  <c r="A362" i="7"/>
  <c r="T173" i="6"/>
  <c r="F362" i="7" s="1"/>
  <c r="Q173" i="6"/>
  <c r="C362" i="7" s="1"/>
  <c r="A88" i="7"/>
  <c r="B337" i="61"/>
  <c r="M94" i="6"/>
  <c r="N94" i="6"/>
  <c r="F88" i="7" s="1"/>
  <c r="AN94" i="6"/>
  <c r="K94" i="6"/>
  <c r="AF38" i="6"/>
  <c r="AC38" i="6"/>
  <c r="D116" i="61" s="1"/>
  <c r="AQ38" i="6"/>
  <c r="B116" i="61"/>
  <c r="AB38" i="6"/>
  <c r="C116" i="61" s="1"/>
  <c r="AE38" i="6"/>
  <c r="AD38" i="6"/>
  <c r="E116" i="61" s="1"/>
  <c r="A256" i="7"/>
  <c r="T70" i="6"/>
  <c r="F256" i="7" s="1"/>
  <c r="S70" i="6"/>
  <c r="E256" i="7" s="1"/>
  <c r="B242" i="61"/>
  <c r="AO70" i="6"/>
  <c r="Q70" i="6"/>
  <c r="A288" i="7"/>
  <c r="T102" i="6"/>
  <c r="F288" i="7" s="1"/>
  <c r="Q102" i="6"/>
  <c r="B370" i="61"/>
  <c r="AO102" i="6"/>
  <c r="S102" i="6"/>
  <c r="E288" i="7" s="1"/>
  <c r="AF177" i="6"/>
  <c r="AE177" i="6"/>
  <c r="AQ177" i="6"/>
  <c r="AB177" i="6"/>
  <c r="AC177" i="6"/>
  <c r="AD177" i="6"/>
  <c r="B169" i="61"/>
  <c r="N52" i="6"/>
  <c r="F46" i="7" s="1"/>
  <c r="M52" i="6"/>
  <c r="A46" i="7"/>
  <c r="K52" i="6"/>
  <c r="AN52" i="6"/>
  <c r="AR52" i="6" s="1"/>
  <c r="M68" i="6"/>
  <c r="K68" i="6"/>
  <c r="AN68" i="6"/>
  <c r="N68" i="6"/>
  <c r="F62" i="7" s="1"/>
  <c r="B233" i="61"/>
  <c r="A62" i="7"/>
  <c r="M84" i="6"/>
  <c r="K84" i="6"/>
  <c r="AN84" i="6"/>
  <c r="N84" i="6"/>
  <c r="F78" i="7" s="1"/>
  <c r="B297" i="61"/>
  <c r="A78" i="7"/>
  <c r="AN100" i="6"/>
  <c r="M100" i="6"/>
  <c r="K100" i="6"/>
  <c r="N100" i="6"/>
  <c r="F94" i="7" s="1"/>
  <c r="B361" i="61"/>
  <c r="A94" i="7"/>
  <c r="AN116" i="6"/>
  <c r="M116" i="6"/>
  <c r="K116" i="6"/>
  <c r="N116" i="6"/>
  <c r="F110" i="7" s="1"/>
  <c r="B425" i="61"/>
  <c r="A110" i="7"/>
  <c r="AN132" i="6"/>
  <c r="A126" i="7"/>
  <c r="M132" i="6"/>
  <c r="K132" i="6"/>
  <c r="B489" i="61"/>
  <c r="N132" i="6"/>
  <c r="F126" i="7" s="1"/>
  <c r="AN151" i="6"/>
  <c r="M151" i="6"/>
  <c r="A145" i="7"/>
  <c r="K151" i="6"/>
  <c r="C145" i="7" s="1"/>
  <c r="N151" i="6"/>
  <c r="F145" i="7" s="1"/>
  <c r="K38" i="6"/>
  <c r="M38" i="6"/>
  <c r="B113" i="61"/>
  <c r="AN38" i="6"/>
  <c r="AR38" i="6" s="1"/>
  <c r="N38" i="6"/>
  <c r="F32" i="7" s="1"/>
  <c r="A32" i="7"/>
  <c r="M11" i="6"/>
  <c r="B5" i="61"/>
  <c r="K11" i="6"/>
  <c r="J11" i="6"/>
  <c r="N11" i="6"/>
  <c r="F5" i="7" s="1"/>
  <c r="A5" i="7"/>
  <c r="AN11" i="6"/>
  <c r="L11" i="6"/>
  <c r="M19" i="6"/>
  <c r="B37" i="61"/>
  <c r="J19" i="6"/>
  <c r="L19" i="6"/>
  <c r="AN19" i="6"/>
  <c r="A13" i="7"/>
  <c r="K19" i="6"/>
  <c r="N19" i="6"/>
  <c r="F13" i="7" s="1"/>
  <c r="M27" i="6"/>
  <c r="A21" i="7"/>
  <c r="N27" i="6"/>
  <c r="F21" i="7" s="1"/>
  <c r="K27" i="6"/>
  <c r="B69" i="61"/>
  <c r="AN27" i="6"/>
  <c r="N43" i="6"/>
  <c r="F37" i="7" s="1"/>
  <c r="K43" i="6"/>
  <c r="B133" i="61"/>
  <c r="M43" i="6"/>
  <c r="AN43" i="6"/>
  <c r="A37" i="7"/>
  <c r="AN59" i="6"/>
  <c r="N59" i="6"/>
  <c r="F53" i="7" s="1"/>
  <c r="B197" i="61"/>
  <c r="M59" i="6"/>
  <c r="K59" i="6"/>
  <c r="A53" i="7"/>
  <c r="AN75" i="6"/>
  <c r="N75" i="6"/>
  <c r="F69" i="7" s="1"/>
  <c r="B261" i="61"/>
  <c r="M75" i="6"/>
  <c r="K75" i="6"/>
  <c r="A69" i="7"/>
  <c r="N91" i="6"/>
  <c r="F85" i="7" s="1"/>
  <c r="K91" i="6"/>
  <c r="B325" i="61"/>
  <c r="M91" i="6"/>
  <c r="AN91" i="6"/>
  <c r="A85" i="7"/>
  <c r="AN107" i="6"/>
  <c r="N107" i="6"/>
  <c r="F101" i="7" s="1"/>
  <c r="B389" i="61"/>
  <c r="M107" i="6"/>
  <c r="K107" i="6"/>
  <c r="A101" i="7"/>
  <c r="AN123" i="6"/>
  <c r="N123" i="6"/>
  <c r="F117" i="7" s="1"/>
  <c r="B453" i="61"/>
  <c r="M123" i="6"/>
  <c r="K123" i="6"/>
  <c r="A117" i="7"/>
  <c r="K139" i="6"/>
  <c r="C133" i="7" s="1"/>
  <c r="AN139" i="6"/>
  <c r="A133" i="7"/>
  <c r="N139" i="6"/>
  <c r="F133" i="7" s="1"/>
  <c r="M139" i="6"/>
  <c r="T177" i="6"/>
  <c r="F366" i="7" s="1"/>
  <c r="AO177" i="6"/>
  <c r="A366" i="7"/>
  <c r="Q177" i="6"/>
  <c r="C366" i="7" s="1"/>
  <c r="S177" i="6"/>
  <c r="E366" i="7" s="1"/>
  <c r="N154" i="6"/>
  <c r="F148" i="7" s="1"/>
  <c r="A148" i="7"/>
  <c r="AN154" i="6"/>
  <c r="M154" i="6"/>
  <c r="K154" i="6"/>
  <c r="C148" i="7" s="1"/>
  <c r="N170" i="6"/>
  <c r="F164" i="7" s="1"/>
  <c r="A164" i="7"/>
  <c r="AN170" i="6"/>
  <c r="M170" i="6"/>
  <c r="K170" i="6"/>
  <c r="C164" i="7" s="1"/>
  <c r="N186" i="6"/>
  <c r="F180" i="7" s="1"/>
  <c r="A180" i="7"/>
  <c r="AN186" i="6"/>
  <c r="M186" i="6"/>
  <c r="K186" i="6"/>
  <c r="C180" i="7" s="1"/>
  <c r="N202" i="6"/>
  <c r="F196" i="7" s="1"/>
  <c r="A196" i="7"/>
  <c r="AN202" i="6"/>
  <c r="M202" i="6"/>
  <c r="K202" i="6"/>
  <c r="C196" i="7" s="1"/>
  <c r="A159" i="7"/>
  <c r="AN165" i="6"/>
  <c r="N165" i="6"/>
  <c r="F159" i="7" s="1"/>
  <c r="K165" i="6"/>
  <c r="C159" i="7" s="1"/>
  <c r="M165" i="6"/>
  <c r="A175" i="7"/>
  <c r="AN181" i="6"/>
  <c r="N181" i="6"/>
  <c r="F175" i="7" s="1"/>
  <c r="K181" i="6"/>
  <c r="C175" i="7" s="1"/>
  <c r="M181" i="6"/>
  <c r="A191" i="7"/>
  <c r="AN197" i="6"/>
  <c r="N197" i="6"/>
  <c r="F191" i="7" s="1"/>
  <c r="K197" i="6"/>
  <c r="C191" i="7" s="1"/>
  <c r="M197" i="6"/>
  <c r="AQ154" i="6"/>
  <c r="AB154" i="6"/>
  <c r="AE154" i="6"/>
  <c r="AD154" i="6"/>
  <c r="AF154" i="6"/>
  <c r="AC154" i="6"/>
  <c r="AQ170" i="6"/>
  <c r="AB170" i="6"/>
  <c r="AE170" i="6"/>
  <c r="AD170" i="6"/>
  <c r="AF170" i="6"/>
  <c r="AC170" i="6"/>
  <c r="AQ186" i="6"/>
  <c r="AB186" i="6"/>
  <c r="AE186" i="6"/>
  <c r="AD186" i="6"/>
  <c r="AF186" i="6"/>
  <c r="AC186" i="6"/>
  <c r="AQ202" i="6"/>
  <c r="AB202" i="6"/>
  <c r="AE202" i="6"/>
  <c r="AD202" i="6"/>
  <c r="AF202" i="6"/>
  <c r="AC202" i="6"/>
  <c r="Z52" i="6"/>
  <c r="F433" i="7" s="1"/>
  <c r="AP52" i="6"/>
  <c r="A433" i="7"/>
  <c r="B171" i="61"/>
  <c r="W52" i="6"/>
  <c r="Y52" i="6"/>
  <c r="E433" i="7" s="1"/>
  <c r="Z68" i="6"/>
  <c r="F449" i="7" s="1"/>
  <c r="AP68" i="6"/>
  <c r="A449" i="7"/>
  <c r="B235" i="61"/>
  <c r="W68" i="6"/>
  <c r="Y68" i="6"/>
  <c r="E449" i="7" s="1"/>
  <c r="Z84" i="6"/>
  <c r="F465" i="7" s="1"/>
  <c r="AP84" i="6"/>
  <c r="A465" i="7"/>
  <c r="B299" i="61"/>
  <c r="W84" i="6"/>
  <c r="Y84" i="6"/>
  <c r="E465" i="7" s="1"/>
  <c r="Z100" i="6"/>
  <c r="F481" i="7" s="1"/>
  <c r="AP100" i="6"/>
  <c r="A481" i="7"/>
  <c r="B363" i="61"/>
  <c r="W100" i="6"/>
  <c r="Y100" i="6"/>
  <c r="E481" i="7" s="1"/>
  <c r="Z116" i="6"/>
  <c r="F497" i="7" s="1"/>
  <c r="AP116" i="6"/>
  <c r="A497" i="7"/>
  <c r="B427" i="61"/>
  <c r="W116" i="6"/>
  <c r="Y116" i="6"/>
  <c r="E497" i="7" s="1"/>
  <c r="Z132" i="6"/>
  <c r="F513" i="7" s="1"/>
  <c r="AP132" i="6"/>
  <c r="A513" i="7"/>
  <c r="B491" i="61"/>
  <c r="W132" i="6"/>
  <c r="Y132" i="6"/>
  <c r="E513" i="7" s="1"/>
  <c r="AF153" i="6"/>
  <c r="AE153" i="6"/>
  <c r="AQ153" i="6"/>
  <c r="AC153" i="6"/>
  <c r="AB153" i="6"/>
  <c r="AD153" i="6"/>
  <c r="AQ40" i="6"/>
  <c r="AC40" i="6"/>
  <c r="D124" i="61" s="1"/>
  <c r="AB40" i="6"/>
  <c r="C124" i="61" s="1"/>
  <c r="B124" i="61"/>
  <c r="AD40" i="6"/>
  <c r="E124" i="61" s="1"/>
  <c r="AF40" i="6"/>
  <c r="AE40" i="6"/>
  <c r="Z11" i="6"/>
  <c r="F392" i="7" s="1"/>
  <c r="W11" i="6"/>
  <c r="Y11" i="6"/>
  <c r="E392" i="7" s="1"/>
  <c r="B7" i="61"/>
  <c r="V11" i="6"/>
  <c r="X11" i="6"/>
  <c r="AP11" i="6"/>
  <c r="A392" i="7"/>
  <c r="V19" i="6"/>
  <c r="Z19" i="6"/>
  <c r="F400" i="7" s="1"/>
  <c r="Y19" i="6"/>
  <c r="E400" i="7" s="1"/>
  <c r="B39" i="61"/>
  <c r="W19" i="6"/>
  <c r="X19" i="6"/>
  <c r="AP19" i="6"/>
  <c r="A400" i="7"/>
  <c r="Z27" i="6"/>
  <c r="F408" i="7" s="1"/>
  <c r="B71" i="61"/>
  <c r="AP27" i="6"/>
  <c r="W27" i="6"/>
  <c r="Y27" i="6"/>
  <c r="E408" i="7" s="1"/>
  <c r="A408" i="7"/>
  <c r="Y43" i="6"/>
  <c r="E424" i="7" s="1"/>
  <c r="A424" i="7"/>
  <c r="B135" i="61"/>
  <c r="Z43" i="6"/>
  <c r="F424" i="7" s="1"/>
  <c r="W43" i="6"/>
  <c r="AP43" i="6"/>
  <c r="Y59" i="6"/>
  <c r="E440" i="7" s="1"/>
  <c r="A440" i="7"/>
  <c r="B199" i="61"/>
  <c r="Z59" i="6"/>
  <c r="F440" i="7" s="1"/>
  <c r="W59" i="6"/>
  <c r="AP59" i="6"/>
  <c r="Y75" i="6"/>
  <c r="E456" i="7" s="1"/>
  <c r="A456" i="7"/>
  <c r="B263" i="61"/>
  <c r="W75" i="6"/>
  <c r="Z75" i="6"/>
  <c r="F456" i="7" s="1"/>
  <c r="AP75" i="6"/>
  <c r="Y91" i="6"/>
  <c r="E472" i="7" s="1"/>
  <c r="A472" i="7"/>
  <c r="B327" i="61"/>
  <c r="W91" i="6"/>
  <c r="Z91" i="6"/>
  <c r="F472" i="7" s="1"/>
  <c r="AP91" i="6"/>
  <c r="Y107" i="6"/>
  <c r="E488" i="7" s="1"/>
  <c r="A488" i="7"/>
  <c r="B391" i="61"/>
  <c r="Z107" i="6"/>
  <c r="F488" i="7" s="1"/>
  <c r="W107" i="6"/>
  <c r="AP107" i="6"/>
  <c r="Y123" i="6"/>
  <c r="E504" i="7" s="1"/>
  <c r="A504" i="7"/>
  <c r="B455" i="61"/>
  <c r="Z123" i="6"/>
  <c r="F504" i="7" s="1"/>
  <c r="W123" i="6"/>
  <c r="AP123" i="6"/>
  <c r="Z139" i="6"/>
  <c r="F520" i="7" s="1"/>
  <c r="Y139" i="6"/>
  <c r="E520" i="7" s="1"/>
  <c r="AP139" i="6"/>
  <c r="W139" i="6"/>
  <c r="C520" i="7" s="1"/>
  <c r="A520" i="7"/>
  <c r="W179" i="6"/>
  <c r="C560" i="7" s="1"/>
  <c r="Z179" i="6"/>
  <c r="F560" i="7" s="1"/>
  <c r="Y179" i="6"/>
  <c r="E560" i="7" s="1"/>
  <c r="A560" i="7"/>
  <c r="AP179" i="6"/>
  <c r="Y154" i="6"/>
  <c r="E535" i="7" s="1"/>
  <c r="Z154" i="6"/>
  <c r="F535" i="7" s="1"/>
  <c r="A535" i="7"/>
  <c r="AP154" i="6"/>
  <c r="W154" i="6"/>
  <c r="C535" i="7" s="1"/>
  <c r="Y170" i="6"/>
  <c r="E551" i="7" s="1"/>
  <c r="Z170" i="6"/>
  <c r="F551" i="7" s="1"/>
  <c r="A551" i="7"/>
  <c r="AP170" i="6"/>
  <c r="W170" i="6"/>
  <c r="C551" i="7" s="1"/>
  <c r="Y186" i="6"/>
  <c r="E567" i="7" s="1"/>
  <c r="Z186" i="6"/>
  <c r="F567" i="7" s="1"/>
  <c r="A567" i="7"/>
  <c r="AP186" i="6"/>
  <c r="W186" i="6"/>
  <c r="C567" i="7" s="1"/>
  <c r="Y202" i="6"/>
  <c r="E583" i="7" s="1"/>
  <c r="Z202" i="6"/>
  <c r="F583" i="7" s="1"/>
  <c r="A583" i="7"/>
  <c r="AP202" i="6"/>
  <c r="W202" i="6"/>
  <c r="C583" i="7" s="1"/>
  <c r="A546" i="7"/>
  <c r="Y165" i="6"/>
  <c r="E546" i="7" s="1"/>
  <c r="AP165" i="6"/>
  <c r="W165" i="6"/>
  <c r="C546" i="7" s="1"/>
  <c r="Z165" i="6"/>
  <c r="F546" i="7" s="1"/>
  <c r="A562" i="7"/>
  <c r="Y181" i="6"/>
  <c r="E562" i="7" s="1"/>
  <c r="AP181" i="6"/>
  <c r="W181" i="6"/>
  <c r="C562" i="7" s="1"/>
  <c r="Z181" i="6"/>
  <c r="F562" i="7" s="1"/>
  <c r="A578" i="7"/>
  <c r="Y197" i="6"/>
  <c r="E578" i="7" s="1"/>
  <c r="AP197" i="6"/>
  <c r="W197" i="6"/>
  <c r="C578" i="7" s="1"/>
  <c r="Z197" i="6"/>
  <c r="F578" i="7" s="1"/>
  <c r="N156" i="6"/>
  <c r="F150" i="7" s="1"/>
  <c r="AN156" i="6"/>
  <c r="A150" i="7"/>
  <c r="K156" i="6"/>
  <c r="C150" i="7" s="1"/>
  <c r="M156" i="6"/>
  <c r="N172" i="6"/>
  <c r="F166" i="7" s="1"/>
  <c r="AN172" i="6"/>
  <c r="A166" i="7"/>
  <c r="K172" i="6"/>
  <c r="C166" i="7" s="1"/>
  <c r="M172" i="6"/>
  <c r="N188" i="6"/>
  <c r="F182" i="7" s="1"/>
  <c r="AN188" i="6"/>
  <c r="A182" i="7"/>
  <c r="K188" i="6"/>
  <c r="C182" i="7" s="1"/>
  <c r="M188" i="6"/>
  <c r="Q114" i="6"/>
  <c r="B418" i="61"/>
  <c r="AO114" i="6"/>
  <c r="S114" i="6"/>
  <c r="E300" i="7" s="1"/>
  <c r="T114" i="6"/>
  <c r="F300" i="7" s="1"/>
  <c r="A300" i="7"/>
  <c r="Q130" i="6"/>
  <c r="B482" i="61"/>
  <c r="AO130" i="6"/>
  <c r="S130" i="6"/>
  <c r="E316" i="7" s="1"/>
  <c r="T130" i="6"/>
  <c r="F316" i="7" s="1"/>
  <c r="A316" i="7"/>
  <c r="A336" i="7"/>
  <c r="T147" i="6"/>
  <c r="F336" i="7" s="1"/>
  <c r="Q147" i="6"/>
  <c r="C336" i="7" s="1"/>
  <c r="AO147" i="6"/>
  <c r="S147" i="6"/>
  <c r="E336" i="7" s="1"/>
  <c r="K30" i="6"/>
  <c r="B81" i="61"/>
  <c r="N30" i="6"/>
  <c r="F24" i="7" s="1"/>
  <c r="A24" i="7"/>
  <c r="M30" i="6"/>
  <c r="AN30" i="6"/>
  <c r="B305" i="61"/>
  <c r="M86" i="6"/>
  <c r="AN86" i="6"/>
  <c r="A80" i="7"/>
  <c r="K86" i="6"/>
  <c r="N86" i="6"/>
  <c r="F80" i="7" s="1"/>
  <c r="A204" i="7"/>
  <c r="S18" i="6"/>
  <c r="E204" i="7" s="1"/>
  <c r="Q18" i="6"/>
  <c r="T18" i="6"/>
  <c r="F204" i="7" s="1"/>
  <c r="AO18" i="6"/>
  <c r="B34" i="61"/>
  <c r="P18" i="6"/>
  <c r="R18" i="6"/>
  <c r="A212" i="7"/>
  <c r="S26" i="6"/>
  <c r="E212" i="7" s="1"/>
  <c r="Q26" i="6"/>
  <c r="T26" i="6"/>
  <c r="F212" i="7" s="1"/>
  <c r="AO26" i="6"/>
  <c r="B66" i="61"/>
  <c r="P26" i="6"/>
  <c r="R26" i="6"/>
  <c r="S41" i="6"/>
  <c r="E227" i="7" s="1"/>
  <c r="AO41" i="6"/>
  <c r="B126" i="61"/>
  <c r="Q41" i="6"/>
  <c r="A227" i="7"/>
  <c r="T41" i="6"/>
  <c r="F227" i="7" s="1"/>
  <c r="S57" i="6"/>
  <c r="E243" i="7" s="1"/>
  <c r="A243" i="7"/>
  <c r="B190" i="61"/>
  <c r="T57" i="6"/>
  <c r="F243" i="7" s="1"/>
  <c r="AO57" i="6"/>
  <c r="Q57" i="6"/>
  <c r="S73" i="6"/>
  <c r="E259" i="7" s="1"/>
  <c r="A259" i="7"/>
  <c r="B254" i="61"/>
  <c r="AO73" i="6"/>
  <c r="Q73" i="6"/>
  <c r="T73" i="6"/>
  <c r="F259" i="7" s="1"/>
  <c r="S89" i="6"/>
  <c r="E275" i="7" s="1"/>
  <c r="A275" i="7"/>
  <c r="B318" i="61"/>
  <c r="AO89" i="6"/>
  <c r="T89" i="6"/>
  <c r="F275" i="7" s="1"/>
  <c r="Q89" i="6"/>
  <c r="S105" i="6"/>
  <c r="E291" i="7" s="1"/>
  <c r="T105" i="6"/>
  <c r="F291" i="7" s="1"/>
  <c r="B382" i="61"/>
  <c r="Q105" i="6"/>
  <c r="AO105" i="6"/>
  <c r="A291" i="7"/>
  <c r="S121" i="6"/>
  <c r="E307" i="7" s="1"/>
  <c r="T121" i="6"/>
  <c r="F307" i="7" s="1"/>
  <c r="B446" i="61"/>
  <c r="Q121" i="6"/>
  <c r="AO121" i="6"/>
  <c r="A307" i="7"/>
  <c r="S137" i="6"/>
  <c r="E323" i="7" s="1"/>
  <c r="T137" i="6"/>
  <c r="F323" i="7" s="1"/>
  <c r="B510" i="61"/>
  <c r="Q137" i="6"/>
  <c r="AO137" i="6"/>
  <c r="A323" i="7"/>
  <c r="S169" i="6"/>
  <c r="E358" i="7" s="1"/>
  <c r="AO169" i="6"/>
  <c r="T169" i="6"/>
  <c r="F358" i="7" s="1"/>
  <c r="Q169" i="6"/>
  <c r="C358" i="7" s="1"/>
  <c r="A358" i="7"/>
  <c r="T152" i="6"/>
  <c r="F341" i="7" s="1"/>
  <c r="Q152" i="6"/>
  <c r="C341" i="7" s="1"/>
  <c r="S152" i="6"/>
  <c r="E341" i="7" s="1"/>
  <c r="AO152" i="6"/>
  <c r="A341" i="7"/>
  <c r="T168" i="6"/>
  <c r="F357" i="7" s="1"/>
  <c r="Q168" i="6"/>
  <c r="C357" i="7" s="1"/>
  <c r="S168" i="6"/>
  <c r="E357" i="7" s="1"/>
  <c r="AO168" i="6"/>
  <c r="A357" i="7"/>
  <c r="T184" i="6"/>
  <c r="F373" i="7" s="1"/>
  <c r="Q184" i="6"/>
  <c r="C373" i="7" s="1"/>
  <c r="S184" i="6"/>
  <c r="E373" i="7" s="1"/>
  <c r="AO184" i="6"/>
  <c r="A373" i="7"/>
  <c r="T200" i="6"/>
  <c r="F389" i="7" s="1"/>
  <c r="Q200" i="6"/>
  <c r="C389" i="7" s="1"/>
  <c r="S200" i="6"/>
  <c r="E389" i="7" s="1"/>
  <c r="AO200" i="6"/>
  <c r="A389" i="7"/>
  <c r="A352" i="7"/>
  <c r="AO163" i="6"/>
  <c r="Q163" i="6"/>
  <c r="C352" i="7" s="1"/>
  <c r="S163" i="6"/>
  <c r="E352" i="7" s="1"/>
  <c r="T163" i="6"/>
  <c r="F352" i="7" s="1"/>
  <c r="A368" i="7"/>
  <c r="AO179" i="6"/>
  <c r="Q179" i="6"/>
  <c r="C368" i="7" s="1"/>
  <c r="S179" i="6"/>
  <c r="E368" i="7" s="1"/>
  <c r="T179" i="6"/>
  <c r="F368" i="7" s="1"/>
  <c r="A384" i="7"/>
  <c r="AO195" i="6"/>
  <c r="Q195" i="6"/>
  <c r="C384" i="7" s="1"/>
  <c r="S195" i="6"/>
  <c r="E384" i="7" s="1"/>
  <c r="T195" i="6"/>
  <c r="F384" i="7" s="1"/>
  <c r="W152" i="6"/>
  <c r="C533" i="7" s="1"/>
  <c r="AP152" i="6"/>
  <c r="Z152" i="6"/>
  <c r="F533" i="7" s="1"/>
  <c r="A533" i="7"/>
  <c r="Y152" i="6"/>
  <c r="E533" i="7" s="1"/>
  <c r="W168" i="6"/>
  <c r="C549" i="7" s="1"/>
  <c r="AP168" i="6"/>
  <c r="Z168" i="6"/>
  <c r="F549" i="7" s="1"/>
  <c r="A549" i="7"/>
  <c r="Y168" i="6"/>
  <c r="E549" i="7" s="1"/>
  <c r="W184" i="6"/>
  <c r="C565" i="7" s="1"/>
  <c r="AP184" i="6"/>
  <c r="Z184" i="6"/>
  <c r="F565" i="7" s="1"/>
  <c r="A565" i="7"/>
  <c r="Y184" i="6"/>
  <c r="E565" i="7" s="1"/>
  <c r="W200" i="6"/>
  <c r="C581" i="7" s="1"/>
  <c r="AP200" i="6"/>
  <c r="Z200" i="6"/>
  <c r="F581" i="7" s="1"/>
  <c r="A581" i="7"/>
  <c r="Y200" i="6"/>
  <c r="E581" i="7" s="1"/>
  <c r="AQ14" i="6"/>
  <c r="AB14" i="6"/>
  <c r="C20" i="61" s="1"/>
  <c r="B20" i="61"/>
  <c r="AD14" i="6"/>
  <c r="E20" i="61" s="1"/>
  <c r="AC14" i="6"/>
  <c r="D20" i="61" s="1"/>
  <c r="AF14" i="6"/>
  <c r="AE14" i="6"/>
  <c r="AD22" i="6"/>
  <c r="E52" i="61" s="1"/>
  <c r="AC22" i="6"/>
  <c r="D52" i="61" s="1"/>
  <c r="B52" i="61"/>
  <c r="AB22" i="6"/>
  <c r="C52" i="61" s="1"/>
  <c r="AQ22" i="6"/>
  <c r="AF22" i="6"/>
  <c r="AE22" i="6"/>
  <c r="B96" i="61"/>
  <c r="AB33" i="6"/>
  <c r="C96" i="61" s="1"/>
  <c r="AD33" i="6"/>
  <c r="E96" i="61" s="1"/>
  <c r="AC33" i="6"/>
  <c r="D96" i="61" s="1"/>
  <c r="AE33" i="6"/>
  <c r="AQ33" i="6"/>
  <c r="AF33" i="6"/>
  <c r="B160" i="61"/>
  <c r="AB49" i="6"/>
  <c r="C160" i="61" s="1"/>
  <c r="AD49" i="6"/>
  <c r="E160" i="61" s="1"/>
  <c r="AC49" i="6"/>
  <c r="D160" i="61" s="1"/>
  <c r="AE49" i="6"/>
  <c r="AQ49" i="6"/>
  <c r="AF49" i="6"/>
  <c r="B224" i="61"/>
  <c r="AQ65" i="6"/>
  <c r="AF65" i="6"/>
  <c r="AB65" i="6"/>
  <c r="C224" i="61" s="1"/>
  <c r="AE65" i="6"/>
  <c r="AD65" i="6"/>
  <c r="E224" i="61" s="1"/>
  <c r="AC65" i="6"/>
  <c r="D224" i="61" s="1"/>
  <c r="B288" i="61"/>
  <c r="AB81" i="6"/>
  <c r="C288" i="61" s="1"/>
  <c r="AD81" i="6"/>
  <c r="E288" i="61" s="1"/>
  <c r="AF81" i="6"/>
  <c r="AE81" i="6"/>
  <c r="AQ81" i="6"/>
  <c r="AC81" i="6"/>
  <c r="D288" i="61" s="1"/>
  <c r="B352" i="61"/>
  <c r="AQ97" i="6"/>
  <c r="AC97" i="6"/>
  <c r="D352" i="61" s="1"/>
  <c r="AB97" i="6"/>
  <c r="C352" i="61" s="1"/>
  <c r="AE97" i="6"/>
  <c r="AD97" i="6"/>
  <c r="E352" i="61" s="1"/>
  <c r="AF97" i="6"/>
  <c r="B416" i="61"/>
  <c r="AQ113" i="6"/>
  <c r="AC113" i="6"/>
  <c r="D416" i="61" s="1"/>
  <c r="AB113" i="6"/>
  <c r="C416" i="61" s="1"/>
  <c r="AE113" i="6"/>
  <c r="AD113" i="6"/>
  <c r="E416" i="61" s="1"/>
  <c r="AF113" i="6"/>
  <c r="B480" i="61"/>
  <c r="AQ129" i="6"/>
  <c r="AC129" i="6"/>
  <c r="D480" i="61" s="1"/>
  <c r="AB129" i="6"/>
  <c r="C480" i="61" s="1"/>
  <c r="AE129" i="6"/>
  <c r="AD129" i="6"/>
  <c r="E480" i="61" s="1"/>
  <c r="AF129" i="6"/>
  <c r="N145" i="6"/>
  <c r="F139" i="7" s="1"/>
  <c r="K145" i="6"/>
  <c r="C139" i="7" s="1"/>
  <c r="AN145" i="6"/>
  <c r="A139" i="7"/>
  <c r="M145" i="6"/>
  <c r="AC144" i="6"/>
  <c r="AD144" i="6"/>
  <c r="AQ144" i="6"/>
  <c r="AE144" i="6"/>
  <c r="AB144" i="6"/>
  <c r="AF144" i="6"/>
  <c r="AC160" i="6"/>
  <c r="AB160" i="6"/>
  <c r="AD160" i="6"/>
  <c r="AF160" i="6"/>
  <c r="AE160" i="6"/>
  <c r="AQ160" i="6"/>
  <c r="AC176" i="6"/>
  <c r="AB176" i="6"/>
  <c r="AD176" i="6"/>
  <c r="AF176" i="6"/>
  <c r="AE176" i="6"/>
  <c r="AQ176" i="6"/>
  <c r="AC192" i="6"/>
  <c r="AB192" i="6"/>
  <c r="AD192" i="6"/>
  <c r="AF192" i="6"/>
  <c r="AE192" i="6"/>
  <c r="AQ192" i="6"/>
  <c r="AF155" i="6"/>
  <c r="AE155" i="6"/>
  <c r="AD155" i="6"/>
  <c r="AB155" i="6"/>
  <c r="AQ155" i="6"/>
  <c r="AC155" i="6"/>
  <c r="AF171" i="6"/>
  <c r="AE171" i="6"/>
  <c r="AD171" i="6"/>
  <c r="AB171" i="6"/>
  <c r="AQ171" i="6"/>
  <c r="AC171" i="6"/>
  <c r="AF187" i="6"/>
  <c r="AE187" i="6"/>
  <c r="AD187" i="6"/>
  <c r="AB187" i="6"/>
  <c r="AQ187" i="6"/>
  <c r="AC187" i="6"/>
  <c r="S146" i="6"/>
  <c r="E335" i="7" s="1"/>
  <c r="AO146" i="6"/>
  <c r="A335" i="7"/>
  <c r="T146" i="6"/>
  <c r="F335" i="7" s="1"/>
  <c r="Q146" i="6"/>
  <c r="C335" i="7" s="1"/>
  <c r="S162" i="6"/>
  <c r="E351" i="7" s="1"/>
  <c r="AO162" i="6"/>
  <c r="A351" i="7"/>
  <c r="T162" i="6"/>
  <c r="F351" i="7" s="1"/>
  <c r="Q162" i="6"/>
  <c r="C351" i="7" s="1"/>
  <c r="S178" i="6"/>
  <c r="E367" i="7" s="1"/>
  <c r="AO178" i="6"/>
  <c r="A367" i="7"/>
  <c r="T178" i="6"/>
  <c r="F367" i="7" s="1"/>
  <c r="Q178" i="6"/>
  <c r="C367" i="7" s="1"/>
  <c r="S194" i="6"/>
  <c r="E383" i="7" s="1"/>
  <c r="AO194" i="6"/>
  <c r="A383" i="7"/>
  <c r="T194" i="6"/>
  <c r="F383" i="7" s="1"/>
  <c r="Q194" i="6"/>
  <c r="C383" i="7" s="1"/>
  <c r="N45" i="6"/>
  <c r="F39" i="7" s="1"/>
  <c r="A39" i="7"/>
  <c r="AN45" i="6"/>
  <c r="M45" i="6"/>
  <c r="B141" i="61"/>
  <c r="K45" i="6"/>
  <c r="N61" i="6"/>
  <c r="F55" i="7" s="1"/>
  <c r="A55" i="7"/>
  <c r="AN61" i="6"/>
  <c r="M61" i="6"/>
  <c r="B205" i="61"/>
  <c r="K61" i="6"/>
  <c r="N77" i="6"/>
  <c r="F71" i="7" s="1"/>
  <c r="A71" i="7"/>
  <c r="AN77" i="6"/>
  <c r="M77" i="6"/>
  <c r="B269" i="61"/>
  <c r="K77" i="6"/>
  <c r="N93" i="6"/>
  <c r="F87" i="7" s="1"/>
  <c r="A87" i="7"/>
  <c r="AN93" i="6"/>
  <c r="M93" i="6"/>
  <c r="B333" i="61"/>
  <c r="K93" i="6"/>
  <c r="N109" i="6"/>
  <c r="F103" i="7" s="1"/>
  <c r="A103" i="7"/>
  <c r="AN109" i="6"/>
  <c r="M109" i="6"/>
  <c r="B397" i="61"/>
  <c r="K109" i="6"/>
  <c r="N125" i="6"/>
  <c r="F119" i="7" s="1"/>
  <c r="A119" i="7"/>
  <c r="AN125" i="6"/>
  <c r="M125" i="6"/>
  <c r="B461" i="61"/>
  <c r="K125" i="6"/>
  <c r="AN141" i="6"/>
  <c r="M141" i="6"/>
  <c r="K141" i="6"/>
  <c r="C135" i="7" s="1"/>
  <c r="A135" i="7"/>
  <c r="N141" i="6"/>
  <c r="F135" i="7" s="1"/>
  <c r="A378" i="7"/>
  <c r="Q189" i="6"/>
  <c r="C378" i="7" s="1"/>
  <c r="S189" i="6"/>
  <c r="E378" i="7" s="1"/>
  <c r="T189" i="6"/>
  <c r="F378" i="7" s="1"/>
  <c r="AO189" i="6"/>
  <c r="K14" i="6"/>
  <c r="B17" i="61"/>
  <c r="M14" i="6"/>
  <c r="N14" i="6"/>
  <c r="F8" i="7" s="1"/>
  <c r="A8" i="7"/>
  <c r="AN14" i="6"/>
  <c r="J14" i="6"/>
  <c r="L14" i="6"/>
  <c r="Q46" i="6"/>
  <c r="S46" i="6"/>
  <c r="E232" i="7" s="1"/>
  <c r="AO46" i="6"/>
  <c r="T46" i="6"/>
  <c r="F232" i="7" s="1"/>
  <c r="A232" i="7"/>
  <c r="B146" i="61"/>
  <c r="Q78" i="6"/>
  <c r="S78" i="6"/>
  <c r="E264" i="7" s="1"/>
  <c r="AO78" i="6"/>
  <c r="T78" i="6"/>
  <c r="F264" i="7" s="1"/>
  <c r="A264" i="7"/>
  <c r="B274" i="61"/>
  <c r="Q110" i="6"/>
  <c r="S110" i="6"/>
  <c r="E296" i="7" s="1"/>
  <c r="AO110" i="6"/>
  <c r="T110" i="6"/>
  <c r="F296" i="7" s="1"/>
  <c r="A296" i="7"/>
  <c r="B402" i="61"/>
  <c r="W58" i="6"/>
  <c r="A439" i="7"/>
  <c r="B195" i="61"/>
  <c r="Z58" i="6"/>
  <c r="F439" i="7" s="1"/>
  <c r="Y58" i="6"/>
  <c r="E439" i="7" s="1"/>
  <c r="AP58" i="6"/>
  <c r="M56" i="6"/>
  <c r="N56" i="6"/>
  <c r="F50" i="7" s="1"/>
  <c r="A50" i="7"/>
  <c r="AN56" i="6"/>
  <c r="K56" i="6"/>
  <c r="B185" i="61"/>
  <c r="N72" i="6"/>
  <c r="F66" i="7" s="1"/>
  <c r="A66" i="7"/>
  <c r="B249" i="61"/>
  <c r="AN72" i="6"/>
  <c r="M72" i="6"/>
  <c r="K72" i="6"/>
  <c r="N88" i="6"/>
  <c r="F82" i="7" s="1"/>
  <c r="A82" i="7"/>
  <c r="B313" i="61"/>
  <c r="K88" i="6"/>
  <c r="M88" i="6"/>
  <c r="AN88" i="6"/>
  <c r="N104" i="6"/>
  <c r="F98" i="7" s="1"/>
  <c r="A98" i="7"/>
  <c r="B377" i="61"/>
  <c r="M104" i="6"/>
  <c r="AN104" i="6"/>
  <c r="K104" i="6"/>
  <c r="N120" i="6"/>
  <c r="F114" i="7" s="1"/>
  <c r="A114" i="7"/>
  <c r="B441" i="61"/>
  <c r="M120" i="6"/>
  <c r="AN120" i="6"/>
  <c r="K120" i="6"/>
  <c r="N136" i="6"/>
  <c r="F130" i="7" s="1"/>
  <c r="A130" i="7"/>
  <c r="M136" i="6"/>
  <c r="K136" i="6"/>
  <c r="B505" i="61"/>
  <c r="AN136" i="6"/>
  <c r="A161" i="7"/>
  <c r="N167" i="6"/>
  <c r="F161" i="7" s="1"/>
  <c r="K167" i="6"/>
  <c r="C161" i="7" s="1"/>
  <c r="M167" i="6"/>
  <c r="AN167" i="6"/>
  <c r="A431" i="7"/>
  <c r="Y50" i="6"/>
  <c r="E431" i="7" s="1"/>
  <c r="B163" i="61"/>
  <c r="W50" i="6"/>
  <c r="AP50" i="6"/>
  <c r="Z50" i="6"/>
  <c r="F431" i="7" s="1"/>
  <c r="A7" i="7"/>
  <c r="M13" i="6"/>
  <c r="N13" i="6"/>
  <c r="F7" i="7" s="1"/>
  <c r="K13" i="6"/>
  <c r="B13" i="61"/>
  <c r="J13" i="6"/>
  <c r="L13" i="6"/>
  <c r="AN13" i="6"/>
  <c r="L21" i="6"/>
  <c r="M21" i="6"/>
  <c r="N21" i="6"/>
  <c r="F15" i="7" s="1"/>
  <c r="K21" i="6"/>
  <c r="B45" i="61"/>
  <c r="A15" i="7"/>
  <c r="AN21" i="6"/>
  <c r="J21" i="6"/>
  <c r="A25" i="7"/>
  <c r="AN31" i="6"/>
  <c r="M31" i="6"/>
  <c r="B85" i="61"/>
  <c r="N31" i="6"/>
  <c r="F25" i="7" s="1"/>
  <c r="K31" i="6"/>
  <c r="B149" i="61"/>
  <c r="AN47" i="6"/>
  <c r="N47" i="6"/>
  <c r="F41" i="7" s="1"/>
  <c r="M47" i="6"/>
  <c r="A41" i="7"/>
  <c r="K47" i="6"/>
  <c r="B213" i="61"/>
  <c r="K63" i="6"/>
  <c r="A57" i="7"/>
  <c r="M63" i="6"/>
  <c r="AN63" i="6"/>
  <c r="N63" i="6"/>
  <c r="F57" i="7" s="1"/>
  <c r="B277" i="61"/>
  <c r="K79" i="6"/>
  <c r="A73" i="7"/>
  <c r="M79" i="6"/>
  <c r="AN79" i="6"/>
  <c r="N79" i="6"/>
  <c r="F73" i="7" s="1"/>
  <c r="B341" i="61"/>
  <c r="K95" i="6"/>
  <c r="A89" i="7"/>
  <c r="M95" i="6"/>
  <c r="AN95" i="6"/>
  <c r="N95" i="6"/>
  <c r="F89" i="7" s="1"/>
  <c r="B405" i="61"/>
  <c r="K111" i="6"/>
  <c r="A105" i="7"/>
  <c r="M111" i="6"/>
  <c r="AN111" i="6"/>
  <c r="N111" i="6"/>
  <c r="F105" i="7" s="1"/>
  <c r="B469" i="61"/>
  <c r="K127" i="6"/>
  <c r="A121" i="7"/>
  <c r="M127" i="6"/>
  <c r="AN127" i="6"/>
  <c r="N127" i="6"/>
  <c r="F121" i="7" s="1"/>
  <c r="N143" i="6"/>
  <c r="F137" i="7" s="1"/>
  <c r="AN143" i="6"/>
  <c r="A137" i="7"/>
  <c r="K143" i="6"/>
  <c r="C137" i="7" s="1"/>
  <c r="M143" i="6"/>
  <c r="S193" i="6"/>
  <c r="E382" i="7" s="1"/>
  <c r="T193" i="6"/>
  <c r="F382" i="7" s="1"/>
  <c r="AO193" i="6"/>
  <c r="A382" i="7"/>
  <c r="Q193" i="6"/>
  <c r="C382" i="7" s="1"/>
  <c r="M158" i="6"/>
  <c r="A152" i="7"/>
  <c r="K158" i="6"/>
  <c r="C152" i="7" s="1"/>
  <c r="N158" i="6"/>
  <c r="F152" i="7" s="1"/>
  <c r="AN158" i="6"/>
  <c r="M174" i="6"/>
  <c r="A168" i="7"/>
  <c r="K174" i="6"/>
  <c r="C168" i="7" s="1"/>
  <c r="N174" i="6"/>
  <c r="F168" i="7" s="1"/>
  <c r="AN174" i="6"/>
  <c r="M190" i="6"/>
  <c r="A184" i="7"/>
  <c r="K190" i="6"/>
  <c r="C184" i="7" s="1"/>
  <c r="N190" i="6"/>
  <c r="F184" i="7" s="1"/>
  <c r="AN190" i="6"/>
  <c r="A147" i="7"/>
  <c r="K153" i="6"/>
  <c r="C147" i="7" s="1"/>
  <c r="M153" i="6"/>
  <c r="AN153" i="6"/>
  <c r="N153" i="6"/>
  <c r="F147" i="7" s="1"/>
  <c r="A163" i="7"/>
  <c r="K169" i="6"/>
  <c r="C163" i="7" s="1"/>
  <c r="M169" i="6"/>
  <c r="AN169" i="6"/>
  <c r="N169" i="6"/>
  <c r="F163" i="7" s="1"/>
  <c r="A179" i="7"/>
  <c r="K185" i="6"/>
  <c r="C179" i="7" s="1"/>
  <c r="M185" i="6"/>
  <c r="AN185" i="6"/>
  <c r="N185" i="6"/>
  <c r="F179" i="7" s="1"/>
  <c r="A195" i="7"/>
  <c r="K201" i="6"/>
  <c r="C195" i="7" s="1"/>
  <c r="M201" i="6"/>
  <c r="AN201" i="6"/>
  <c r="N201" i="6"/>
  <c r="F195" i="7" s="1"/>
  <c r="AC158" i="6"/>
  <c r="AF158" i="6"/>
  <c r="AE158" i="6"/>
  <c r="AD158" i="6"/>
  <c r="AB158" i="6"/>
  <c r="AQ158" i="6"/>
  <c r="AC174" i="6"/>
  <c r="AF174" i="6"/>
  <c r="AE174" i="6"/>
  <c r="AD174" i="6"/>
  <c r="AB174" i="6"/>
  <c r="AQ174" i="6"/>
  <c r="AC190" i="6"/>
  <c r="AF190" i="6"/>
  <c r="AE190" i="6"/>
  <c r="AD190" i="6"/>
  <c r="AB190" i="6"/>
  <c r="AQ190" i="6"/>
  <c r="B123" i="61"/>
  <c r="Z40" i="6"/>
  <c r="F421" i="7" s="1"/>
  <c r="Y40" i="6"/>
  <c r="E421" i="7" s="1"/>
  <c r="AP40" i="6"/>
  <c r="A421" i="7"/>
  <c r="W40" i="6"/>
  <c r="B187" i="61"/>
  <c r="Z56" i="6"/>
  <c r="F437" i="7" s="1"/>
  <c r="Y56" i="6"/>
  <c r="E437" i="7" s="1"/>
  <c r="AP56" i="6"/>
  <c r="A437" i="7"/>
  <c r="W56" i="6"/>
  <c r="B251" i="61"/>
  <c r="Z72" i="6"/>
  <c r="F453" i="7" s="1"/>
  <c r="Y72" i="6"/>
  <c r="E453" i="7" s="1"/>
  <c r="AP72" i="6"/>
  <c r="A453" i="7"/>
  <c r="W72" i="6"/>
  <c r="B315" i="61"/>
  <c r="Z88" i="6"/>
  <c r="F469" i="7" s="1"/>
  <c r="Y88" i="6"/>
  <c r="E469" i="7" s="1"/>
  <c r="AP88" i="6"/>
  <c r="A469" i="7"/>
  <c r="W88" i="6"/>
  <c r="B379" i="61"/>
  <c r="Z104" i="6"/>
  <c r="F485" i="7" s="1"/>
  <c r="Y104" i="6"/>
  <c r="E485" i="7" s="1"/>
  <c r="AP104" i="6"/>
  <c r="A485" i="7"/>
  <c r="W104" i="6"/>
  <c r="B443" i="61"/>
  <c r="Z120" i="6"/>
  <c r="F501" i="7" s="1"/>
  <c r="Y120" i="6"/>
  <c r="E501" i="7" s="1"/>
  <c r="AP120" i="6"/>
  <c r="A501" i="7"/>
  <c r="W120" i="6"/>
  <c r="B507" i="61"/>
  <c r="Z136" i="6"/>
  <c r="F517" i="7" s="1"/>
  <c r="Y136" i="6"/>
  <c r="E517" i="7" s="1"/>
  <c r="AP136" i="6"/>
  <c r="A517" i="7"/>
  <c r="W136" i="6"/>
  <c r="AC169" i="6"/>
  <c r="AF169" i="6"/>
  <c r="AD169" i="6"/>
  <c r="AQ169" i="6"/>
  <c r="AE169" i="6"/>
  <c r="AB169" i="6"/>
  <c r="K54" i="6"/>
  <c r="N54" i="6"/>
  <c r="F48" i="7" s="1"/>
  <c r="B177" i="61"/>
  <c r="M54" i="6"/>
  <c r="AN54" i="6"/>
  <c r="A48" i="7"/>
  <c r="AP13" i="6"/>
  <c r="W13" i="6"/>
  <c r="A394" i="7"/>
  <c r="Y13" i="6"/>
  <c r="E394" i="7" s="1"/>
  <c r="Z13" i="6"/>
  <c r="F394" i="7" s="1"/>
  <c r="X13" i="6"/>
  <c r="B15" i="61"/>
  <c r="V13" i="6"/>
  <c r="X21" i="6"/>
  <c r="V21" i="6"/>
  <c r="AP21" i="6"/>
  <c r="Y21" i="6"/>
  <c r="E402" i="7" s="1"/>
  <c r="Z21" i="6"/>
  <c r="F402" i="7" s="1"/>
  <c r="W21" i="6"/>
  <c r="B47" i="61"/>
  <c r="A402" i="7"/>
  <c r="B87" i="61"/>
  <c r="Z31" i="6"/>
  <c r="F412" i="7" s="1"/>
  <c r="AP31" i="6"/>
  <c r="Y31" i="6"/>
  <c r="E412" i="7" s="1"/>
  <c r="A412" i="7"/>
  <c r="W31" i="6"/>
  <c r="A428" i="7"/>
  <c r="Z47" i="6"/>
  <c r="F428" i="7" s="1"/>
  <c r="AP47" i="6"/>
  <c r="W47" i="6"/>
  <c r="B151" i="61"/>
  <c r="Y47" i="6"/>
  <c r="E428" i="7" s="1"/>
  <c r="W63" i="6"/>
  <c r="A444" i="7"/>
  <c r="AP63" i="6"/>
  <c r="Z63" i="6"/>
  <c r="F444" i="7" s="1"/>
  <c r="B215" i="61"/>
  <c r="Y63" i="6"/>
  <c r="E444" i="7" s="1"/>
  <c r="W79" i="6"/>
  <c r="A460" i="7"/>
  <c r="AP79" i="6"/>
  <c r="Z79" i="6"/>
  <c r="F460" i="7" s="1"/>
  <c r="B279" i="61"/>
  <c r="Y79" i="6"/>
  <c r="E460" i="7" s="1"/>
  <c r="W95" i="6"/>
  <c r="A476" i="7"/>
  <c r="AP95" i="6"/>
  <c r="Z95" i="6"/>
  <c r="F476" i="7" s="1"/>
  <c r="B343" i="61"/>
  <c r="Y95" i="6"/>
  <c r="E476" i="7" s="1"/>
  <c r="W111" i="6"/>
  <c r="A492" i="7"/>
  <c r="AP111" i="6"/>
  <c r="Z111" i="6"/>
  <c r="F492" i="7" s="1"/>
  <c r="B407" i="61"/>
  <c r="Y111" i="6"/>
  <c r="E492" i="7" s="1"/>
  <c r="W127" i="6"/>
  <c r="A508" i="7"/>
  <c r="AP127" i="6"/>
  <c r="Z127" i="6"/>
  <c r="F508" i="7" s="1"/>
  <c r="B471" i="61"/>
  <c r="Y127" i="6"/>
  <c r="E508" i="7" s="1"/>
  <c r="W143" i="6"/>
  <c r="C524" i="7" s="1"/>
  <c r="AP143" i="6"/>
  <c r="Y143" i="6"/>
  <c r="E524" i="7" s="1"/>
  <c r="Z143" i="6"/>
  <c r="F524" i="7" s="1"/>
  <c r="A524" i="7"/>
  <c r="AP195" i="6"/>
  <c r="W195" i="6"/>
  <c r="C576" i="7" s="1"/>
  <c r="Z195" i="6"/>
  <c r="F576" i="7" s="1"/>
  <c r="Y195" i="6"/>
  <c r="E576" i="7" s="1"/>
  <c r="A576" i="7"/>
  <c r="AP158" i="6"/>
  <c r="W158" i="6"/>
  <c r="C539" i="7" s="1"/>
  <c r="A539" i="7"/>
  <c r="Y158" i="6"/>
  <c r="E539" i="7" s="1"/>
  <c r="Z158" i="6"/>
  <c r="F539" i="7" s="1"/>
  <c r="AP174" i="6"/>
  <c r="W174" i="6"/>
  <c r="C555" i="7" s="1"/>
  <c r="A555" i="7"/>
  <c r="Y174" i="6"/>
  <c r="E555" i="7" s="1"/>
  <c r="Z174" i="6"/>
  <c r="F555" i="7" s="1"/>
  <c r="AP190" i="6"/>
  <c r="W190" i="6"/>
  <c r="C571" i="7" s="1"/>
  <c r="A571" i="7"/>
  <c r="Y190" i="6"/>
  <c r="E571" i="7" s="1"/>
  <c r="Z190" i="6"/>
  <c r="F571" i="7" s="1"/>
  <c r="W153" i="6"/>
  <c r="C534" i="7" s="1"/>
  <c r="Z153" i="6"/>
  <c r="F534" i="7" s="1"/>
  <c r="AP153" i="6"/>
  <c r="A534" i="7"/>
  <c r="Y153" i="6"/>
  <c r="E534" i="7" s="1"/>
  <c r="W169" i="6"/>
  <c r="C550" i="7" s="1"/>
  <c r="Z169" i="6"/>
  <c r="F550" i="7" s="1"/>
  <c r="AP169" i="6"/>
  <c r="A550" i="7"/>
  <c r="Y169" i="6"/>
  <c r="E550" i="7" s="1"/>
  <c r="W185" i="6"/>
  <c r="C566" i="7" s="1"/>
  <c r="Z185" i="6"/>
  <c r="F566" i="7" s="1"/>
  <c r="AP185" i="6"/>
  <c r="A566" i="7"/>
  <c r="Y185" i="6"/>
  <c r="E566" i="7" s="1"/>
  <c r="W201" i="6"/>
  <c r="C582" i="7" s="1"/>
  <c r="Z201" i="6"/>
  <c r="F582" i="7" s="1"/>
  <c r="AP201" i="6"/>
  <c r="A582" i="7"/>
  <c r="Y201" i="6"/>
  <c r="E582" i="7" s="1"/>
  <c r="K160" i="6"/>
  <c r="C154" i="7" s="1"/>
  <c r="M160" i="6"/>
  <c r="A154" i="7"/>
  <c r="N160" i="6"/>
  <c r="F154" i="7" s="1"/>
  <c r="AN160" i="6"/>
  <c r="K176" i="6"/>
  <c r="C170" i="7" s="1"/>
  <c r="M176" i="6"/>
  <c r="A170" i="7"/>
  <c r="N176" i="6"/>
  <c r="F170" i="7" s="1"/>
  <c r="AN176" i="6"/>
  <c r="K192" i="6"/>
  <c r="C186" i="7" s="1"/>
  <c r="M192" i="6"/>
  <c r="A186" i="7"/>
  <c r="N192" i="6"/>
  <c r="F186" i="7" s="1"/>
  <c r="AN192" i="6"/>
  <c r="B434" i="61"/>
  <c r="AO118" i="6"/>
  <c r="S118" i="6"/>
  <c r="E304" i="7" s="1"/>
  <c r="A304" i="7"/>
  <c r="T118" i="6"/>
  <c r="F304" i="7" s="1"/>
  <c r="Q118" i="6"/>
  <c r="B498" i="61"/>
  <c r="AO134" i="6"/>
  <c r="S134" i="6"/>
  <c r="E320" i="7" s="1"/>
  <c r="A320" i="7"/>
  <c r="T134" i="6"/>
  <c r="F320" i="7" s="1"/>
  <c r="Q134" i="6"/>
  <c r="AN159" i="6"/>
  <c r="K159" i="6"/>
  <c r="C153" i="7" s="1"/>
  <c r="A153" i="7"/>
  <c r="N159" i="6"/>
  <c r="F153" i="7" s="1"/>
  <c r="M159" i="6"/>
  <c r="AC44" i="6"/>
  <c r="D140" i="61" s="1"/>
  <c r="AB44" i="6"/>
  <c r="C140" i="61" s="1"/>
  <c r="B140" i="61"/>
  <c r="AD44" i="6"/>
  <c r="E140" i="61" s="1"/>
  <c r="AF44" i="6"/>
  <c r="AE44" i="6"/>
  <c r="AQ44" i="6"/>
  <c r="AO12" i="6"/>
  <c r="B10" i="61"/>
  <c r="Q12" i="6"/>
  <c r="R12" i="6"/>
  <c r="S12" i="6"/>
  <c r="E198" i="7" s="1"/>
  <c r="A198" i="7"/>
  <c r="T12" i="6"/>
  <c r="F198" i="7" s="1"/>
  <c r="P12" i="6"/>
  <c r="AO20" i="6"/>
  <c r="B42" i="61"/>
  <c r="Q20" i="6"/>
  <c r="T20" i="6"/>
  <c r="F206" i="7" s="1"/>
  <c r="S20" i="6"/>
  <c r="E206" i="7" s="1"/>
  <c r="A206" i="7"/>
  <c r="P20" i="6"/>
  <c r="R20" i="6"/>
  <c r="A215" i="7"/>
  <c r="S29" i="6"/>
  <c r="E215" i="7" s="1"/>
  <c r="AO29" i="6"/>
  <c r="Q29" i="6"/>
  <c r="B78" i="61"/>
  <c r="T29" i="6"/>
  <c r="F215" i="7" s="1"/>
  <c r="A231" i="7"/>
  <c r="Q45" i="6"/>
  <c r="B142" i="61"/>
  <c r="AO45" i="6"/>
  <c r="T45" i="6"/>
  <c r="F231" i="7" s="1"/>
  <c r="S45" i="6"/>
  <c r="E231" i="7" s="1"/>
  <c r="Q61" i="6"/>
  <c r="T61" i="6"/>
  <c r="F247" i="7" s="1"/>
  <c r="B206" i="61"/>
  <c r="A247" i="7"/>
  <c r="AO61" i="6"/>
  <c r="S61" i="6"/>
  <c r="E247" i="7" s="1"/>
  <c r="A263" i="7"/>
  <c r="T77" i="6"/>
  <c r="F263" i="7" s="1"/>
  <c r="B270" i="61"/>
  <c r="AO77" i="6"/>
  <c r="Q77" i="6"/>
  <c r="S77" i="6"/>
  <c r="E263" i="7" s="1"/>
  <c r="Q93" i="6"/>
  <c r="AO93" i="6"/>
  <c r="B334" i="61"/>
  <c r="A279" i="7"/>
  <c r="T93" i="6"/>
  <c r="F279" i="7" s="1"/>
  <c r="S93" i="6"/>
  <c r="E279" i="7" s="1"/>
  <c r="Q109" i="6"/>
  <c r="T109" i="6"/>
  <c r="F295" i="7" s="1"/>
  <c r="B398" i="61"/>
  <c r="A295" i="7"/>
  <c r="AO109" i="6"/>
  <c r="S109" i="6"/>
  <c r="E295" i="7" s="1"/>
  <c r="Q125" i="6"/>
  <c r="T125" i="6"/>
  <c r="F311" i="7" s="1"/>
  <c r="B462" i="61"/>
  <c r="A311" i="7"/>
  <c r="AO125" i="6"/>
  <c r="S125" i="6"/>
  <c r="E311" i="7" s="1"/>
  <c r="A330" i="7"/>
  <c r="Q141" i="6"/>
  <c r="C330" i="7" s="1"/>
  <c r="AO141" i="6"/>
  <c r="S141" i="6"/>
  <c r="E330" i="7" s="1"/>
  <c r="T141" i="6"/>
  <c r="F330" i="7" s="1"/>
  <c r="Q185" i="6"/>
  <c r="C374" i="7" s="1"/>
  <c r="A374" i="7"/>
  <c r="S185" i="6"/>
  <c r="E374" i="7" s="1"/>
  <c r="AO185" i="6"/>
  <c r="T185" i="6"/>
  <c r="F374" i="7" s="1"/>
  <c r="A345" i="7"/>
  <c r="S156" i="6"/>
  <c r="E345" i="7" s="1"/>
  <c r="AO156" i="6"/>
  <c r="T156" i="6"/>
  <c r="F345" i="7" s="1"/>
  <c r="Q156" i="6"/>
  <c r="C345" i="7" s="1"/>
  <c r="A361" i="7"/>
  <c r="S172" i="6"/>
  <c r="E361" i="7" s="1"/>
  <c r="AO172" i="6"/>
  <c r="T172" i="6"/>
  <c r="F361" i="7" s="1"/>
  <c r="Q172" i="6"/>
  <c r="C361" i="7" s="1"/>
  <c r="A377" i="7"/>
  <c r="S188" i="6"/>
  <c r="E377" i="7" s="1"/>
  <c r="AO188" i="6"/>
  <c r="T188" i="6"/>
  <c r="F377" i="7" s="1"/>
  <c r="Q188" i="6"/>
  <c r="C377" i="7" s="1"/>
  <c r="T151" i="6"/>
  <c r="F340" i="7" s="1"/>
  <c r="Q151" i="6"/>
  <c r="C340" i="7" s="1"/>
  <c r="S151" i="6"/>
  <c r="E340" i="7" s="1"/>
  <c r="A340" i="7"/>
  <c r="AO151" i="6"/>
  <c r="T167" i="6"/>
  <c r="F356" i="7" s="1"/>
  <c r="Q167" i="6"/>
  <c r="C356" i="7" s="1"/>
  <c r="S167" i="6"/>
  <c r="E356" i="7" s="1"/>
  <c r="A356" i="7"/>
  <c r="AO167" i="6"/>
  <c r="T183" i="6"/>
  <c r="F372" i="7" s="1"/>
  <c r="Q183" i="6"/>
  <c r="C372" i="7" s="1"/>
  <c r="S183" i="6"/>
  <c r="E372" i="7" s="1"/>
  <c r="A372" i="7"/>
  <c r="AO183" i="6"/>
  <c r="T199" i="6"/>
  <c r="F388" i="7" s="1"/>
  <c r="Q199" i="6"/>
  <c r="C388" i="7" s="1"/>
  <c r="S199" i="6"/>
  <c r="E388" i="7" s="1"/>
  <c r="A388" i="7"/>
  <c r="AO199" i="6"/>
  <c r="Y156" i="6"/>
  <c r="E537" i="7" s="1"/>
  <c r="Z156" i="6"/>
  <c r="F537" i="7" s="1"/>
  <c r="A537" i="7"/>
  <c r="W156" i="6"/>
  <c r="C537" i="7" s="1"/>
  <c r="AP156" i="6"/>
  <c r="Y172" i="6"/>
  <c r="E553" i="7" s="1"/>
  <c r="Z172" i="6"/>
  <c r="F553" i="7" s="1"/>
  <c r="A553" i="7"/>
  <c r="W172" i="6"/>
  <c r="C553" i="7" s="1"/>
  <c r="AP172" i="6"/>
  <c r="Y188" i="6"/>
  <c r="E569" i="7" s="1"/>
  <c r="Z188" i="6"/>
  <c r="F569" i="7" s="1"/>
  <c r="A569" i="7"/>
  <c r="W188" i="6"/>
  <c r="C569" i="7" s="1"/>
  <c r="AP188" i="6"/>
  <c r="AQ72" i="6"/>
  <c r="AC72" i="6"/>
  <c r="D252" i="61" s="1"/>
  <c r="AF72" i="6"/>
  <c r="B252" i="61"/>
  <c r="AD72" i="6"/>
  <c r="E252" i="61" s="1"/>
  <c r="AE72" i="6"/>
  <c r="AB72" i="6"/>
  <c r="C252" i="61" s="1"/>
  <c r="AB16" i="6"/>
  <c r="C28" i="61" s="1"/>
  <c r="AC16" i="6"/>
  <c r="D28" i="61" s="1"/>
  <c r="AE16" i="6"/>
  <c r="AD16" i="6"/>
  <c r="E28" i="61" s="1"/>
  <c r="AQ16" i="6"/>
  <c r="B28" i="61"/>
  <c r="AF16" i="6"/>
  <c r="AQ24" i="6"/>
  <c r="AB24" i="6"/>
  <c r="C60" i="61" s="1"/>
  <c r="AE24" i="6"/>
  <c r="AD24" i="6"/>
  <c r="E60" i="61" s="1"/>
  <c r="AC24" i="6"/>
  <c r="D60" i="61" s="1"/>
  <c r="B60" i="61"/>
  <c r="AF24" i="6"/>
  <c r="B112" i="61"/>
  <c r="AQ37" i="6"/>
  <c r="AB37" i="6"/>
  <c r="C112" i="61" s="1"/>
  <c r="AF37" i="6"/>
  <c r="AE37" i="6"/>
  <c r="AD37" i="6"/>
  <c r="E112" i="61" s="1"/>
  <c r="AC37" i="6"/>
  <c r="D112" i="61" s="1"/>
  <c r="B176" i="61"/>
  <c r="AQ53" i="6"/>
  <c r="AF53" i="6"/>
  <c r="AB53" i="6"/>
  <c r="C176" i="61" s="1"/>
  <c r="AE53" i="6"/>
  <c r="AD53" i="6"/>
  <c r="E176" i="61" s="1"/>
  <c r="AC53" i="6"/>
  <c r="D176" i="61" s="1"/>
  <c r="B240" i="61"/>
  <c r="AQ69" i="6"/>
  <c r="AC69" i="6"/>
  <c r="D240" i="61" s="1"/>
  <c r="AB69" i="6"/>
  <c r="C240" i="61" s="1"/>
  <c r="AE69" i="6"/>
  <c r="AD69" i="6"/>
  <c r="E240" i="61" s="1"/>
  <c r="AF69" i="6"/>
  <c r="B304" i="61"/>
  <c r="AQ85" i="6"/>
  <c r="AC85" i="6"/>
  <c r="D304" i="61" s="1"/>
  <c r="AB85" i="6"/>
  <c r="C304" i="61" s="1"/>
  <c r="AE85" i="6"/>
  <c r="AD85" i="6"/>
  <c r="E304" i="61" s="1"/>
  <c r="AF85" i="6"/>
  <c r="B368" i="61"/>
  <c r="AQ101" i="6"/>
  <c r="AC101" i="6"/>
  <c r="D368" i="61" s="1"/>
  <c r="AB101" i="6"/>
  <c r="C368" i="61" s="1"/>
  <c r="AE101" i="6"/>
  <c r="AD101" i="6"/>
  <c r="E368" i="61" s="1"/>
  <c r="AF101" i="6"/>
  <c r="B432" i="61"/>
  <c r="AQ117" i="6"/>
  <c r="AC117" i="6"/>
  <c r="D432" i="61" s="1"/>
  <c r="AB117" i="6"/>
  <c r="C432" i="61" s="1"/>
  <c r="AE117" i="6"/>
  <c r="AD117" i="6"/>
  <c r="E432" i="61" s="1"/>
  <c r="AF117" i="6"/>
  <c r="B496" i="61"/>
  <c r="AQ133" i="6"/>
  <c r="AC133" i="6"/>
  <c r="D496" i="61" s="1"/>
  <c r="AB133" i="6"/>
  <c r="C496" i="61" s="1"/>
  <c r="AE133" i="6"/>
  <c r="AD133" i="6"/>
  <c r="E496" i="61" s="1"/>
  <c r="AF133" i="6"/>
  <c r="AP155" i="6"/>
  <c r="A536" i="7"/>
  <c r="W155" i="6"/>
  <c r="C536" i="7" s="1"/>
  <c r="Y155" i="6"/>
  <c r="E536" i="7" s="1"/>
  <c r="Z155" i="6"/>
  <c r="F536" i="7" s="1"/>
  <c r="AQ148" i="6"/>
  <c r="AD148" i="6"/>
  <c r="AE148" i="6"/>
  <c r="AB148" i="6"/>
  <c r="AF148" i="6"/>
  <c r="AC148" i="6"/>
  <c r="AD164" i="6"/>
  <c r="AB164" i="6"/>
  <c r="AF164" i="6"/>
  <c r="AE164" i="6"/>
  <c r="AQ164" i="6"/>
  <c r="AC164" i="6"/>
  <c r="AD180" i="6"/>
  <c r="AB180" i="6"/>
  <c r="AF180" i="6"/>
  <c r="AE180" i="6"/>
  <c r="AQ180" i="6"/>
  <c r="AC180" i="6"/>
  <c r="AD196" i="6"/>
  <c r="AB196" i="6"/>
  <c r="AF196" i="6"/>
  <c r="AE196" i="6"/>
  <c r="AQ196" i="6"/>
  <c r="AC196" i="6"/>
  <c r="AD159" i="6"/>
  <c r="AE159" i="6"/>
  <c r="AB159" i="6"/>
  <c r="AQ159" i="6"/>
  <c r="AC159" i="6"/>
  <c r="AF159" i="6"/>
  <c r="AD175" i="6"/>
  <c r="AE175" i="6"/>
  <c r="AB175" i="6"/>
  <c r="AQ175" i="6"/>
  <c r="AC175" i="6"/>
  <c r="AF175" i="6"/>
  <c r="AD191" i="6"/>
  <c r="AE191" i="6"/>
  <c r="AB191" i="6"/>
  <c r="AQ191" i="6"/>
  <c r="AC191" i="6"/>
  <c r="AF191" i="6"/>
  <c r="Q150" i="6"/>
  <c r="C339" i="7" s="1"/>
  <c r="A339" i="7"/>
  <c r="AO150" i="6"/>
  <c r="S150" i="6"/>
  <c r="E339" i="7" s="1"/>
  <c r="T150" i="6"/>
  <c r="F339" i="7" s="1"/>
  <c r="Q166" i="6"/>
  <c r="C355" i="7" s="1"/>
  <c r="A355" i="7"/>
  <c r="AO166" i="6"/>
  <c r="S166" i="6"/>
  <c r="E355" i="7" s="1"/>
  <c r="T166" i="6"/>
  <c r="F355" i="7" s="1"/>
  <c r="Q182" i="6"/>
  <c r="C371" i="7" s="1"/>
  <c r="A371" i="7"/>
  <c r="AO182" i="6"/>
  <c r="S182" i="6"/>
  <c r="E371" i="7" s="1"/>
  <c r="T182" i="6"/>
  <c r="F371" i="7" s="1"/>
  <c r="Q198" i="6"/>
  <c r="C387" i="7" s="1"/>
  <c r="A387" i="7"/>
  <c r="AO198" i="6"/>
  <c r="S198" i="6"/>
  <c r="E387" i="7" s="1"/>
  <c r="T198" i="6"/>
  <c r="F387" i="7" s="1"/>
  <c r="AN49" i="6"/>
  <c r="N49" i="6"/>
  <c r="F43" i="7" s="1"/>
  <c r="A43" i="7"/>
  <c r="B157" i="61"/>
  <c r="K49" i="6"/>
  <c r="M49" i="6"/>
  <c r="AN65" i="6"/>
  <c r="N65" i="6"/>
  <c r="F59" i="7" s="1"/>
  <c r="A59" i="7"/>
  <c r="B221" i="61"/>
  <c r="K65" i="6"/>
  <c r="M65" i="6"/>
  <c r="AN81" i="6"/>
  <c r="N81" i="6"/>
  <c r="F75" i="7" s="1"/>
  <c r="A75" i="7"/>
  <c r="B285" i="61"/>
  <c r="K81" i="6"/>
  <c r="M81" i="6"/>
  <c r="AN97" i="6"/>
  <c r="N97" i="6"/>
  <c r="F91" i="7" s="1"/>
  <c r="A91" i="7"/>
  <c r="B349" i="61"/>
  <c r="K97" i="6"/>
  <c r="M97" i="6"/>
  <c r="AN113" i="6"/>
  <c r="N113" i="6"/>
  <c r="F107" i="7" s="1"/>
  <c r="A107" i="7"/>
  <c r="B413" i="61"/>
  <c r="K113" i="6"/>
  <c r="M113" i="6"/>
  <c r="AN129" i="6"/>
  <c r="N129" i="6"/>
  <c r="F123" i="7" s="1"/>
  <c r="A123" i="7"/>
  <c r="B477" i="61"/>
  <c r="K129" i="6"/>
  <c r="M129" i="6"/>
  <c r="W145" i="6"/>
  <c r="C526" i="7" s="1"/>
  <c r="Y145" i="6"/>
  <c r="E526" i="7" s="1"/>
  <c r="Z145" i="6"/>
  <c r="F526" i="7" s="1"/>
  <c r="A526" i="7"/>
  <c r="AP145" i="6"/>
  <c r="S28" i="6"/>
  <c r="E214" i="7" s="1"/>
  <c r="A214" i="7"/>
  <c r="Q28" i="6"/>
  <c r="T28" i="6"/>
  <c r="F214" i="7" s="1"/>
  <c r="B74" i="61"/>
  <c r="AO28" i="6"/>
  <c r="AQ30" i="6"/>
  <c r="AC30" i="6"/>
  <c r="D84" i="61" s="1"/>
  <c r="AF30" i="6"/>
  <c r="AE30" i="6"/>
  <c r="AD30" i="6"/>
  <c r="E84" i="61" s="1"/>
  <c r="B84" i="61"/>
  <c r="AB30" i="6"/>
  <c r="C84" i="61" s="1"/>
  <c r="A240" i="7"/>
  <c r="T54" i="6"/>
  <c r="F240" i="7" s="1"/>
  <c r="S54" i="6"/>
  <c r="E240" i="7" s="1"/>
  <c r="B178" i="61"/>
  <c r="AO54" i="6"/>
  <c r="Q54" i="6"/>
  <c r="A272" i="7"/>
  <c r="T86" i="6"/>
  <c r="F272" i="7" s="1"/>
  <c r="S86" i="6"/>
  <c r="E272" i="7" s="1"/>
  <c r="B306" i="61"/>
  <c r="AO86" i="6"/>
  <c r="Q86" i="6"/>
  <c r="AD122" i="6"/>
  <c r="E452" i="61" s="1"/>
  <c r="B452" i="61"/>
  <c r="AB122" i="6"/>
  <c r="C452" i="61" s="1"/>
  <c r="AQ122" i="6"/>
  <c r="AC122" i="6"/>
  <c r="D452" i="61" s="1"/>
  <c r="AF122" i="6"/>
  <c r="AE122" i="6"/>
  <c r="K44" i="6"/>
  <c r="M44" i="6"/>
  <c r="N44" i="6"/>
  <c r="F38" i="7" s="1"/>
  <c r="AN44" i="6"/>
  <c r="A38" i="7"/>
  <c r="B137" i="61"/>
  <c r="K60" i="6"/>
  <c r="AN60" i="6"/>
  <c r="N60" i="6"/>
  <c r="F54" i="7" s="1"/>
  <c r="M60" i="6"/>
  <c r="A54" i="7"/>
  <c r="B201" i="61"/>
  <c r="N76" i="6"/>
  <c r="F70" i="7" s="1"/>
  <c r="A70" i="7"/>
  <c r="B265" i="61"/>
  <c r="AN76" i="6"/>
  <c r="K76" i="6"/>
  <c r="M76" i="6"/>
  <c r="N92" i="6"/>
  <c r="F86" i="7" s="1"/>
  <c r="A86" i="7"/>
  <c r="B329" i="61"/>
  <c r="AN92" i="6"/>
  <c r="M92" i="6"/>
  <c r="K92" i="6"/>
  <c r="N108" i="6"/>
  <c r="F102" i="7" s="1"/>
  <c r="A102" i="7"/>
  <c r="B393" i="61"/>
  <c r="K108" i="6"/>
  <c r="M108" i="6"/>
  <c r="AN108" i="6"/>
  <c r="N124" i="6"/>
  <c r="F118" i="7" s="1"/>
  <c r="A118" i="7"/>
  <c r="K124" i="6"/>
  <c r="M124" i="6"/>
  <c r="B457" i="61"/>
  <c r="AN124" i="6"/>
  <c r="AN140" i="6"/>
  <c r="A134" i="7"/>
  <c r="N140" i="6"/>
  <c r="F134" i="7" s="1"/>
  <c r="K140" i="6"/>
  <c r="C134" i="7" s="1"/>
  <c r="M140" i="6"/>
  <c r="K183" i="6"/>
  <c r="C177" i="7" s="1"/>
  <c r="N183" i="6"/>
  <c r="F177" i="7" s="1"/>
  <c r="AN183" i="6"/>
  <c r="M183" i="6"/>
  <c r="A177" i="7"/>
  <c r="S60" i="6"/>
  <c r="E246" i="7" s="1"/>
  <c r="T60" i="6"/>
  <c r="F246" i="7" s="1"/>
  <c r="B202" i="61"/>
  <c r="Q60" i="6"/>
  <c r="AO60" i="6"/>
  <c r="A246" i="7"/>
  <c r="B21" i="61"/>
  <c r="L15" i="6"/>
  <c r="A9" i="7"/>
  <c r="N15" i="6"/>
  <c r="F9" i="7" s="1"/>
  <c r="M15" i="6"/>
  <c r="K15" i="6"/>
  <c r="AN15" i="6"/>
  <c r="J15" i="6"/>
  <c r="B53" i="61"/>
  <c r="N23" i="6"/>
  <c r="F17" i="7" s="1"/>
  <c r="A17" i="7"/>
  <c r="AN23" i="6"/>
  <c r="M23" i="6"/>
  <c r="L23" i="6"/>
  <c r="K23" i="6"/>
  <c r="J23" i="6"/>
  <c r="A29" i="7"/>
  <c r="B101" i="61"/>
  <c r="N35" i="6"/>
  <c r="F29" i="7" s="1"/>
  <c r="K35" i="6"/>
  <c r="M35" i="6"/>
  <c r="AN35" i="6"/>
  <c r="A45" i="7"/>
  <c r="B165" i="61"/>
  <c r="N51" i="6"/>
  <c r="F45" i="7" s="1"/>
  <c r="K51" i="6"/>
  <c r="M51" i="6"/>
  <c r="AN51" i="6"/>
  <c r="A61" i="7"/>
  <c r="B229" i="61"/>
  <c r="K67" i="6"/>
  <c r="AN67" i="6"/>
  <c r="M67" i="6"/>
  <c r="N67" i="6"/>
  <c r="F61" i="7" s="1"/>
  <c r="A77" i="7"/>
  <c r="B293" i="61"/>
  <c r="N83" i="6"/>
  <c r="F77" i="7" s="1"/>
  <c r="K83" i="6"/>
  <c r="M83" i="6"/>
  <c r="AN83" i="6"/>
  <c r="A93" i="7"/>
  <c r="B357" i="61"/>
  <c r="N99" i="6"/>
  <c r="F93" i="7" s="1"/>
  <c r="K99" i="6"/>
  <c r="M99" i="6"/>
  <c r="AN99" i="6"/>
  <c r="A109" i="7"/>
  <c r="B421" i="61"/>
  <c r="N115" i="6"/>
  <c r="F109" i="7" s="1"/>
  <c r="K115" i="6"/>
  <c r="M115" i="6"/>
  <c r="AN115" i="6"/>
  <c r="A125" i="7"/>
  <c r="B485" i="61"/>
  <c r="N131" i="6"/>
  <c r="F125" i="7" s="1"/>
  <c r="K131" i="6"/>
  <c r="M131" i="6"/>
  <c r="AN131" i="6"/>
  <c r="N147" i="6"/>
  <c r="F141" i="7" s="1"/>
  <c r="K147" i="6"/>
  <c r="C141" i="7" s="1"/>
  <c r="AN147" i="6"/>
  <c r="A141" i="7"/>
  <c r="M147" i="6"/>
  <c r="M146" i="6"/>
  <c r="AN146" i="6"/>
  <c r="K146" i="6"/>
  <c r="C140" i="7" s="1"/>
  <c r="N146" i="6"/>
  <c r="F140" i="7" s="1"/>
  <c r="A140" i="7"/>
  <c r="N162" i="6"/>
  <c r="F156" i="7" s="1"/>
  <c r="AN162" i="6"/>
  <c r="K162" i="6"/>
  <c r="C156" i="7" s="1"/>
  <c r="M162" i="6"/>
  <c r="A156" i="7"/>
  <c r="N178" i="6"/>
  <c r="F172" i="7" s="1"/>
  <c r="AN178" i="6"/>
  <c r="K178" i="6"/>
  <c r="C172" i="7" s="1"/>
  <c r="M178" i="6"/>
  <c r="A172" i="7"/>
  <c r="N194" i="6"/>
  <c r="F188" i="7" s="1"/>
  <c r="AN194" i="6"/>
  <c r="K194" i="6"/>
  <c r="C188" i="7" s="1"/>
  <c r="M194" i="6"/>
  <c r="A188" i="7"/>
  <c r="A151" i="7"/>
  <c r="N157" i="6"/>
  <c r="F151" i="7" s="1"/>
  <c r="M157" i="6"/>
  <c r="K157" i="6"/>
  <c r="C151" i="7" s="1"/>
  <c r="AN157" i="6"/>
  <c r="A167" i="7"/>
  <c r="N173" i="6"/>
  <c r="F167" i="7" s="1"/>
  <c r="M173" i="6"/>
  <c r="K173" i="6"/>
  <c r="C167" i="7" s="1"/>
  <c r="AN173" i="6"/>
  <c r="A183" i="7"/>
  <c r="N189" i="6"/>
  <c r="F183" i="7" s="1"/>
  <c r="M189" i="6"/>
  <c r="K189" i="6"/>
  <c r="C183" i="7" s="1"/>
  <c r="AN189" i="6"/>
  <c r="AE146" i="6"/>
  <c r="AQ146" i="6"/>
  <c r="AD146" i="6"/>
  <c r="AC146" i="6"/>
  <c r="AB146" i="6"/>
  <c r="AF146" i="6"/>
  <c r="AE162" i="6"/>
  <c r="AF162" i="6"/>
  <c r="AD162" i="6"/>
  <c r="AQ162" i="6"/>
  <c r="AC162" i="6"/>
  <c r="AB162" i="6"/>
  <c r="AE178" i="6"/>
  <c r="AF178" i="6"/>
  <c r="AD178" i="6"/>
  <c r="AQ178" i="6"/>
  <c r="AC178" i="6"/>
  <c r="AB178" i="6"/>
  <c r="AE194" i="6"/>
  <c r="AF194" i="6"/>
  <c r="AD194" i="6"/>
  <c r="AQ194" i="6"/>
  <c r="AC194" i="6"/>
  <c r="AB194" i="6"/>
  <c r="Y44" i="6"/>
  <c r="E425" i="7" s="1"/>
  <c r="A425" i="7"/>
  <c r="AP44" i="6"/>
  <c r="W44" i="6"/>
  <c r="B139" i="61"/>
  <c r="Z44" i="6"/>
  <c r="F425" i="7" s="1"/>
  <c r="Y60" i="6"/>
  <c r="E441" i="7" s="1"/>
  <c r="A441" i="7"/>
  <c r="AP60" i="6"/>
  <c r="W60" i="6"/>
  <c r="B203" i="61"/>
  <c r="Z60" i="6"/>
  <c r="F441" i="7" s="1"/>
  <c r="AP76" i="6"/>
  <c r="A457" i="7"/>
  <c r="W76" i="6"/>
  <c r="Y76" i="6"/>
  <c r="E457" i="7" s="1"/>
  <c r="B267" i="61"/>
  <c r="Z76" i="6"/>
  <c r="F457" i="7" s="1"/>
  <c r="Y92" i="6"/>
  <c r="E473" i="7" s="1"/>
  <c r="A473" i="7"/>
  <c r="AP92" i="6"/>
  <c r="W92" i="6"/>
  <c r="B331" i="61"/>
  <c r="Z92" i="6"/>
  <c r="F473" i="7" s="1"/>
  <c r="Y108" i="6"/>
  <c r="E489" i="7" s="1"/>
  <c r="A489" i="7"/>
  <c r="AP108" i="6"/>
  <c r="W108" i="6"/>
  <c r="B395" i="61"/>
  <c r="Z108" i="6"/>
  <c r="F489" i="7" s="1"/>
  <c r="Y124" i="6"/>
  <c r="E505" i="7" s="1"/>
  <c r="A505" i="7"/>
  <c r="AP124" i="6"/>
  <c r="W124" i="6"/>
  <c r="B459" i="61"/>
  <c r="Z124" i="6"/>
  <c r="F505" i="7" s="1"/>
  <c r="Z140" i="6"/>
  <c r="F521" i="7" s="1"/>
  <c r="AP140" i="6"/>
  <c r="A521" i="7"/>
  <c r="Y140" i="6"/>
  <c r="E521" i="7" s="1"/>
  <c r="W140" i="6"/>
  <c r="C521" i="7" s="1"/>
  <c r="AF185" i="6"/>
  <c r="AE185" i="6"/>
  <c r="AQ185" i="6"/>
  <c r="AC185" i="6"/>
  <c r="AB185" i="6"/>
  <c r="AD185" i="6"/>
  <c r="K66" i="6"/>
  <c r="A60" i="7"/>
  <c r="B225" i="61"/>
  <c r="N66" i="6"/>
  <c r="F60" i="7" s="1"/>
  <c r="M66" i="6"/>
  <c r="AN66" i="6"/>
  <c r="AR66" i="6" s="1"/>
  <c r="W15" i="6"/>
  <c r="V15" i="6"/>
  <c r="B23" i="61"/>
  <c r="AP15" i="6"/>
  <c r="A396" i="7"/>
  <c r="Z15" i="6"/>
  <c r="F396" i="7" s="1"/>
  <c r="Y15" i="6"/>
  <c r="E396" i="7" s="1"/>
  <c r="X15" i="6"/>
  <c r="A404" i="7"/>
  <c r="V23" i="6"/>
  <c r="B55" i="61"/>
  <c r="Z23" i="6"/>
  <c r="F404" i="7" s="1"/>
  <c r="X23" i="6"/>
  <c r="W23" i="6"/>
  <c r="Y23" i="6"/>
  <c r="E404" i="7" s="1"/>
  <c r="AP23" i="6"/>
  <c r="A416" i="7"/>
  <c r="Y35" i="6"/>
  <c r="E416" i="7" s="1"/>
  <c r="W35" i="6"/>
  <c r="B103" i="61"/>
  <c r="AP35" i="6"/>
  <c r="Z35" i="6"/>
  <c r="F416" i="7" s="1"/>
  <c r="A432" i="7"/>
  <c r="Y51" i="6"/>
  <c r="E432" i="7" s="1"/>
  <c r="Z51" i="6"/>
  <c r="F432" i="7" s="1"/>
  <c r="B167" i="61"/>
  <c r="AP51" i="6"/>
  <c r="W51" i="6"/>
  <c r="A448" i="7"/>
  <c r="Y67" i="6"/>
  <c r="E448" i="7" s="1"/>
  <c r="Z67" i="6"/>
  <c r="F448" i="7" s="1"/>
  <c r="B231" i="61"/>
  <c r="AP67" i="6"/>
  <c r="W67" i="6"/>
  <c r="A464" i="7"/>
  <c r="Y83" i="6"/>
  <c r="E464" i="7" s="1"/>
  <c r="W83" i="6"/>
  <c r="B295" i="61"/>
  <c r="AP83" i="6"/>
  <c r="Z83" i="6"/>
  <c r="F464" i="7" s="1"/>
  <c r="A480" i="7"/>
  <c r="Y99" i="6"/>
  <c r="E480" i="7" s="1"/>
  <c r="Z99" i="6"/>
  <c r="F480" i="7" s="1"/>
  <c r="B359" i="61"/>
  <c r="AP99" i="6"/>
  <c r="W99" i="6"/>
  <c r="A496" i="7"/>
  <c r="Y115" i="6"/>
  <c r="E496" i="7" s="1"/>
  <c r="Z115" i="6"/>
  <c r="F496" i="7" s="1"/>
  <c r="B423" i="61"/>
  <c r="AP115" i="6"/>
  <c r="W115" i="6"/>
  <c r="A512" i="7"/>
  <c r="Y131" i="6"/>
  <c r="E512" i="7" s="1"/>
  <c r="Z131" i="6"/>
  <c r="F512" i="7" s="1"/>
  <c r="B487" i="61"/>
  <c r="AP131" i="6"/>
  <c r="W131" i="6"/>
  <c r="A143" i="7"/>
  <c r="M149" i="6"/>
  <c r="N149" i="6"/>
  <c r="F143" i="7" s="1"/>
  <c r="AN149" i="6"/>
  <c r="AR149" i="6" s="1"/>
  <c r="K149" i="6"/>
  <c r="C143" i="7" s="1"/>
  <c r="Z146" i="6"/>
  <c r="F527" i="7" s="1"/>
  <c r="A527" i="7"/>
  <c r="AP146" i="6"/>
  <c r="W146" i="6"/>
  <c r="C527" i="7" s="1"/>
  <c r="Y146" i="6"/>
  <c r="E527" i="7" s="1"/>
  <c r="Y162" i="6"/>
  <c r="E543" i="7" s="1"/>
  <c r="A543" i="7"/>
  <c r="Z162" i="6"/>
  <c r="F543" i="7" s="1"/>
  <c r="W162" i="6"/>
  <c r="C543" i="7" s="1"/>
  <c r="AP162" i="6"/>
  <c r="Y178" i="6"/>
  <c r="E559" i="7" s="1"/>
  <c r="A559" i="7"/>
  <c r="Z178" i="6"/>
  <c r="F559" i="7" s="1"/>
  <c r="W178" i="6"/>
  <c r="C559" i="7" s="1"/>
  <c r="AP178" i="6"/>
  <c r="Y194" i="6"/>
  <c r="E575" i="7" s="1"/>
  <c r="A575" i="7"/>
  <c r="Z194" i="6"/>
  <c r="F575" i="7" s="1"/>
  <c r="W194" i="6"/>
  <c r="C575" i="7" s="1"/>
  <c r="AP194" i="6"/>
  <c r="A538" i="7"/>
  <c r="AP157" i="6"/>
  <c r="Y157" i="6"/>
  <c r="E538" i="7" s="1"/>
  <c r="Z157" i="6"/>
  <c r="F538" i="7" s="1"/>
  <c r="W157" i="6"/>
  <c r="C538" i="7" s="1"/>
  <c r="A554" i="7"/>
  <c r="AP173" i="6"/>
  <c r="Y173" i="6"/>
  <c r="E554" i="7" s="1"/>
  <c r="Z173" i="6"/>
  <c r="F554" i="7" s="1"/>
  <c r="W173" i="6"/>
  <c r="C554" i="7" s="1"/>
  <c r="A570" i="7"/>
  <c r="AP189" i="6"/>
  <c r="Y189" i="6"/>
  <c r="E570" i="7" s="1"/>
  <c r="Z189" i="6"/>
  <c r="F570" i="7" s="1"/>
  <c r="W189" i="6"/>
  <c r="C570" i="7" s="1"/>
  <c r="N148" i="6"/>
  <c r="F142" i="7" s="1"/>
  <c r="A142" i="7"/>
  <c r="AN148" i="6"/>
  <c r="M148" i="6"/>
  <c r="K148" i="6"/>
  <c r="C142" i="7" s="1"/>
  <c r="N164" i="6"/>
  <c r="F158" i="7" s="1"/>
  <c r="A158" i="7"/>
  <c r="AN164" i="6"/>
  <c r="M164" i="6"/>
  <c r="K164" i="6"/>
  <c r="C158" i="7" s="1"/>
  <c r="N180" i="6"/>
  <c r="F174" i="7" s="1"/>
  <c r="A174" i="7"/>
  <c r="AN180" i="6"/>
  <c r="M180" i="6"/>
  <c r="K180" i="6"/>
  <c r="C174" i="7" s="1"/>
  <c r="N196" i="6"/>
  <c r="F190" i="7" s="1"/>
  <c r="A190" i="7"/>
  <c r="AN196" i="6"/>
  <c r="M196" i="6"/>
  <c r="K196" i="6"/>
  <c r="C190" i="7" s="1"/>
  <c r="S122" i="6"/>
  <c r="E308" i="7" s="1"/>
  <c r="AO122" i="6"/>
  <c r="A308" i="7"/>
  <c r="T122" i="6"/>
  <c r="F308" i="7" s="1"/>
  <c r="Q122" i="6"/>
  <c r="B450" i="61"/>
  <c r="S138" i="6"/>
  <c r="E327" i="7" s="1"/>
  <c r="AO138" i="6"/>
  <c r="A327" i="7"/>
  <c r="T138" i="6"/>
  <c r="F327" i="7" s="1"/>
  <c r="Q138" i="6"/>
  <c r="B514" i="61"/>
  <c r="A169" i="7"/>
  <c r="K175" i="6"/>
  <c r="C169" i="7" s="1"/>
  <c r="M175" i="6"/>
  <c r="N175" i="6"/>
  <c r="F169" i="7" s="1"/>
  <c r="AN175" i="6"/>
  <c r="AB56" i="6"/>
  <c r="C188" i="61" s="1"/>
  <c r="B188" i="61"/>
  <c r="AD56" i="6"/>
  <c r="E188" i="61" s="1"/>
  <c r="AF56" i="6"/>
  <c r="AE56" i="6"/>
  <c r="AQ56" i="6"/>
  <c r="AC56" i="6"/>
  <c r="D188" i="61" s="1"/>
  <c r="S14" i="6"/>
  <c r="E200" i="7" s="1"/>
  <c r="A200" i="7"/>
  <c r="P14" i="6"/>
  <c r="Q14" i="6"/>
  <c r="B18" i="61"/>
  <c r="AO14" i="6"/>
  <c r="R14" i="6"/>
  <c r="T14" i="6"/>
  <c r="F200" i="7" s="1"/>
  <c r="S22" i="6"/>
  <c r="E208" i="7" s="1"/>
  <c r="A208" i="7"/>
  <c r="Q22" i="6"/>
  <c r="R22" i="6"/>
  <c r="B50" i="61"/>
  <c r="AO22" i="6"/>
  <c r="P22" i="6"/>
  <c r="T22" i="6"/>
  <c r="F208" i="7" s="1"/>
  <c r="B94" i="61"/>
  <c r="Q33" i="6"/>
  <c r="T33" i="6"/>
  <c r="F219" i="7" s="1"/>
  <c r="S33" i="6"/>
  <c r="E219" i="7" s="1"/>
  <c r="AO33" i="6"/>
  <c r="A219" i="7"/>
  <c r="B158" i="61"/>
  <c r="Q49" i="6"/>
  <c r="T49" i="6"/>
  <c r="F235" i="7" s="1"/>
  <c r="S49" i="6"/>
  <c r="E235" i="7" s="1"/>
  <c r="AO49" i="6"/>
  <c r="A235" i="7"/>
  <c r="B222" i="61"/>
  <c r="Q65" i="6"/>
  <c r="AO65" i="6"/>
  <c r="S65" i="6"/>
  <c r="E251" i="7" s="1"/>
  <c r="T65" i="6"/>
  <c r="F251" i="7" s="1"/>
  <c r="A251" i="7"/>
  <c r="B286" i="61"/>
  <c r="A267" i="7"/>
  <c r="AO81" i="6"/>
  <c r="S81" i="6"/>
  <c r="E267" i="7" s="1"/>
  <c r="Q81" i="6"/>
  <c r="T81" i="6"/>
  <c r="F267" i="7" s="1"/>
  <c r="B350" i="61"/>
  <c r="AO97" i="6"/>
  <c r="Q97" i="6"/>
  <c r="S97" i="6"/>
  <c r="E283" i="7" s="1"/>
  <c r="A283" i="7"/>
  <c r="T97" i="6"/>
  <c r="F283" i="7" s="1"/>
  <c r="B414" i="61"/>
  <c r="AO113" i="6"/>
  <c r="Q113" i="6"/>
  <c r="S113" i="6"/>
  <c r="E299" i="7" s="1"/>
  <c r="A299" i="7"/>
  <c r="T113" i="6"/>
  <c r="F299" i="7" s="1"/>
  <c r="B478" i="61"/>
  <c r="AO129" i="6"/>
  <c r="Q129" i="6"/>
  <c r="S129" i="6"/>
  <c r="E315" i="7" s="1"/>
  <c r="A315" i="7"/>
  <c r="T129" i="6"/>
  <c r="F315" i="7" s="1"/>
  <c r="S144" i="6"/>
  <c r="E333" i="7" s="1"/>
  <c r="Q144" i="6"/>
  <c r="C333" i="7" s="1"/>
  <c r="T144" i="6"/>
  <c r="F333" i="7" s="1"/>
  <c r="AO144" i="6"/>
  <c r="A333" i="7"/>
  <c r="T201" i="6"/>
  <c r="F390" i="7" s="1"/>
  <c r="Q201" i="6"/>
  <c r="C390" i="7" s="1"/>
  <c r="A390" i="7"/>
  <c r="S201" i="6"/>
  <c r="E390" i="7" s="1"/>
  <c r="AO201" i="6"/>
  <c r="AO160" i="6"/>
  <c r="Q160" i="6"/>
  <c r="C349" i="7" s="1"/>
  <c r="T160" i="6"/>
  <c r="F349" i="7" s="1"/>
  <c r="S160" i="6"/>
  <c r="E349" i="7" s="1"/>
  <c r="A349" i="7"/>
  <c r="AO176" i="6"/>
  <c r="Q176" i="6"/>
  <c r="C365" i="7" s="1"/>
  <c r="T176" i="6"/>
  <c r="F365" i="7" s="1"/>
  <c r="S176" i="6"/>
  <c r="E365" i="7" s="1"/>
  <c r="A365" i="7"/>
  <c r="AO192" i="6"/>
  <c r="Q192" i="6"/>
  <c r="C381" i="7" s="1"/>
  <c r="T192" i="6"/>
  <c r="F381" i="7" s="1"/>
  <c r="S192" i="6"/>
  <c r="E381" i="7" s="1"/>
  <c r="A381" i="7"/>
  <c r="S155" i="6"/>
  <c r="E344" i="7" s="1"/>
  <c r="AO155" i="6"/>
  <c r="A344" i="7"/>
  <c r="Q155" i="6"/>
  <c r="C344" i="7" s="1"/>
  <c r="T155" i="6"/>
  <c r="F344" i="7" s="1"/>
  <c r="S171" i="6"/>
  <c r="E360" i="7" s="1"/>
  <c r="AO171" i="6"/>
  <c r="A360" i="7"/>
  <c r="Q171" i="6"/>
  <c r="C360" i="7" s="1"/>
  <c r="T171" i="6"/>
  <c r="F360" i="7" s="1"/>
  <c r="S187" i="6"/>
  <c r="E376" i="7" s="1"/>
  <c r="AO187" i="6"/>
  <c r="A376" i="7"/>
  <c r="Q187" i="6"/>
  <c r="C376" i="7" s="1"/>
  <c r="T187" i="6"/>
  <c r="F376" i="7" s="1"/>
  <c r="A525" i="7"/>
  <c r="AP144" i="6"/>
  <c r="W144" i="6"/>
  <c r="C525" i="7" s="1"/>
  <c r="Z144" i="6"/>
  <c r="F525" i="7" s="1"/>
  <c r="Y144" i="6"/>
  <c r="E525" i="7" s="1"/>
  <c r="A541" i="7"/>
  <c r="AP160" i="6"/>
  <c r="W160" i="6"/>
  <c r="C541" i="7" s="1"/>
  <c r="Z160" i="6"/>
  <c r="F541" i="7" s="1"/>
  <c r="Y160" i="6"/>
  <c r="E541" i="7" s="1"/>
  <c r="A557" i="7"/>
  <c r="AP176" i="6"/>
  <c r="W176" i="6"/>
  <c r="C557" i="7" s="1"/>
  <c r="Z176" i="6"/>
  <c r="F557" i="7" s="1"/>
  <c r="Y176" i="6"/>
  <c r="E557" i="7" s="1"/>
  <c r="A573" i="7"/>
  <c r="AP192" i="6"/>
  <c r="W192" i="6"/>
  <c r="C573" i="7" s="1"/>
  <c r="Z192" i="6"/>
  <c r="F573" i="7" s="1"/>
  <c r="Y192" i="6"/>
  <c r="E573" i="7" s="1"/>
  <c r="M90" i="6"/>
  <c r="K90" i="6"/>
  <c r="A84" i="7"/>
  <c r="N90" i="6"/>
  <c r="F84" i="7" s="1"/>
  <c r="B321" i="61"/>
  <c r="AN90" i="6"/>
  <c r="AR90" i="6" s="1"/>
  <c r="AD18" i="6"/>
  <c r="E36" i="61" s="1"/>
  <c r="AQ18" i="6"/>
  <c r="AF18" i="6"/>
  <c r="AE18" i="6"/>
  <c r="AB18" i="6"/>
  <c r="C36" i="61" s="1"/>
  <c r="AC18" i="6"/>
  <c r="D36" i="61" s="1"/>
  <c r="B36" i="61"/>
  <c r="AD26" i="6"/>
  <c r="E68" i="61" s="1"/>
  <c r="AC26" i="6"/>
  <c r="D68" i="61" s="1"/>
  <c r="AF26" i="6"/>
  <c r="AE26" i="6"/>
  <c r="AQ26" i="6"/>
  <c r="AB26" i="6"/>
  <c r="C68" i="61" s="1"/>
  <c r="B68" i="61"/>
  <c r="AD41" i="6"/>
  <c r="E128" i="61" s="1"/>
  <c r="AF41" i="6"/>
  <c r="B128" i="61"/>
  <c r="AQ41" i="6"/>
  <c r="AC41" i="6"/>
  <c r="D128" i="61" s="1"/>
  <c r="AB41" i="6"/>
  <c r="C128" i="61" s="1"/>
  <c r="AE41" i="6"/>
  <c r="AQ57" i="6"/>
  <c r="AC57" i="6"/>
  <c r="D192" i="61" s="1"/>
  <c r="B192" i="61"/>
  <c r="AF57" i="6"/>
  <c r="AD57" i="6"/>
  <c r="E192" i="61" s="1"/>
  <c r="AB57" i="6"/>
  <c r="C192" i="61" s="1"/>
  <c r="AE57" i="6"/>
  <c r="AQ73" i="6"/>
  <c r="AF73" i="6"/>
  <c r="B256" i="61"/>
  <c r="AB73" i="6"/>
  <c r="C256" i="61" s="1"/>
  <c r="AD73" i="6"/>
  <c r="E256" i="61" s="1"/>
  <c r="AC73" i="6"/>
  <c r="D256" i="61" s="1"/>
  <c r="AE73" i="6"/>
  <c r="AD89" i="6"/>
  <c r="E320" i="61" s="1"/>
  <c r="AC89" i="6"/>
  <c r="D320" i="61" s="1"/>
  <c r="B320" i="61"/>
  <c r="AQ89" i="6"/>
  <c r="AF89" i="6"/>
  <c r="AB89" i="6"/>
  <c r="C320" i="61" s="1"/>
  <c r="AE89" i="6"/>
  <c r="AD105" i="6"/>
  <c r="E384" i="61" s="1"/>
  <c r="AF105" i="6"/>
  <c r="B384" i="61"/>
  <c r="AQ105" i="6"/>
  <c r="AC105" i="6"/>
  <c r="D384" i="61" s="1"/>
  <c r="AB105" i="6"/>
  <c r="C384" i="61" s="1"/>
  <c r="AE105" i="6"/>
  <c r="AD121" i="6"/>
  <c r="E448" i="61" s="1"/>
  <c r="AF121" i="6"/>
  <c r="B448" i="61"/>
  <c r="AQ121" i="6"/>
  <c r="AC121" i="6"/>
  <c r="D448" i="61" s="1"/>
  <c r="AB121" i="6"/>
  <c r="C448" i="61" s="1"/>
  <c r="AE121" i="6"/>
  <c r="AD137" i="6"/>
  <c r="E512" i="61" s="1"/>
  <c r="AF137" i="6"/>
  <c r="B512" i="61"/>
  <c r="AQ137" i="6"/>
  <c r="AC137" i="6"/>
  <c r="D512" i="61" s="1"/>
  <c r="AB137" i="6"/>
  <c r="C512" i="61" s="1"/>
  <c r="AE137" i="6"/>
  <c r="Z171" i="6"/>
  <c r="F552" i="7" s="1"/>
  <c r="AP171" i="6"/>
  <c r="A552" i="7"/>
  <c r="W171" i="6"/>
  <c r="C552" i="7" s="1"/>
  <c r="Y171" i="6"/>
  <c r="E552" i="7" s="1"/>
  <c r="AQ152" i="6"/>
  <c r="AD152" i="6"/>
  <c r="AB152" i="6"/>
  <c r="AE152" i="6"/>
  <c r="AF152" i="6"/>
  <c r="AC152" i="6"/>
  <c r="AQ168" i="6"/>
  <c r="AD168" i="6"/>
  <c r="AB168" i="6"/>
  <c r="AE168" i="6"/>
  <c r="AF168" i="6"/>
  <c r="AC168" i="6"/>
  <c r="AQ184" i="6"/>
  <c r="AD184" i="6"/>
  <c r="AB184" i="6"/>
  <c r="AE184" i="6"/>
  <c r="AF184" i="6"/>
  <c r="AC184" i="6"/>
  <c r="AQ200" i="6"/>
  <c r="AD200" i="6"/>
  <c r="AB200" i="6"/>
  <c r="AE200" i="6"/>
  <c r="AF200" i="6"/>
  <c r="AC200" i="6"/>
  <c r="AC163" i="6"/>
  <c r="AD163" i="6"/>
  <c r="AE163" i="6"/>
  <c r="AQ163" i="6"/>
  <c r="AB163" i="6"/>
  <c r="AF163" i="6"/>
  <c r="AC179" i="6"/>
  <c r="AD179" i="6"/>
  <c r="AE179" i="6"/>
  <c r="AQ179" i="6"/>
  <c r="AB179" i="6"/>
  <c r="AF179" i="6"/>
  <c r="AC195" i="6"/>
  <c r="AD195" i="6"/>
  <c r="AE195" i="6"/>
  <c r="AQ195" i="6"/>
  <c r="AB195" i="6"/>
  <c r="AF195" i="6"/>
  <c r="S154" i="6"/>
  <c r="E343" i="7" s="1"/>
  <c r="A343" i="7"/>
  <c r="AO154" i="6"/>
  <c r="Q154" i="6"/>
  <c r="C343" i="7" s="1"/>
  <c r="T154" i="6"/>
  <c r="F343" i="7" s="1"/>
  <c r="S170" i="6"/>
  <c r="E359" i="7" s="1"/>
  <c r="A359" i="7"/>
  <c r="AO170" i="6"/>
  <c r="Q170" i="6"/>
  <c r="C359" i="7" s="1"/>
  <c r="T170" i="6"/>
  <c r="F359" i="7" s="1"/>
  <c r="S186" i="6"/>
  <c r="E375" i="7" s="1"/>
  <c r="A375" i="7"/>
  <c r="AO186" i="6"/>
  <c r="Q186" i="6"/>
  <c r="C375" i="7" s="1"/>
  <c r="T186" i="6"/>
  <c r="F375" i="7" s="1"/>
  <c r="S202" i="6"/>
  <c r="E391" i="7" s="1"/>
  <c r="A391" i="7"/>
  <c r="AO202" i="6"/>
  <c r="Q202" i="6"/>
  <c r="C391" i="7" s="1"/>
  <c r="T202" i="6"/>
  <c r="F391" i="7" s="1"/>
  <c r="A31" i="7"/>
  <c r="M37" i="6"/>
  <c r="B109" i="61"/>
  <c r="N37" i="6"/>
  <c r="F31" i="7" s="1"/>
  <c r="K37" i="6"/>
  <c r="AN37" i="6"/>
  <c r="A47" i="7"/>
  <c r="M53" i="6"/>
  <c r="B173" i="61"/>
  <c r="N53" i="6"/>
  <c r="F47" i="7" s="1"/>
  <c r="K53" i="6"/>
  <c r="AN53" i="6"/>
  <c r="A63" i="7"/>
  <c r="M69" i="6"/>
  <c r="B237" i="61"/>
  <c r="N69" i="6"/>
  <c r="F63" i="7" s="1"/>
  <c r="K69" i="6"/>
  <c r="AN69" i="6"/>
  <c r="A79" i="7"/>
  <c r="M85" i="6"/>
  <c r="B301" i="61"/>
  <c r="N85" i="6"/>
  <c r="F79" i="7" s="1"/>
  <c r="K85" i="6"/>
  <c r="AN85" i="6"/>
  <c r="A95" i="7"/>
  <c r="M101" i="6"/>
  <c r="B365" i="61"/>
  <c r="N101" i="6"/>
  <c r="F95" i="7" s="1"/>
  <c r="K101" i="6"/>
  <c r="AN101" i="6"/>
  <c r="A111" i="7"/>
  <c r="M117" i="6"/>
  <c r="B429" i="61"/>
  <c r="N117" i="6"/>
  <c r="F111" i="7" s="1"/>
  <c r="K117" i="6"/>
  <c r="AN117" i="6"/>
  <c r="A127" i="7"/>
  <c r="M133" i="6"/>
  <c r="B493" i="61"/>
  <c r="N133" i="6"/>
  <c r="F127" i="7" s="1"/>
  <c r="K133" i="6"/>
  <c r="AN133" i="6"/>
  <c r="T157" i="6"/>
  <c r="F346" i="7" s="1"/>
  <c r="A346" i="7"/>
  <c r="AO157" i="6"/>
  <c r="Q157" i="6"/>
  <c r="C346" i="7" s="1"/>
  <c r="S157" i="6"/>
  <c r="E346" i="7" s="1"/>
  <c r="AP62" i="6"/>
  <c r="W62" i="6"/>
  <c r="A443" i="7"/>
  <c r="B211" i="61"/>
  <c r="Y62" i="6"/>
  <c r="E443" i="7" s="1"/>
  <c r="Z62" i="6"/>
  <c r="F443" i="7" s="1"/>
  <c r="B100" i="61"/>
  <c r="AB34" i="6"/>
  <c r="C100" i="61" s="1"/>
  <c r="AQ34" i="6"/>
  <c r="AC34" i="6"/>
  <c r="D100" i="61" s="1"/>
  <c r="AF34" i="6"/>
  <c r="AE34" i="6"/>
  <c r="AD34" i="6"/>
  <c r="E100" i="61" s="1"/>
  <c r="S62" i="6"/>
  <c r="E248" i="7" s="1"/>
  <c r="Q62" i="6"/>
  <c r="AO62" i="6"/>
  <c r="T62" i="6"/>
  <c r="F248" i="7" s="1"/>
  <c r="A248" i="7"/>
  <c r="B210" i="61"/>
  <c r="Q94" i="6"/>
  <c r="S94" i="6"/>
  <c r="E280" i="7" s="1"/>
  <c r="AO94" i="6"/>
  <c r="T94" i="6"/>
  <c r="F280" i="7" s="1"/>
  <c r="A280" i="7"/>
  <c r="B338" i="61"/>
  <c r="B516" i="61"/>
  <c r="AB138" i="6"/>
  <c r="C516" i="61" s="1"/>
  <c r="AQ138" i="6"/>
  <c r="AC138" i="6"/>
  <c r="D516" i="61" s="1"/>
  <c r="AF138" i="6"/>
  <c r="AE138" i="6"/>
  <c r="AD138" i="6"/>
  <c r="E516" i="61" s="1"/>
  <c r="K48" i="6"/>
  <c r="B153" i="61"/>
  <c r="N48" i="6"/>
  <c r="F42" i="7" s="1"/>
  <c r="AN48" i="6"/>
  <c r="M48" i="6"/>
  <c r="A42" i="7"/>
  <c r="B217" i="61"/>
  <c r="N64" i="6"/>
  <c r="F58" i="7" s="1"/>
  <c r="M64" i="6"/>
  <c r="A58" i="7"/>
  <c r="AN64" i="6"/>
  <c r="K64" i="6"/>
  <c r="B281" i="61"/>
  <c r="N80" i="6"/>
  <c r="F74" i="7" s="1"/>
  <c r="A74" i="7"/>
  <c r="K80" i="6"/>
  <c r="AN80" i="6"/>
  <c r="M80" i="6"/>
  <c r="B345" i="61"/>
  <c r="N96" i="6"/>
  <c r="F90" i="7" s="1"/>
  <c r="A90" i="7"/>
  <c r="K96" i="6"/>
  <c r="M96" i="6"/>
  <c r="AN96" i="6"/>
  <c r="B409" i="61"/>
  <c r="N112" i="6"/>
  <c r="F106" i="7" s="1"/>
  <c r="A106" i="7"/>
  <c r="K112" i="6"/>
  <c r="M112" i="6"/>
  <c r="AN112" i="6"/>
  <c r="B473" i="61"/>
  <c r="N128" i="6"/>
  <c r="F122" i="7" s="1"/>
  <c r="AN128" i="6"/>
  <c r="M128" i="6"/>
  <c r="A122" i="7"/>
  <c r="K128" i="6"/>
  <c r="K144" i="6"/>
  <c r="C138" i="7" s="1"/>
  <c r="A138" i="7"/>
  <c r="AN144" i="6"/>
  <c r="AR144" i="6" s="1"/>
  <c r="M144" i="6"/>
  <c r="N144" i="6"/>
  <c r="F138" i="7" s="1"/>
  <c r="M199" i="6"/>
  <c r="AN199" i="6"/>
  <c r="A193" i="7"/>
  <c r="N199" i="6"/>
  <c r="F193" i="7" s="1"/>
  <c r="K199" i="6"/>
  <c r="C193" i="7" s="1"/>
  <c r="B259" i="61"/>
  <c r="AP74" i="6"/>
  <c r="W74" i="6"/>
  <c r="A455" i="7"/>
  <c r="Z74" i="6"/>
  <c r="F455" i="7" s="1"/>
  <c r="Y74" i="6"/>
  <c r="E455" i="7" s="1"/>
  <c r="M17" i="6"/>
  <c r="AN17" i="6"/>
  <c r="J17" i="6"/>
  <c r="A11" i="7"/>
  <c r="L17" i="6"/>
  <c r="B29" i="61"/>
  <c r="K17" i="6"/>
  <c r="N17" i="6"/>
  <c r="F11" i="7" s="1"/>
  <c r="M25" i="6"/>
  <c r="L25" i="6"/>
  <c r="N25" i="6"/>
  <c r="F19" i="7" s="1"/>
  <c r="A19" i="7"/>
  <c r="J25" i="6"/>
  <c r="B61" i="61"/>
  <c r="K25" i="6"/>
  <c r="AN25" i="6"/>
  <c r="M39" i="6"/>
  <c r="N39" i="6"/>
  <c r="F33" i="7" s="1"/>
  <c r="B117" i="61"/>
  <c r="A33" i="7"/>
  <c r="K39" i="6"/>
  <c r="AN39" i="6"/>
  <c r="M55" i="6"/>
  <c r="N55" i="6"/>
  <c r="F49" i="7" s="1"/>
  <c r="B181" i="61"/>
  <c r="A49" i="7"/>
  <c r="K55" i="6"/>
  <c r="AN55" i="6"/>
  <c r="M71" i="6"/>
  <c r="K71" i="6"/>
  <c r="B245" i="61"/>
  <c r="N71" i="6"/>
  <c r="F65" i="7" s="1"/>
  <c r="AN71" i="6"/>
  <c r="A65" i="7"/>
  <c r="M87" i="6"/>
  <c r="N87" i="6"/>
  <c r="F81" i="7" s="1"/>
  <c r="B309" i="61"/>
  <c r="A81" i="7"/>
  <c r="K87" i="6"/>
  <c r="AN87" i="6"/>
  <c r="M103" i="6"/>
  <c r="N103" i="6"/>
  <c r="F97" i="7" s="1"/>
  <c r="B373" i="61"/>
  <c r="A97" i="7"/>
  <c r="K103" i="6"/>
  <c r="AN103" i="6"/>
  <c r="M119" i="6"/>
  <c r="N119" i="6"/>
  <c r="F113" i="7" s="1"/>
  <c r="B437" i="61"/>
  <c r="A113" i="7"/>
  <c r="K119" i="6"/>
  <c r="AN119" i="6"/>
  <c r="M135" i="6"/>
  <c r="N135" i="6"/>
  <c r="F129" i="7" s="1"/>
  <c r="B501" i="61"/>
  <c r="A129" i="7"/>
  <c r="K135" i="6"/>
  <c r="AN135" i="6"/>
  <c r="A350" i="7"/>
  <c r="Q161" i="6"/>
  <c r="C350" i="7" s="1"/>
  <c r="S161" i="6"/>
  <c r="E350" i="7" s="1"/>
  <c r="T161" i="6"/>
  <c r="F350" i="7" s="1"/>
  <c r="AO161" i="6"/>
  <c r="M150" i="6"/>
  <c r="K150" i="6"/>
  <c r="C144" i="7" s="1"/>
  <c r="A144" i="7"/>
  <c r="AN150" i="6"/>
  <c r="N150" i="6"/>
  <c r="F144" i="7" s="1"/>
  <c r="M166" i="6"/>
  <c r="K166" i="6"/>
  <c r="C160" i="7" s="1"/>
  <c r="A160" i="7"/>
  <c r="AN166" i="6"/>
  <c r="N166" i="6"/>
  <c r="F160" i="7" s="1"/>
  <c r="M182" i="6"/>
  <c r="K182" i="6"/>
  <c r="C176" i="7" s="1"/>
  <c r="A176" i="7"/>
  <c r="AN182" i="6"/>
  <c r="N182" i="6"/>
  <c r="F176" i="7" s="1"/>
  <c r="M198" i="6"/>
  <c r="K198" i="6"/>
  <c r="C192" i="7" s="1"/>
  <c r="A192" i="7"/>
  <c r="AN198" i="6"/>
  <c r="N198" i="6"/>
  <c r="F192" i="7" s="1"/>
  <c r="A155" i="7"/>
  <c r="M161" i="6"/>
  <c r="K161" i="6"/>
  <c r="C155" i="7" s="1"/>
  <c r="N161" i="6"/>
  <c r="F155" i="7" s="1"/>
  <c r="AN161" i="6"/>
  <c r="A171" i="7"/>
  <c r="M177" i="6"/>
  <c r="K177" i="6"/>
  <c r="C171" i="7" s="1"/>
  <c r="N177" i="6"/>
  <c r="F171" i="7" s="1"/>
  <c r="AN177" i="6"/>
  <c r="A187" i="7"/>
  <c r="M193" i="6"/>
  <c r="K193" i="6"/>
  <c r="C187" i="7" s="1"/>
  <c r="N193" i="6"/>
  <c r="F187" i="7" s="1"/>
  <c r="AN193" i="6"/>
  <c r="AQ150" i="6"/>
  <c r="AE150" i="6"/>
  <c r="AF150" i="6"/>
  <c r="AB150" i="6"/>
  <c r="AD150" i="6"/>
  <c r="AC150" i="6"/>
  <c r="AQ166" i="6"/>
  <c r="AE166" i="6"/>
  <c r="AF166" i="6"/>
  <c r="AB166" i="6"/>
  <c r="AD166" i="6"/>
  <c r="AC166" i="6"/>
  <c r="AQ182" i="6"/>
  <c r="AE182" i="6"/>
  <c r="AF182" i="6"/>
  <c r="AB182" i="6"/>
  <c r="AD182" i="6"/>
  <c r="AC182" i="6"/>
  <c r="AQ198" i="6"/>
  <c r="AE198" i="6"/>
  <c r="AF198" i="6"/>
  <c r="AB198" i="6"/>
  <c r="AD198" i="6"/>
  <c r="AC198" i="6"/>
  <c r="Z48" i="6"/>
  <c r="F429" i="7" s="1"/>
  <c r="A429" i="7"/>
  <c r="AP48" i="6"/>
  <c r="W48" i="6"/>
  <c r="B155" i="61"/>
  <c r="Y48" i="6"/>
  <c r="E429" i="7" s="1"/>
  <c r="Z64" i="6"/>
  <c r="F445" i="7" s="1"/>
  <c r="A445" i="7"/>
  <c r="AP64" i="6"/>
  <c r="W64" i="6"/>
  <c r="B219" i="61"/>
  <c r="Y64" i="6"/>
  <c r="E445" i="7" s="1"/>
  <c r="Z80" i="6"/>
  <c r="F461" i="7" s="1"/>
  <c r="A461" i="7"/>
  <c r="AP80" i="6"/>
  <c r="W80" i="6"/>
  <c r="B283" i="61"/>
  <c r="Y80" i="6"/>
  <c r="E461" i="7" s="1"/>
  <c r="Z96" i="6"/>
  <c r="F477" i="7" s="1"/>
  <c r="A477" i="7"/>
  <c r="AP96" i="6"/>
  <c r="W96" i="6"/>
  <c r="B347" i="61"/>
  <c r="Y96" i="6"/>
  <c r="E477" i="7" s="1"/>
  <c r="B411" i="61"/>
  <c r="Y112" i="6"/>
  <c r="E493" i="7" s="1"/>
  <c r="A493" i="7"/>
  <c r="W112" i="6"/>
  <c r="Z112" i="6"/>
  <c r="F493" i="7" s="1"/>
  <c r="AP112" i="6"/>
  <c r="Z128" i="6"/>
  <c r="F509" i="7" s="1"/>
  <c r="A509" i="7"/>
  <c r="AP128" i="6"/>
  <c r="W128" i="6"/>
  <c r="B475" i="61"/>
  <c r="Y128" i="6"/>
  <c r="E509" i="7" s="1"/>
  <c r="AO145" i="6"/>
  <c r="S145" i="6"/>
  <c r="E334" i="7" s="1"/>
  <c r="T145" i="6"/>
  <c r="F334" i="7" s="1"/>
  <c r="A334" i="7"/>
  <c r="Q145" i="6"/>
  <c r="C334" i="7" s="1"/>
  <c r="AC201" i="6"/>
  <c r="AF201" i="6"/>
  <c r="AD201" i="6"/>
  <c r="AQ201" i="6"/>
  <c r="AE201" i="6"/>
  <c r="AB201" i="6"/>
  <c r="Y82" i="6"/>
  <c r="E463" i="7" s="1"/>
  <c r="AP82" i="6"/>
  <c r="A463" i="7"/>
  <c r="Z82" i="6"/>
  <c r="F463" i="7" s="1"/>
  <c r="B291" i="61"/>
  <c r="W82" i="6"/>
  <c r="W17" i="6"/>
  <c r="X17" i="6"/>
  <c r="Y17" i="6"/>
  <c r="E398" i="7" s="1"/>
  <c r="AP17" i="6"/>
  <c r="Z17" i="6"/>
  <c r="F398" i="7" s="1"/>
  <c r="A398" i="7"/>
  <c r="V17" i="6"/>
  <c r="B31" i="61"/>
  <c r="W25" i="6"/>
  <c r="X25" i="6"/>
  <c r="Y25" i="6"/>
  <c r="E406" i="7" s="1"/>
  <c r="AP25" i="6"/>
  <c r="Z25" i="6"/>
  <c r="F406" i="7" s="1"/>
  <c r="A406" i="7"/>
  <c r="V25" i="6"/>
  <c r="B63" i="61"/>
  <c r="Z39" i="6"/>
  <c r="F420" i="7" s="1"/>
  <c r="W39" i="6"/>
  <c r="B119" i="61"/>
  <c r="A420" i="7"/>
  <c r="Y39" i="6"/>
  <c r="E420" i="7" s="1"/>
  <c r="AP39" i="6"/>
  <c r="Z55" i="6"/>
  <c r="F436" i="7" s="1"/>
  <c r="W55" i="6"/>
  <c r="B183" i="61"/>
  <c r="A436" i="7"/>
  <c r="Y55" i="6"/>
  <c r="E436" i="7" s="1"/>
  <c r="AP55" i="6"/>
  <c r="Z71" i="6"/>
  <c r="F452" i="7" s="1"/>
  <c r="W71" i="6"/>
  <c r="B247" i="61"/>
  <c r="A452" i="7"/>
  <c r="Y71" i="6"/>
  <c r="E452" i="7" s="1"/>
  <c r="AP71" i="6"/>
  <c r="A468" i="7"/>
  <c r="Z87" i="6"/>
  <c r="F468" i="7" s="1"/>
  <c r="B311" i="61"/>
  <c r="W87" i="6"/>
  <c r="Y87" i="6"/>
  <c r="E468" i="7" s="1"/>
  <c r="AP87" i="6"/>
  <c r="A484" i="7"/>
  <c r="Z103" i="6"/>
  <c r="F484" i="7" s="1"/>
  <c r="B375" i="61"/>
  <c r="W103" i="6"/>
  <c r="Y103" i="6"/>
  <c r="E484" i="7" s="1"/>
  <c r="AP103" i="6"/>
  <c r="A500" i="7"/>
  <c r="Z119" i="6"/>
  <c r="F500" i="7" s="1"/>
  <c r="B439" i="61"/>
  <c r="W119" i="6"/>
  <c r="Y119" i="6"/>
  <c r="E500" i="7" s="1"/>
  <c r="AP119" i="6"/>
  <c r="A516" i="7"/>
  <c r="Z135" i="6"/>
  <c r="F516" i="7" s="1"/>
  <c r="B503" i="61"/>
  <c r="W135" i="6"/>
  <c r="Y135" i="6"/>
  <c r="E516" i="7" s="1"/>
  <c r="AP135" i="6"/>
  <c r="Z163" i="6"/>
  <c r="F544" i="7" s="1"/>
  <c r="Y163" i="6"/>
  <c r="E544" i="7" s="1"/>
  <c r="A544" i="7"/>
  <c r="AP163" i="6"/>
  <c r="W163" i="6"/>
  <c r="C544" i="7" s="1"/>
  <c r="AP150" i="6"/>
  <c r="Z150" i="6"/>
  <c r="F531" i="7" s="1"/>
  <c r="W150" i="6"/>
  <c r="C531" i="7" s="1"/>
  <c r="Y150" i="6"/>
  <c r="E531" i="7" s="1"/>
  <c r="A531" i="7"/>
  <c r="AP166" i="6"/>
  <c r="Z166" i="6"/>
  <c r="F547" i="7" s="1"/>
  <c r="W166" i="6"/>
  <c r="C547" i="7" s="1"/>
  <c r="Y166" i="6"/>
  <c r="E547" i="7" s="1"/>
  <c r="A547" i="7"/>
  <c r="AP182" i="6"/>
  <c r="Z182" i="6"/>
  <c r="F563" i="7" s="1"/>
  <c r="W182" i="6"/>
  <c r="C563" i="7" s="1"/>
  <c r="Y182" i="6"/>
  <c r="E563" i="7" s="1"/>
  <c r="A563" i="7"/>
  <c r="AP198" i="6"/>
  <c r="Z198" i="6"/>
  <c r="F579" i="7" s="1"/>
  <c r="W198" i="6"/>
  <c r="C579" i="7" s="1"/>
  <c r="Y198" i="6"/>
  <c r="E579" i="7" s="1"/>
  <c r="A579" i="7"/>
  <c r="W161" i="6"/>
  <c r="C542" i="7" s="1"/>
  <c r="Y161" i="6"/>
  <c r="E542" i="7" s="1"/>
  <c r="Z161" i="6"/>
  <c r="F542" i="7" s="1"/>
  <c r="A542" i="7"/>
  <c r="AP161" i="6"/>
  <c r="W177" i="6"/>
  <c r="C558" i="7" s="1"/>
  <c r="Y177" i="6"/>
  <c r="E558" i="7" s="1"/>
  <c r="Z177" i="6"/>
  <c r="F558" i="7" s="1"/>
  <c r="A558" i="7"/>
  <c r="AP177" i="6"/>
  <c r="W193" i="6"/>
  <c r="C574" i="7" s="1"/>
  <c r="Y193" i="6"/>
  <c r="E574" i="7" s="1"/>
  <c r="Z193" i="6"/>
  <c r="F574" i="7" s="1"/>
  <c r="A574" i="7"/>
  <c r="AP193" i="6"/>
  <c r="K152" i="6"/>
  <c r="C146" i="7" s="1"/>
  <c r="AN152" i="6"/>
  <c r="AR152" i="6" s="1"/>
  <c r="M152" i="6"/>
  <c r="N152" i="6"/>
  <c r="F146" i="7" s="1"/>
  <c r="A146" i="7"/>
  <c r="K168" i="6"/>
  <c r="C162" i="7" s="1"/>
  <c r="AN168" i="6"/>
  <c r="AR168" i="6" s="1"/>
  <c r="M168" i="6"/>
  <c r="N168" i="6"/>
  <c r="F162" i="7" s="1"/>
  <c r="A162" i="7"/>
  <c r="K184" i="6"/>
  <c r="C178" i="7" s="1"/>
  <c r="AN184" i="6"/>
  <c r="AR184" i="6" s="1"/>
  <c r="M184" i="6"/>
  <c r="N184" i="6"/>
  <c r="F178" i="7" s="1"/>
  <c r="A178" i="7"/>
  <c r="K200" i="6"/>
  <c r="C194" i="7" s="1"/>
  <c r="AN200" i="6"/>
  <c r="AR200" i="6" s="1"/>
  <c r="M200" i="6"/>
  <c r="N200" i="6"/>
  <c r="F194" i="7" s="1"/>
  <c r="A194" i="7"/>
  <c r="Q126" i="6"/>
  <c r="S126" i="6"/>
  <c r="E312" i="7" s="1"/>
  <c r="AO126" i="6"/>
  <c r="T126" i="6"/>
  <c r="F312" i="7" s="1"/>
  <c r="A312" i="7"/>
  <c r="B466" i="61"/>
  <c r="A331" i="7"/>
  <c r="Q142" i="6"/>
  <c r="C331" i="7" s="1"/>
  <c r="AO142" i="6"/>
  <c r="S142" i="6"/>
  <c r="E331" i="7" s="1"/>
  <c r="T142" i="6"/>
  <c r="F331" i="7" s="1"/>
  <c r="N191" i="6"/>
  <c r="F185" i="7" s="1"/>
  <c r="M191" i="6"/>
  <c r="AN191" i="6"/>
  <c r="K191" i="6"/>
  <c r="C185" i="7" s="1"/>
  <c r="A185" i="7"/>
  <c r="K70" i="6"/>
  <c r="N70" i="6"/>
  <c r="F64" i="7" s="1"/>
  <c r="B241" i="61"/>
  <c r="AN70" i="6"/>
  <c r="AR70" i="6" s="1"/>
  <c r="M70" i="6"/>
  <c r="A64" i="7"/>
  <c r="B26" i="61"/>
  <c r="AO16" i="6"/>
  <c r="P16" i="6"/>
  <c r="Q16" i="6"/>
  <c r="A202" i="7"/>
  <c r="S16" i="6"/>
  <c r="E202" i="7" s="1"/>
  <c r="R16" i="6"/>
  <c r="T16" i="6"/>
  <c r="F202" i="7" s="1"/>
  <c r="B58" i="61"/>
  <c r="AO24" i="6"/>
  <c r="T24" i="6"/>
  <c r="F210" i="7" s="1"/>
  <c r="Q24" i="6"/>
  <c r="A210" i="7"/>
  <c r="S24" i="6"/>
  <c r="E210" i="7" s="1"/>
  <c r="R24" i="6"/>
  <c r="P24" i="6"/>
  <c r="S37" i="6"/>
  <c r="E223" i="7" s="1"/>
  <c r="B110" i="61"/>
  <c r="Q37" i="6"/>
  <c r="T37" i="6"/>
  <c r="F223" i="7" s="1"/>
  <c r="A223" i="7"/>
  <c r="AO37" i="6"/>
  <c r="S53" i="6"/>
  <c r="E239" i="7" s="1"/>
  <c r="B174" i="61"/>
  <c r="Q53" i="6"/>
  <c r="T53" i="6"/>
  <c r="F239" i="7" s="1"/>
  <c r="A239" i="7"/>
  <c r="AO53" i="6"/>
  <c r="S69" i="6"/>
  <c r="E255" i="7" s="1"/>
  <c r="B238" i="61"/>
  <c r="T69" i="6"/>
  <c r="F255" i="7" s="1"/>
  <c r="Q69" i="6"/>
  <c r="A255" i="7"/>
  <c r="AO69" i="6"/>
  <c r="S85" i="6"/>
  <c r="E271" i="7" s="1"/>
  <c r="B302" i="61"/>
  <c r="T85" i="6"/>
  <c r="F271" i="7" s="1"/>
  <c r="AO85" i="6"/>
  <c r="A271" i="7"/>
  <c r="Q85" i="6"/>
  <c r="S101" i="6"/>
  <c r="E287" i="7" s="1"/>
  <c r="B366" i="61"/>
  <c r="T101" i="6"/>
  <c r="F287" i="7" s="1"/>
  <c r="AO101" i="6"/>
  <c r="A287" i="7"/>
  <c r="Q101" i="6"/>
  <c r="S117" i="6"/>
  <c r="E303" i="7" s="1"/>
  <c r="B430" i="61"/>
  <c r="T117" i="6"/>
  <c r="F303" i="7" s="1"/>
  <c r="AO117" i="6"/>
  <c r="A303" i="7"/>
  <c r="Q117" i="6"/>
  <c r="S133" i="6"/>
  <c r="E319" i="7" s="1"/>
  <c r="B494" i="61"/>
  <c r="T133" i="6"/>
  <c r="F319" i="7" s="1"/>
  <c r="AO133" i="6"/>
  <c r="A319" i="7"/>
  <c r="Q133" i="6"/>
  <c r="AO153" i="6"/>
  <c r="T153" i="6"/>
  <c r="F342" i="7" s="1"/>
  <c r="Q153" i="6"/>
  <c r="C342" i="7" s="1"/>
  <c r="A342" i="7"/>
  <c r="S153" i="6"/>
  <c r="E342" i="7" s="1"/>
  <c r="AO148" i="6"/>
  <c r="A337" i="7"/>
  <c r="T148" i="6"/>
  <c r="F337" i="7" s="1"/>
  <c r="S148" i="6"/>
  <c r="E337" i="7" s="1"/>
  <c r="Q148" i="6"/>
  <c r="C337" i="7" s="1"/>
  <c r="S164" i="6"/>
  <c r="E353" i="7" s="1"/>
  <c r="A353" i="7"/>
  <c r="T164" i="6"/>
  <c r="F353" i="7" s="1"/>
  <c r="AO164" i="6"/>
  <c r="Q164" i="6"/>
  <c r="C353" i="7" s="1"/>
  <c r="S180" i="6"/>
  <c r="E369" i="7" s="1"/>
  <c r="A369" i="7"/>
  <c r="T180" i="6"/>
  <c r="F369" i="7" s="1"/>
  <c r="AO180" i="6"/>
  <c r="Q180" i="6"/>
  <c r="C369" i="7" s="1"/>
  <c r="S196" i="6"/>
  <c r="E385" i="7" s="1"/>
  <c r="A385" i="7"/>
  <c r="T196" i="6"/>
  <c r="F385" i="7" s="1"/>
  <c r="AO196" i="6"/>
  <c r="Q196" i="6"/>
  <c r="C385" i="7" s="1"/>
  <c r="Q159" i="6"/>
  <c r="C348" i="7" s="1"/>
  <c r="T159" i="6"/>
  <c r="F348" i="7" s="1"/>
  <c r="A348" i="7"/>
  <c r="S159" i="6"/>
  <c r="E348" i="7" s="1"/>
  <c r="AO159" i="6"/>
  <c r="Q175" i="6"/>
  <c r="C364" i="7" s="1"/>
  <c r="T175" i="6"/>
  <c r="F364" i="7" s="1"/>
  <c r="A364" i="7"/>
  <c r="S175" i="6"/>
  <c r="E364" i="7" s="1"/>
  <c r="AO175" i="6"/>
  <c r="Q191" i="6"/>
  <c r="C380" i="7" s="1"/>
  <c r="T191" i="6"/>
  <c r="F380" i="7" s="1"/>
  <c r="A380" i="7"/>
  <c r="S191" i="6"/>
  <c r="E380" i="7" s="1"/>
  <c r="AO191" i="6"/>
  <c r="Z148" i="6"/>
  <c r="F529" i="7" s="1"/>
  <c r="Y148" i="6"/>
  <c r="E529" i="7" s="1"/>
  <c r="W148" i="6"/>
  <c r="C529" i="7" s="1"/>
  <c r="A529" i="7"/>
  <c r="AP148" i="6"/>
  <c r="Z164" i="6"/>
  <c r="F545" i="7" s="1"/>
  <c r="Y164" i="6"/>
  <c r="E545" i="7" s="1"/>
  <c r="W164" i="6"/>
  <c r="C545" i="7" s="1"/>
  <c r="A545" i="7"/>
  <c r="AP164" i="6"/>
  <c r="Z180" i="6"/>
  <c r="F561" i="7" s="1"/>
  <c r="Y180" i="6"/>
  <c r="E561" i="7" s="1"/>
  <c r="W180" i="6"/>
  <c r="C561" i="7" s="1"/>
  <c r="A561" i="7"/>
  <c r="AP180" i="6"/>
  <c r="Z196" i="6"/>
  <c r="F577" i="7" s="1"/>
  <c r="Y196" i="6"/>
  <c r="E577" i="7" s="1"/>
  <c r="W196" i="6"/>
  <c r="C577" i="7" s="1"/>
  <c r="A577" i="7"/>
  <c r="AP196" i="6"/>
  <c r="B12" i="61"/>
  <c r="AB12" i="6"/>
  <c r="C12" i="61" s="1"/>
  <c r="AQ12" i="6"/>
  <c r="AC12" i="6"/>
  <c r="D12" i="61" s="1"/>
  <c r="AE12" i="6"/>
  <c r="AD12" i="6"/>
  <c r="E12" i="61" s="1"/>
  <c r="AF12" i="6"/>
  <c r="B44" i="61"/>
  <c r="AD20" i="6"/>
  <c r="E44" i="61" s="1"/>
  <c r="AQ20" i="6"/>
  <c r="AF20" i="6"/>
  <c r="AE20" i="6"/>
  <c r="AB20" i="6"/>
  <c r="C44" i="61" s="1"/>
  <c r="AC20" i="6"/>
  <c r="D44" i="61" s="1"/>
  <c r="AC29" i="6"/>
  <c r="D80" i="61" s="1"/>
  <c r="B80" i="61"/>
  <c r="AQ29" i="6"/>
  <c r="AF29" i="6"/>
  <c r="AB29" i="6"/>
  <c r="C80" i="61" s="1"/>
  <c r="AE29" i="6"/>
  <c r="AD29" i="6"/>
  <c r="E80" i="61" s="1"/>
  <c r="AB45" i="6"/>
  <c r="C144" i="61" s="1"/>
  <c r="AE45" i="6"/>
  <c r="AD45" i="6"/>
  <c r="E144" i="61" s="1"/>
  <c r="AC45" i="6"/>
  <c r="D144" i="61" s="1"/>
  <c r="B144" i="61"/>
  <c r="AQ45" i="6"/>
  <c r="AF45" i="6"/>
  <c r="AF61" i="6"/>
  <c r="AE61" i="6"/>
  <c r="AD61" i="6"/>
  <c r="E208" i="61" s="1"/>
  <c r="AC61" i="6"/>
  <c r="D208" i="61" s="1"/>
  <c r="B208" i="61"/>
  <c r="AQ61" i="6"/>
  <c r="AB61" i="6"/>
  <c r="C208" i="61" s="1"/>
  <c r="AC77" i="6"/>
  <c r="D272" i="61" s="1"/>
  <c r="AE77" i="6"/>
  <c r="AQ77" i="6"/>
  <c r="AF77" i="6"/>
  <c r="B272" i="61"/>
  <c r="AB77" i="6"/>
  <c r="C272" i="61" s="1"/>
  <c r="AD77" i="6"/>
  <c r="E272" i="61" s="1"/>
  <c r="AB93" i="6"/>
  <c r="C336" i="61" s="1"/>
  <c r="AE93" i="6"/>
  <c r="AD93" i="6"/>
  <c r="E336" i="61" s="1"/>
  <c r="AF93" i="6"/>
  <c r="B336" i="61"/>
  <c r="AQ93" i="6"/>
  <c r="AC93" i="6"/>
  <c r="D336" i="61" s="1"/>
  <c r="AB109" i="6"/>
  <c r="C400" i="61" s="1"/>
  <c r="AE109" i="6"/>
  <c r="AD109" i="6"/>
  <c r="E400" i="61" s="1"/>
  <c r="AF109" i="6"/>
  <c r="B400" i="61"/>
  <c r="AQ109" i="6"/>
  <c r="AC109" i="6"/>
  <c r="D400" i="61" s="1"/>
  <c r="AB125" i="6"/>
  <c r="C464" i="61" s="1"/>
  <c r="AE125" i="6"/>
  <c r="AD125" i="6"/>
  <c r="E464" i="61" s="1"/>
  <c r="AF125" i="6"/>
  <c r="B464" i="61"/>
  <c r="AQ125" i="6"/>
  <c r="AC125" i="6"/>
  <c r="D464" i="61" s="1"/>
  <c r="AB141" i="6"/>
  <c r="AD141" i="6"/>
  <c r="AQ141" i="6"/>
  <c r="AF141" i="6"/>
  <c r="AC141" i="6"/>
  <c r="AE141" i="6"/>
  <c r="Y187" i="6"/>
  <c r="E568" i="7" s="1"/>
  <c r="Z187" i="6"/>
  <c r="F568" i="7" s="1"/>
  <c r="AP187" i="6"/>
  <c r="A568" i="7"/>
  <c r="W187" i="6"/>
  <c r="C568" i="7" s="1"/>
  <c r="AQ156" i="6"/>
  <c r="AC156" i="6"/>
  <c r="AB156" i="6"/>
  <c r="AD156" i="6"/>
  <c r="AE156" i="6"/>
  <c r="AF156" i="6"/>
  <c r="AQ172" i="6"/>
  <c r="AC172" i="6"/>
  <c r="AB172" i="6"/>
  <c r="AD172" i="6"/>
  <c r="AE172" i="6"/>
  <c r="AF172" i="6"/>
  <c r="AQ188" i="6"/>
  <c r="AC188" i="6"/>
  <c r="AB188" i="6"/>
  <c r="AD188" i="6"/>
  <c r="AE188" i="6"/>
  <c r="AF188" i="6"/>
  <c r="AC151" i="6"/>
  <c r="AF151" i="6"/>
  <c r="AE151" i="6"/>
  <c r="AD151" i="6"/>
  <c r="AQ151" i="6"/>
  <c r="AB151" i="6"/>
  <c r="AC167" i="6"/>
  <c r="AF167" i="6"/>
  <c r="AE167" i="6"/>
  <c r="AD167" i="6"/>
  <c r="AQ167" i="6"/>
  <c r="AB167" i="6"/>
  <c r="AC183" i="6"/>
  <c r="AF183" i="6"/>
  <c r="AE183" i="6"/>
  <c r="AD183" i="6"/>
  <c r="AQ183" i="6"/>
  <c r="AB183" i="6"/>
  <c r="AC199" i="6"/>
  <c r="AF199" i="6"/>
  <c r="AE199" i="6"/>
  <c r="AD199" i="6"/>
  <c r="AQ199" i="6"/>
  <c r="AB199" i="6"/>
  <c r="A347" i="7"/>
  <c r="Q158" i="6"/>
  <c r="C347" i="7" s="1"/>
  <c r="S158" i="6"/>
  <c r="E347" i="7" s="1"/>
  <c r="AO158" i="6"/>
  <c r="T158" i="6"/>
  <c r="F347" i="7" s="1"/>
  <c r="A363" i="7"/>
  <c r="Q174" i="6"/>
  <c r="C363" i="7" s="1"/>
  <c r="S174" i="6"/>
  <c r="E363" i="7" s="1"/>
  <c r="AO174" i="6"/>
  <c r="T174" i="6"/>
  <c r="F363" i="7" s="1"/>
  <c r="A379" i="7"/>
  <c r="Q190" i="6"/>
  <c r="C379" i="7" s="1"/>
  <c r="S190" i="6"/>
  <c r="E379" i="7" s="1"/>
  <c r="AO190" i="6"/>
  <c r="T190" i="6"/>
  <c r="F379" i="7" s="1"/>
  <c r="AR189" i="6"/>
  <c r="AR173" i="6"/>
  <c r="AR157" i="6"/>
  <c r="AR131" i="6"/>
  <c r="AR115" i="6"/>
  <c r="AR99" i="6"/>
  <c r="AR83" i="6"/>
  <c r="AR51" i="6"/>
  <c r="AR35" i="6"/>
  <c r="AR31" i="6"/>
  <c r="AR15" i="6"/>
  <c r="AR92" i="6"/>
  <c r="AR88" i="6"/>
  <c r="AR76" i="6"/>
  <c r="AR148" i="6"/>
  <c r="AR146" i="6"/>
  <c r="AR147" i="6"/>
  <c r="AR84" i="6"/>
  <c r="AR68" i="6"/>
  <c r="AR172" i="6"/>
  <c r="AR156" i="6"/>
  <c r="AR181" i="6"/>
  <c r="AR127" i="6"/>
  <c r="AR111" i="6"/>
  <c r="AR79" i="6"/>
  <c r="AR67" i="6"/>
  <c r="AR63" i="6"/>
  <c r="AR23" i="6"/>
  <c r="AR136" i="6"/>
  <c r="AR120" i="6"/>
  <c r="AR104" i="6"/>
  <c r="AR197" i="6"/>
  <c r="AR165" i="6"/>
  <c r="AR139" i="6"/>
  <c r="AR140" i="6"/>
  <c r="AR132" i="6"/>
  <c r="AR116" i="6"/>
  <c r="AR100" i="6"/>
  <c r="AR28" i="6"/>
  <c r="BC43" i="35"/>
  <c r="BK43" i="35"/>
  <c r="AA51" i="12"/>
  <c r="AA54" i="12"/>
  <c r="AA50" i="12"/>
  <c r="AA53" i="12"/>
  <c r="AA49" i="12"/>
  <c r="K33" i="18"/>
  <c r="K36" i="18"/>
  <c r="K32" i="18"/>
  <c r="K35" i="18"/>
  <c r="K31" i="18"/>
  <c r="K34" i="18"/>
  <c r="BC43" i="18"/>
  <c r="BK43" i="18"/>
  <c r="BK45" i="18"/>
  <c r="BC45" i="18"/>
  <c r="AA52" i="11"/>
  <c r="AA54" i="11"/>
  <c r="AA53" i="11"/>
  <c r="AA49" i="11"/>
  <c r="W39" i="13"/>
  <c r="V39" i="13"/>
  <c r="G21" i="13"/>
  <c r="F21" i="13"/>
  <c r="F48" i="10"/>
  <c r="G48" i="10"/>
  <c r="T49" i="10"/>
  <c r="R49" i="10"/>
  <c r="Y49" i="10"/>
  <c r="AA49" i="10"/>
  <c r="W49" i="10"/>
  <c r="S21" i="13"/>
  <c r="R21" i="13"/>
  <c r="Z53" i="17"/>
  <c r="Z49" i="17"/>
  <c r="Z52" i="17"/>
  <c r="Z51" i="17"/>
  <c r="Z54" i="17"/>
  <c r="Z50" i="17"/>
  <c r="G48" i="14"/>
  <c r="F48" i="14"/>
  <c r="Z26" i="19"/>
  <c r="Z22" i="19"/>
  <c r="Z25" i="19"/>
  <c r="Z24" i="19"/>
  <c r="Z27" i="19"/>
  <c r="Z23" i="19"/>
  <c r="AA51" i="18"/>
  <c r="AA54" i="18"/>
  <c r="AA50" i="18"/>
  <c r="AA53" i="18"/>
  <c r="AA49" i="18"/>
  <c r="AA52" i="18"/>
  <c r="O30" i="18"/>
  <c r="N30" i="18"/>
  <c r="V21" i="18"/>
  <c r="W21" i="18"/>
  <c r="W42" i="20"/>
  <c r="W45" i="20"/>
  <c r="W44" i="20"/>
  <c r="W40" i="20"/>
  <c r="W43" i="20"/>
  <c r="BC35" i="30"/>
  <c r="BK35" i="30"/>
  <c r="BK34" i="30"/>
  <c r="BC34" i="30"/>
  <c r="F21" i="20"/>
  <c r="G21" i="20"/>
  <c r="K39" i="21"/>
  <c r="J39" i="21"/>
  <c r="O21" i="23"/>
  <c r="N21" i="23"/>
  <c r="S48" i="27"/>
  <c r="R48" i="27"/>
  <c r="R34" i="30"/>
  <c r="R33" i="30"/>
  <c r="R36" i="30"/>
  <c r="R32" i="30"/>
  <c r="R35" i="30"/>
  <c r="R31" i="30"/>
  <c r="W54" i="29"/>
  <c r="W53" i="29"/>
  <c r="W49" i="29"/>
  <c r="W52" i="29"/>
  <c r="W51" i="29"/>
  <c r="AA26" i="30"/>
  <c r="AA22" i="30"/>
  <c r="AA25" i="30"/>
  <c r="AA24" i="30"/>
  <c r="AA27" i="30"/>
  <c r="AA23" i="30"/>
  <c r="K48" i="32"/>
  <c r="J48" i="32"/>
  <c r="W39" i="28"/>
  <c r="V39" i="28"/>
  <c r="AA48" i="28"/>
  <c r="Z48" i="28"/>
  <c r="S48" i="24"/>
  <c r="R48" i="24"/>
  <c r="O39" i="27"/>
  <c r="N39" i="27"/>
  <c r="O21" i="31"/>
  <c r="N21" i="31"/>
  <c r="G36" i="33"/>
  <c r="G35" i="33"/>
  <c r="G31" i="33"/>
  <c r="G34" i="33"/>
  <c r="S48" i="33"/>
  <c r="R48" i="33"/>
  <c r="K48" i="35"/>
  <c r="J48" i="35"/>
  <c r="W34" i="35"/>
  <c r="W33" i="35"/>
  <c r="W36" i="35"/>
  <c r="W32" i="35"/>
  <c r="W35" i="35"/>
  <c r="W31" i="35"/>
  <c r="N48" i="28"/>
  <c r="O48" i="28"/>
  <c r="AA39" i="34"/>
  <c r="Z39" i="34"/>
  <c r="G21" i="35"/>
  <c r="F21" i="35"/>
  <c r="S30" i="38"/>
  <c r="R30" i="38"/>
  <c r="V30" i="38"/>
  <c r="W30" i="38"/>
  <c r="O30" i="39"/>
  <c r="N30" i="39"/>
  <c r="J30" i="40"/>
  <c r="K30" i="40"/>
  <c r="G30" i="40"/>
  <c r="F30" i="40"/>
  <c r="G30" i="41"/>
  <c r="F30" i="41"/>
  <c r="AA33" i="42"/>
  <c r="AA36" i="42"/>
  <c r="AA35" i="42"/>
  <c r="AA31" i="42"/>
  <c r="AA34" i="42"/>
  <c r="AA27" i="11"/>
  <c r="AA26" i="11"/>
  <c r="AA22" i="11"/>
  <c r="AA25" i="11"/>
  <c r="AA27" i="17"/>
  <c r="AA23" i="17"/>
  <c r="AA26" i="17"/>
  <c r="AA22" i="17"/>
  <c r="AA25" i="17"/>
  <c r="AA24" i="17"/>
  <c r="Z39" i="16"/>
  <c r="AA39" i="16"/>
  <c r="S39" i="18"/>
  <c r="R39" i="18"/>
  <c r="J34" i="25"/>
  <c r="J33" i="25"/>
  <c r="J36" i="25"/>
  <c r="J32" i="25"/>
  <c r="J35" i="25"/>
  <c r="G36" i="29"/>
  <c r="G35" i="29"/>
  <c r="G31" i="29"/>
  <c r="G34" i="29"/>
  <c r="G33" i="29"/>
  <c r="R39" i="22"/>
  <c r="S39" i="22"/>
  <c r="W48" i="25"/>
  <c r="V48" i="25"/>
  <c r="AA48" i="32"/>
  <c r="Z48" i="32"/>
  <c r="AA21" i="31"/>
  <c r="Z21" i="31"/>
  <c r="K21" i="34"/>
  <c r="J21" i="34"/>
  <c r="O30" i="35"/>
  <c r="N30" i="35"/>
  <c r="BC40" i="36"/>
  <c r="BK40" i="36"/>
  <c r="G21" i="37"/>
  <c r="F21" i="37"/>
  <c r="AA45" i="42"/>
  <c r="AA43" i="42"/>
  <c r="AA40" i="42"/>
  <c r="AA44" i="42"/>
  <c r="AA42" i="42"/>
  <c r="J33" i="12"/>
  <c r="J36" i="12"/>
  <c r="J32" i="12"/>
  <c r="J35" i="12"/>
  <c r="J31" i="12"/>
  <c r="K44" i="18"/>
  <c r="K40" i="18"/>
  <c r="K43" i="18"/>
  <c r="K42" i="18"/>
  <c r="K45" i="18"/>
  <c r="K41" i="18"/>
  <c r="T53" i="10"/>
  <c r="W53" i="10"/>
  <c r="R53" i="10"/>
  <c r="Y53" i="10"/>
  <c r="AA53" i="10"/>
  <c r="W30" i="11"/>
  <c r="V30" i="11"/>
  <c r="AA25" i="13"/>
  <c r="AA24" i="13"/>
  <c r="AA27" i="13"/>
  <c r="AA23" i="13"/>
  <c r="AA26" i="13"/>
  <c r="AA22" i="13"/>
  <c r="G48" i="12"/>
  <c r="F48" i="12"/>
  <c r="K48" i="13"/>
  <c r="J48" i="13"/>
  <c r="AA39" i="14"/>
  <c r="Z39" i="14"/>
  <c r="T25" i="10"/>
  <c r="AA25" i="10"/>
  <c r="R25" i="10"/>
  <c r="Y25" i="10"/>
  <c r="W25" i="10"/>
  <c r="V44" i="17"/>
  <c r="V40" i="17"/>
  <c r="V43" i="17"/>
  <c r="V42" i="17"/>
  <c r="V45" i="17"/>
  <c r="V41" i="17"/>
  <c r="O39" i="17"/>
  <c r="N39" i="17"/>
  <c r="R21" i="16"/>
  <c r="S21" i="16"/>
  <c r="J27" i="25"/>
  <c r="J23" i="25"/>
  <c r="J26" i="25"/>
  <c r="J25" i="25"/>
  <c r="J24" i="25"/>
  <c r="K30" i="17"/>
  <c r="J30" i="17"/>
  <c r="G21" i="21"/>
  <c r="F21" i="21"/>
  <c r="Z39" i="27"/>
  <c r="AA39" i="27"/>
  <c r="AA21" i="21"/>
  <c r="Z21" i="21"/>
  <c r="AA48" i="22"/>
  <c r="Z48" i="22"/>
  <c r="AA30" i="23"/>
  <c r="Z30" i="23"/>
  <c r="W25" i="24"/>
  <c r="W27" i="24"/>
  <c r="W23" i="24"/>
  <c r="W26" i="24"/>
  <c r="W22" i="24"/>
  <c r="K48" i="27"/>
  <c r="J48" i="27"/>
  <c r="O39" i="29"/>
  <c r="N39" i="29"/>
  <c r="W36" i="29"/>
  <c r="W35" i="29"/>
  <c r="W31" i="29"/>
  <c r="W34" i="29"/>
  <c r="W33" i="29"/>
  <c r="V30" i="27"/>
  <c r="W30" i="27"/>
  <c r="AA52" i="29"/>
  <c r="AA51" i="29"/>
  <c r="AA54" i="29"/>
  <c r="AA53" i="29"/>
  <c r="AA49" i="29"/>
  <c r="V30" i="32"/>
  <c r="W30" i="32"/>
  <c r="F44" i="33"/>
  <c r="F40" i="33"/>
  <c r="F43" i="33"/>
  <c r="F45" i="33"/>
  <c r="K30" i="31"/>
  <c r="J30" i="31"/>
  <c r="W39" i="37"/>
  <c r="V39" i="37"/>
  <c r="K48" i="38"/>
  <c r="J48" i="38"/>
  <c r="W30" i="39"/>
  <c r="V30" i="39"/>
  <c r="W48" i="40"/>
  <c r="V48" i="40"/>
  <c r="K30" i="39"/>
  <c r="J30" i="39"/>
  <c r="AA30" i="39"/>
  <c r="Z30" i="39"/>
  <c r="J45" i="12"/>
  <c r="J41" i="12"/>
  <c r="J44" i="12"/>
  <c r="J40" i="12"/>
  <c r="J42" i="12"/>
  <c r="G30" i="11"/>
  <c r="F30" i="11"/>
  <c r="AA33" i="18"/>
  <c r="AA36" i="18"/>
  <c r="AA32" i="18"/>
  <c r="AA35" i="18"/>
  <c r="AA31" i="18"/>
  <c r="AA34" i="18"/>
  <c r="W30" i="14"/>
  <c r="V30" i="14"/>
  <c r="G30" i="18"/>
  <c r="F30" i="18"/>
  <c r="V30" i="16"/>
  <c r="W30" i="16"/>
  <c r="S48" i="26"/>
  <c r="R48" i="26"/>
  <c r="N21" i="25"/>
  <c r="O21" i="25"/>
  <c r="G21" i="27"/>
  <c r="F21" i="27"/>
  <c r="AA45" i="29"/>
  <c r="AA44" i="29"/>
  <c r="AA40" i="29"/>
  <c r="AA43" i="29"/>
  <c r="AA42" i="29"/>
  <c r="S30" i="31"/>
  <c r="R30" i="31"/>
  <c r="S30" i="35"/>
  <c r="R30" i="35"/>
  <c r="G21" i="28"/>
  <c r="F21" i="28"/>
  <c r="J51" i="12"/>
  <c r="J54" i="12"/>
  <c r="J50" i="12"/>
  <c r="J53" i="12"/>
  <c r="J49" i="12"/>
  <c r="J27" i="18"/>
  <c r="J23" i="18"/>
  <c r="J26" i="18"/>
  <c r="J22" i="18"/>
  <c r="J25" i="18"/>
  <c r="J24" i="18"/>
  <c r="Z51" i="13"/>
  <c r="Z54" i="13"/>
  <c r="Z50" i="13"/>
  <c r="Z53" i="13"/>
  <c r="Z49" i="13"/>
  <c r="Z52" i="13"/>
  <c r="O30" i="12"/>
  <c r="N30" i="12"/>
  <c r="V21" i="12"/>
  <c r="W21" i="12"/>
  <c r="Z42" i="17"/>
  <c r="Z45" i="17"/>
  <c r="Z41" i="17"/>
  <c r="Z44" i="17"/>
  <c r="Z40" i="17"/>
  <c r="Z43" i="17"/>
  <c r="V26" i="17"/>
  <c r="V22" i="17"/>
  <c r="V25" i="17"/>
  <c r="V24" i="17"/>
  <c r="V27" i="17"/>
  <c r="V23" i="17"/>
  <c r="AA52" i="19"/>
  <c r="AA51" i="19"/>
  <c r="AA54" i="19"/>
  <c r="AA50" i="19"/>
  <c r="AA53" i="19"/>
  <c r="AA49" i="19"/>
  <c r="K48" i="15"/>
  <c r="J48" i="15"/>
  <c r="S39" i="15"/>
  <c r="R39" i="15"/>
  <c r="S48" i="19"/>
  <c r="R48" i="19"/>
  <c r="K30" i="16"/>
  <c r="J30" i="16"/>
  <c r="J52" i="25"/>
  <c r="J51" i="25"/>
  <c r="J54" i="25"/>
  <c r="J50" i="25"/>
  <c r="J53" i="25"/>
  <c r="R48" i="20"/>
  <c r="S48" i="20"/>
  <c r="AA39" i="26"/>
  <c r="Z39" i="26"/>
  <c r="AA30" i="33"/>
  <c r="Z30" i="33"/>
  <c r="N39" i="20"/>
  <c r="O39" i="20"/>
  <c r="S48" i="21"/>
  <c r="R48" i="21"/>
  <c r="AA39" i="25"/>
  <c r="Z39" i="25"/>
  <c r="K39" i="26"/>
  <c r="J39" i="26"/>
  <c r="W39" i="21"/>
  <c r="V39" i="21"/>
  <c r="K48" i="22"/>
  <c r="J48" i="22"/>
  <c r="N48" i="22"/>
  <c r="O48" i="22"/>
  <c r="S26" i="30"/>
  <c r="S22" i="30"/>
  <c r="S25" i="30"/>
  <c r="S24" i="30"/>
  <c r="S27" i="30"/>
  <c r="S23" i="30"/>
  <c r="G30" i="24"/>
  <c r="F30" i="24"/>
  <c r="AE49" i="25"/>
  <c r="AD49" i="25" s="1"/>
  <c r="J49" i="25" s="1"/>
  <c r="AE31" i="25"/>
  <c r="AD31" i="25" s="1"/>
  <c r="J31" i="25" s="1"/>
  <c r="AE40" i="25"/>
  <c r="AD40" i="25" s="1"/>
  <c r="AE22" i="25"/>
  <c r="AD22" i="25" s="1"/>
  <c r="AE40" i="31"/>
  <c r="AD40" i="31" s="1"/>
  <c r="AE22" i="31"/>
  <c r="AD22" i="31" s="1"/>
  <c r="AE31" i="31"/>
  <c r="AD31" i="31" s="1"/>
  <c r="AE49" i="31"/>
  <c r="AD49" i="31" s="1"/>
  <c r="Z52" i="30"/>
  <c r="Z51" i="30"/>
  <c r="Z54" i="30"/>
  <c r="Z50" i="30"/>
  <c r="Z53" i="30"/>
  <c r="Z49" i="30"/>
  <c r="AA48" i="24"/>
  <c r="Z48" i="24"/>
  <c r="F21" i="30"/>
  <c r="G21" i="30"/>
  <c r="N39" i="30"/>
  <c r="O39" i="30"/>
  <c r="W48" i="30"/>
  <c r="V48" i="30"/>
  <c r="V24" i="35"/>
  <c r="V27" i="35"/>
  <c r="V23" i="35"/>
  <c r="V26" i="35"/>
  <c r="V22" i="35"/>
  <c r="V25" i="35"/>
  <c r="W39" i="33"/>
  <c r="V39" i="33"/>
  <c r="Z51" i="35"/>
  <c r="Z54" i="35"/>
  <c r="Z50" i="35"/>
  <c r="Z53" i="35"/>
  <c r="Z49" i="35"/>
  <c r="Z52" i="35"/>
  <c r="BC42" i="37"/>
  <c r="BK42" i="37"/>
  <c r="BC27" i="38"/>
  <c r="BK27" i="38"/>
  <c r="AA36" i="36"/>
  <c r="AA32" i="36"/>
  <c r="AA35" i="36"/>
  <c r="AA31" i="36"/>
  <c r="W48" i="36"/>
  <c r="V48" i="36"/>
  <c r="AE43" i="41"/>
  <c r="AD43" i="41" s="1"/>
  <c r="AE52" i="41"/>
  <c r="AD52" i="41" s="1"/>
  <c r="AE34" i="41"/>
  <c r="AD34" i="41" s="1"/>
  <c r="AE25" i="41"/>
  <c r="AD25" i="41" s="1"/>
  <c r="Z43" i="38"/>
  <c r="Z44" i="38"/>
  <c r="Z42" i="38"/>
  <c r="Z45" i="38"/>
  <c r="Z41" i="38"/>
  <c r="Z48" i="40"/>
  <c r="AA48" i="40"/>
  <c r="AA45" i="41"/>
  <c r="AA41" i="41"/>
  <c r="AA44" i="41"/>
  <c r="AA40" i="41"/>
  <c r="AA43" i="41"/>
  <c r="AA42" i="41"/>
  <c r="W48" i="41"/>
  <c r="V48" i="41"/>
  <c r="Z53" i="42"/>
  <c r="Z49" i="42"/>
  <c r="Z52" i="42"/>
  <c r="Z54" i="42"/>
  <c r="Z51" i="42"/>
  <c r="N39" i="42"/>
  <c r="O39" i="42"/>
  <c r="V39" i="42"/>
  <c r="W39" i="42"/>
  <c r="O30" i="13"/>
  <c r="N30" i="13"/>
  <c r="G21" i="17"/>
  <c r="F21" i="17"/>
  <c r="K51" i="18"/>
  <c r="K54" i="18"/>
  <c r="K50" i="18"/>
  <c r="K53" i="18"/>
  <c r="K49" i="18"/>
  <c r="K52" i="18"/>
  <c r="R30" i="14"/>
  <c r="S30" i="14"/>
  <c r="K21" i="10"/>
  <c r="J21" i="10"/>
  <c r="R23" i="10"/>
  <c r="Y23" i="10"/>
  <c r="T23" i="10"/>
  <c r="AA23" i="10"/>
  <c r="W23" i="10"/>
  <c r="S21" i="11"/>
  <c r="R21" i="11"/>
  <c r="K30" i="19"/>
  <c r="J30" i="19"/>
  <c r="V36" i="20"/>
  <c r="V35" i="20"/>
  <c r="V31" i="20"/>
  <c r="V34" i="20"/>
  <c r="V33" i="20"/>
  <c r="Z27" i="18"/>
  <c r="Z23" i="18"/>
  <c r="Z26" i="18"/>
  <c r="Z22" i="18"/>
  <c r="Z25" i="18"/>
  <c r="Z24" i="18"/>
  <c r="S39" i="25"/>
  <c r="R39" i="25"/>
  <c r="S21" i="23"/>
  <c r="R21" i="23"/>
  <c r="G48" i="36"/>
  <c r="F48" i="36"/>
  <c r="S21" i="42"/>
  <c r="R21" i="42"/>
  <c r="Z27" i="20"/>
  <c r="Z26" i="20"/>
  <c r="Z22" i="20"/>
  <c r="Z25" i="20"/>
  <c r="Z24" i="20"/>
  <c r="W54" i="17"/>
  <c r="W50" i="17"/>
  <c r="W53" i="17"/>
  <c r="W49" i="17"/>
  <c r="W52" i="17"/>
  <c r="W51" i="17"/>
  <c r="O21" i="15"/>
  <c r="N21" i="15"/>
  <c r="S48" i="17"/>
  <c r="R48" i="17"/>
  <c r="G30" i="26"/>
  <c r="F30" i="26"/>
  <c r="O48" i="21"/>
  <c r="N48" i="21"/>
  <c r="W39" i="26"/>
  <c r="V39" i="26"/>
  <c r="W39" i="22"/>
  <c r="V39" i="22"/>
  <c r="K39" i="30"/>
  <c r="J39" i="30"/>
  <c r="O39" i="38"/>
  <c r="N39" i="38"/>
  <c r="O39" i="41"/>
  <c r="N39" i="41"/>
  <c r="S39" i="39"/>
  <c r="R39" i="39"/>
  <c r="K39" i="14"/>
  <c r="J39" i="14"/>
  <c r="O48" i="19"/>
  <c r="N48" i="19"/>
  <c r="W30" i="19"/>
  <c r="V30" i="19"/>
  <c r="R48" i="34"/>
  <c r="S48" i="34"/>
  <c r="O30" i="37"/>
  <c r="N30" i="37"/>
  <c r="S21" i="40"/>
  <c r="R21" i="40"/>
  <c r="G30" i="15"/>
  <c r="F30" i="15"/>
  <c r="K30" i="28"/>
  <c r="J30" i="28"/>
  <c r="S48" i="28"/>
  <c r="R48" i="28"/>
  <c r="K30" i="37"/>
  <c r="J30" i="37"/>
  <c r="J30" i="36"/>
  <c r="K30" i="36"/>
  <c r="G21" i="39"/>
  <c r="F21" i="39"/>
  <c r="O30" i="40"/>
  <c r="N30" i="40"/>
  <c r="F30" i="16"/>
  <c r="G30" i="16"/>
  <c r="K21" i="23"/>
  <c r="J21" i="23"/>
  <c r="G48" i="34"/>
  <c r="F48" i="34"/>
  <c r="G30" i="19"/>
  <c r="F30" i="19"/>
  <c r="F30" i="22"/>
  <c r="G30" i="22"/>
  <c r="K21" i="24"/>
  <c r="J21" i="24"/>
  <c r="S30" i="29"/>
  <c r="R30" i="29"/>
  <c r="W48" i="31"/>
  <c r="V48" i="31"/>
  <c r="S30" i="32"/>
  <c r="R30" i="32"/>
  <c r="S21" i="37"/>
  <c r="R21" i="37"/>
  <c r="J30" i="41"/>
  <c r="K30" i="41"/>
  <c r="F39" i="42"/>
  <c r="G39" i="42"/>
  <c r="Z51" i="12"/>
  <c r="Z54" i="12"/>
  <c r="Z50" i="12"/>
  <c r="Z53" i="12"/>
  <c r="Z49" i="12"/>
  <c r="J34" i="18"/>
  <c r="J33" i="18"/>
  <c r="J36" i="18"/>
  <c r="J32" i="18"/>
  <c r="J35" i="18"/>
  <c r="J31" i="18"/>
  <c r="BC40" i="18"/>
  <c r="BK40" i="18"/>
  <c r="AA33" i="20"/>
  <c r="AA36" i="20"/>
  <c r="AA35" i="20"/>
  <c r="AA31" i="20"/>
  <c r="AA34" i="20"/>
  <c r="W48" i="13"/>
  <c r="V48" i="13"/>
  <c r="G39" i="13"/>
  <c r="F39" i="13"/>
  <c r="G39" i="10"/>
  <c r="F39" i="10"/>
  <c r="Y40" i="10"/>
  <c r="AA40" i="10"/>
  <c r="R40" i="10"/>
  <c r="T40" i="10"/>
  <c r="W40" i="10"/>
  <c r="S39" i="13"/>
  <c r="R39" i="13"/>
  <c r="AA52" i="17"/>
  <c r="AA51" i="17"/>
  <c r="AA54" i="17"/>
  <c r="AA50" i="17"/>
  <c r="AA53" i="17"/>
  <c r="AA49" i="17"/>
  <c r="F21" i="14"/>
  <c r="G21" i="14"/>
  <c r="AA25" i="19"/>
  <c r="AA24" i="19"/>
  <c r="AA27" i="19"/>
  <c r="AA23" i="19"/>
  <c r="AA26" i="19"/>
  <c r="AA22" i="19"/>
  <c r="Z52" i="18"/>
  <c r="Z51" i="18"/>
  <c r="Z54" i="18"/>
  <c r="Z50" i="18"/>
  <c r="Z53" i="18"/>
  <c r="Z49" i="18"/>
  <c r="O48" i="18"/>
  <c r="N48" i="18"/>
  <c r="V39" i="18"/>
  <c r="W39" i="18"/>
  <c r="V43" i="20"/>
  <c r="V42" i="20"/>
  <c r="V45" i="20"/>
  <c r="V44" i="20"/>
  <c r="V40" i="20"/>
  <c r="V45" i="23"/>
  <c r="V44" i="23"/>
  <c r="V43" i="23"/>
  <c r="V42" i="23"/>
  <c r="V41" i="23"/>
  <c r="F44" i="29"/>
  <c r="F40" i="29"/>
  <c r="F43" i="29"/>
  <c r="F42" i="29"/>
  <c r="F45" i="29"/>
  <c r="BC32" i="30"/>
  <c r="BK32" i="30"/>
  <c r="F39" i="20"/>
  <c r="G39" i="20"/>
  <c r="K30" i="21"/>
  <c r="J30" i="21"/>
  <c r="O39" i="23"/>
  <c r="N39" i="23"/>
  <c r="S30" i="27"/>
  <c r="R30" i="27"/>
  <c r="V26" i="29"/>
  <c r="V22" i="29"/>
  <c r="V25" i="29"/>
  <c r="V24" i="29"/>
  <c r="V27" i="29"/>
  <c r="J21" i="32"/>
  <c r="K21" i="32"/>
  <c r="V30" i="28"/>
  <c r="W30" i="28"/>
  <c r="Z39" i="28"/>
  <c r="AA39" i="28"/>
  <c r="S21" i="24"/>
  <c r="R21" i="24"/>
  <c r="O48" i="27"/>
  <c r="N48" i="27"/>
  <c r="Z24" i="29"/>
  <c r="Z27" i="29"/>
  <c r="Z26" i="29"/>
  <c r="Z22" i="29"/>
  <c r="Z25" i="29"/>
  <c r="O30" i="31"/>
  <c r="N30" i="31"/>
  <c r="S21" i="33"/>
  <c r="R21" i="33"/>
  <c r="K21" i="35"/>
  <c r="J21" i="35"/>
  <c r="O21" i="28"/>
  <c r="N21" i="28"/>
  <c r="Z30" i="34"/>
  <c r="AA30" i="34"/>
  <c r="G39" i="35"/>
  <c r="F39" i="35"/>
  <c r="R39" i="38"/>
  <c r="S39" i="38"/>
  <c r="W21" i="38"/>
  <c r="V21" i="38"/>
  <c r="O48" i="39"/>
  <c r="N48" i="39"/>
  <c r="J48" i="40"/>
  <c r="K48" i="40"/>
  <c r="G48" i="40"/>
  <c r="F48" i="40"/>
  <c r="G21" i="41"/>
  <c r="F21" i="41"/>
  <c r="Z34" i="42"/>
  <c r="Z33" i="42"/>
  <c r="Z36" i="42"/>
  <c r="Z35" i="42"/>
  <c r="Z31" i="42"/>
  <c r="AA44" i="18"/>
  <c r="Z33" i="13"/>
  <c r="Z36" i="13"/>
  <c r="Z32" i="13"/>
  <c r="Z35" i="13"/>
  <c r="Z31" i="13"/>
  <c r="Z34" i="13"/>
  <c r="AA30" i="16"/>
  <c r="Z30" i="16"/>
  <c r="R30" i="18"/>
  <c r="S30" i="18"/>
  <c r="V26" i="23"/>
  <c r="V25" i="23"/>
  <c r="V24" i="23"/>
  <c r="V27" i="23"/>
  <c r="V23" i="23"/>
  <c r="V44" i="24"/>
  <c r="V40" i="24"/>
  <c r="V43" i="24"/>
  <c r="V45" i="24"/>
  <c r="V41" i="24"/>
  <c r="S30" i="22"/>
  <c r="R30" i="22"/>
  <c r="V21" i="25"/>
  <c r="W21" i="25"/>
  <c r="Z21" i="32"/>
  <c r="AA21" i="32"/>
  <c r="AA39" i="31"/>
  <c r="Z39" i="31"/>
  <c r="K39" i="34"/>
  <c r="J39" i="34"/>
  <c r="O48" i="35"/>
  <c r="N48" i="35"/>
  <c r="BC44" i="36"/>
  <c r="BK44" i="36"/>
  <c r="G39" i="37"/>
  <c r="F39" i="37"/>
  <c r="Z42" i="42"/>
  <c r="Z45" i="42"/>
  <c r="Z44" i="42"/>
  <c r="Z40" i="42"/>
  <c r="Z43" i="42"/>
  <c r="Z45" i="12"/>
  <c r="Z41" i="12"/>
  <c r="Z44" i="12"/>
  <c r="Z40" i="12"/>
  <c r="Z42" i="12"/>
  <c r="Z51" i="15"/>
  <c r="Z54" i="15"/>
  <c r="Z50" i="15"/>
  <c r="Z49" i="15"/>
  <c r="Z52" i="15"/>
  <c r="AE41" i="20"/>
  <c r="AD41" i="20" s="1"/>
  <c r="AE23" i="20"/>
  <c r="AD23" i="20" s="1"/>
  <c r="AE32" i="20"/>
  <c r="AD32" i="20" s="1"/>
  <c r="V32" i="20" s="1"/>
  <c r="AE50" i="20"/>
  <c r="AD50" i="20" s="1"/>
  <c r="Y44" i="10"/>
  <c r="AA44" i="10"/>
  <c r="R44" i="10"/>
  <c r="T44" i="10"/>
  <c r="W44" i="10"/>
  <c r="BI45" i="10"/>
  <c r="BA45" i="10"/>
  <c r="W48" i="11"/>
  <c r="V48" i="11"/>
  <c r="BJ54" i="10"/>
  <c r="BB54" i="10"/>
  <c r="F21" i="12"/>
  <c r="G21" i="12"/>
  <c r="K21" i="13"/>
  <c r="J21" i="13"/>
  <c r="Z30" i="14"/>
  <c r="AA30" i="14"/>
  <c r="AA52" i="10"/>
  <c r="T52" i="10"/>
  <c r="Y52" i="10"/>
  <c r="W52" i="10"/>
  <c r="R52" i="10"/>
  <c r="AE42" i="14"/>
  <c r="AD42" i="14" s="1"/>
  <c r="AE24" i="14"/>
  <c r="AD24" i="14" s="1"/>
  <c r="AE51" i="14"/>
  <c r="AD51" i="14" s="1"/>
  <c r="AE33" i="14"/>
  <c r="AD33" i="14" s="1"/>
  <c r="W43" i="17"/>
  <c r="W42" i="17"/>
  <c r="W45" i="17"/>
  <c r="W41" i="17"/>
  <c r="W44" i="17"/>
  <c r="W40" i="17"/>
  <c r="O30" i="17"/>
  <c r="N30" i="17"/>
  <c r="R39" i="16"/>
  <c r="S39" i="16"/>
  <c r="K26" i="25"/>
  <c r="K22" i="25"/>
  <c r="K25" i="25"/>
  <c r="K24" i="25"/>
  <c r="K27" i="25"/>
  <c r="K23" i="25"/>
  <c r="K48" i="17"/>
  <c r="J48" i="17"/>
  <c r="G39" i="21"/>
  <c r="F39" i="21"/>
  <c r="V54" i="24"/>
  <c r="V50" i="24"/>
  <c r="V53" i="24"/>
  <c r="V49" i="24"/>
  <c r="V52" i="24"/>
  <c r="Z21" i="27"/>
  <c r="AA21" i="27"/>
  <c r="F26" i="29"/>
  <c r="F22" i="29"/>
  <c r="F25" i="29"/>
  <c r="F24" i="29"/>
  <c r="F27" i="29"/>
  <c r="AA39" i="21"/>
  <c r="Z39" i="21"/>
  <c r="Z21" i="22"/>
  <c r="AA21" i="22"/>
  <c r="AA39" i="23"/>
  <c r="Z39" i="23"/>
  <c r="J21" i="27"/>
  <c r="K21" i="27"/>
  <c r="O30" i="29"/>
  <c r="N30" i="29"/>
  <c r="R45" i="30"/>
  <c r="R41" i="30"/>
  <c r="R44" i="30"/>
  <c r="R40" i="30"/>
  <c r="R43" i="30"/>
  <c r="R42" i="30"/>
  <c r="AE50" i="33"/>
  <c r="AD50" i="33" s="1"/>
  <c r="AE32" i="33"/>
  <c r="AD32" i="33" s="1"/>
  <c r="G32" i="33" s="1"/>
  <c r="AE41" i="33"/>
  <c r="AD41" i="33" s="1"/>
  <c r="AE23" i="33"/>
  <c r="AD23" i="33" s="1"/>
  <c r="AE40" i="32"/>
  <c r="AD40" i="32" s="1"/>
  <c r="AE22" i="32"/>
  <c r="AD22" i="32" s="1"/>
  <c r="AE49" i="32"/>
  <c r="AD49" i="32" s="1"/>
  <c r="AE31" i="32"/>
  <c r="AD31" i="32" s="1"/>
  <c r="W21" i="27"/>
  <c r="V21" i="27"/>
  <c r="V44" i="29"/>
  <c r="V40" i="29"/>
  <c r="V43" i="29"/>
  <c r="V42" i="29"/>
  <c r="V45" i="29"/>
  <c r="V48" i="32"/>
  <c r="W48" i="32"/>
  <c r="G43" i="33"/>
  <c r="G45" i="33"/>
  <c r="G41" i="33"/>
  <c r="G44" i="33"/>
  <c r="G40" i="33"/>
  <c r="K48" i="31"/>
  <c r="J48" i="31"/>
  <c r="V42" i="35"/>
  <c r="V45" i="35"/>
  <c r="V41" i="35"/>
  <c r="V44" i="35"/>
  <c r="V40" i="35"/>
  <c r="V43" i="35"/>
  <c r="Z33" i="35"/>
  <c r="Z36" i="35"/>
  <c r="Z32" i="35"/>
  <c r="Z35" i="35"/>
  <c r="Z31" i="35"/>
  <c r="Z34" i="35"/>
  <c r="W30" i="37"/>
  <c r="V30" i="37"/>
  <c r="J21" i="38"/>
  <c r="K21" i="38"/>
  <c r="Z54" i="38"/>
  <c r="Z50" i="38"/>
  <c r="Z53" i="38"/>
  <c r="Z52" i="38"/>
  <c r="Z51" i="38"/>
  <c r="Z26" i="37"/>
  <c r="Z22" i="37"/>
  <c r="Z25" i="37"/>
  <c r="Z24" i="37"/>
  <c r="Z27" i="37"/>
  <c r="Z23" i="37"/>
  <c r="W48" i="39"/>
  <c r="V48" i="39"/>
  <c r="V21" i="40"/>
  <c r="W21" i="40"/>
  <c r="K48" i="39"/>
  <c r="J48" i="39"/>
  <c r="AA48" i="39"/>
  <c r="Z48" i="39"/>
  <c r="K44" i="12"/>
  <c r="K40" i="12"/>
  <c r="K42" i="12"/>
  <c r="K45" i="12"/>
  <c r="K41" i="12"/>
  <c r="G48" i="11"/>
  <c r="F48" i="11"/>
  <c r="Z34" i="18"/>
  <c r="Z33" i="18"/>
  <c r="Z36" i="18"/>
  <c r="Z32" i="18"/>
  <c r="Z35" i="18"/>
  <c r="Z31" i="18"/>
  <c r="W48" i="14"/>
  <c r="V48" i="14"/>
  <c r="G48" i="18"/>
  <c r="F48" i="18"/>
  <c r="V48" i="16"/>
  <c r="W48" i="16"/>
  <c r="S21" i="26"/>
  <c r="R21" i="26"/>
  <c r="N39" i="25"/>
  <c r="O39" i="25"/>
  <c r="G39" i="27"/>
  <c r="F39" i="27"/>
  <c r="S48" i="31"/>
  <c r="R48" i="31"/>
  <c r="S48" i="35"/>
  <c r="R48" i="35"/>
  <c r="G39" i="28"/>
  <c r="F39" i="28"/>
  <c r="K26" i="18"/>
  <c r="K22" i="18"/>
  <c r="K25" i="18"/>
  <c r="K24" i="18"/>
  <c r="K27" i="18"/>
  <c r="K23" i="18"/>
  <c r="AA54" i="13"/>
  <c r="AA50" i="13"/>
  <c r="AA53" i="13"/>
  <c r="AA49" i="13"/>
  <c r="AA52" i="13"/>
  <c r="AA51" i="13"/>
  <c r="O48" i="12"/>
  <c r="N48" i="12"/>
  <c r="V39" i="12"/>
  <c r="W39" i="12"/>
  <c r="AA45" i="17"/>
  <c r="AA41" i="17"/>
  <c r="AA44" i="17"/>
  <c r="AA40" i="17"/>
  <c r="AA43" i="17"/>
  <c r="AA42" i="17"/>
  <c r="W25" i="17"/>
  <c r="W24" i="17"/>
  <c r="W27" i="17"/>
  <c r="W23" i="17"/>
  <c r="W26" i="17"/>
  <c r="W22" i="17"/>
  <c r="K21" i="15"/>
  <c r="J21" i="15"/>
  <c r="S30" i="15"/>
  <c r="R30" i="15"/>
  <c r="S39" i="19"/>
  <c r="R39" i="19"/>
  <c r="AE44" i="15"/>
  <c r="AD44" i="15" s="1"/>
  <c r="AE26" i="15"/>
  <c r="AD26" i="15" s="1"/>
  <c r="AE53" i="15"/>
  <c r="AD53" i="15" s="1"/>
  <c r="AE35" i="15"/>
  <c r="AD35" i="15" s="1"/>
  <c r="K48" i="16"/>
  <c r="J48" i="16"/>
  <c r="AE51" i="16"/>
  <c r="AD51" i="16" s="1"/>
  <c r="AE33" i="16"/>
  <c r="AD33" i="16" s="1"/>
  <c r="AE42" i="16"/>
  <c r="AD42" i="16" s="1"/>
  <c r="AE24" i="16"/>
  <c r="AD24" i="16" s="1"/>
  <c r="S39" i="20"/>
  <c r="R39" i="20"/>
  <c r="V33" i="23"/>
  <c r="V36" i="23"/>
  <c r="V32" i="23"/>
  <c r="V35" i="23"/>
  <c r="V34" i="23"/>
  <c r="AA30" i="26"/>
  <c r="Z30" i="26"/>
  <c r="AA48" i="33"/>
  <c r="Z48" i="33"/>
  <c r="O30" i="20"/>
  <c r="N30" i="20"/>
  <c r="S21" i="21"/>
  <c r="R21" i="21"/>
  <c r="Z30" i="25"/>
  <c r="AA30" i="25"/>
  <c r="K30" i="26"/>
  <c r="J30" i="26"/>
  <c r="W30" i="21"/>
  <c r="V30" i="21"/>
  <c r="J21" i="22"/>
  <c r="K21" i="22"/>
  <c r="O21" i="22"/>
  <c r="N21" i="22"/>
  <c r="AE51" i="26"/>
  <c r="AD51" i="26" s="1"/>
  <c r="AE33" i="26"/>
  <c r="AD33" i="26" s="1"/>
  <c r="AE42" i="26"/>
  <c r="AD42" i="26" s="1"/>
  <c r="AE24" i="26"/>
  <c r="AD24" i="26" s="1"/>
  <c r="G48" i="24"/>
  <c r="F48" i="24"/>
  <c r="AA21" i="24"/>
  <c r="Z21" i="24"/>
  <c r="AE51" i="32"/>
  <c r="AD51" i="32" s="1"/>
  <c r="AE33" i="32"/>
  <c r="AD33" i="32" s="1"/>
  <c r="AE42" i="32"/>
  <c r="AD42" i="32" s="1"/>
  <c r="AE24" i="32"/>
  <c r="AD24" i="32" s="1"/>
  <c r="F39" i="30"/>
  <c r="G39" i="30"/>
  <c r="O30" i="30"/>
  <c r="N30" i="30"/>
  <c r="V21" i="30"/>
  <c r="W21" i="30"/>
  <c r="W27" i="35"/>
  <c r="W23" i="35"/>
  <c r="W26" i="35"/>
  <c r="W22" i="35"/>
  <c r="W25" i="35"/>
  <c r="W24" i="35"/>
  <c r="W30" i="33"/>
  <c r="V30" i="33"/>
  <c r="AE42" i="34"/>
  <c r="AD42" i="34" s="1"/>
  <c r="AE24" i="34"/>
  <c r="AD24" i="34" s="1"/>
  <c r="AE51" i="34"/>
  <c r="AD51" i="34" s="1"/>
  <c r="AE33" i="34"/>
  <c r="AD33" i="34" s="1"/>
  <c r="AA54" i="35"/>
  <c r="AA50" i="35"/>
  <c r="AA53" i="35"/>
  <c r="AA49" i="35"/>
  <c r="AA52" i="35"/>
  <c r="AA51" i="35"/>
  <c r="BC43" i="37"/>
  <c r="BK43" i="37"/>
  <c r="Z26" i="35"/>
  <c r="Z22" i="35"/>
  <c r="Z25" i="35"/>
  <c r="Z24" i="35"/>
  <c r="Z27" i="35"/>
  <c r="Z23" i="35"/>
  <c r="BC24" i="38"/>
  <c r="BK24" i="38"/>
  <c r="Z36" i="36"/>
  <c r="Z32" i="36"/>
  <c r="Z35" i="36"/>
  <c r="Z31" i="36"/>
  <c r="V21" i="36"/>
  <c r="W21" i="36"/>
  <c r="Z27" i="36"/>
  <c r="Z23" i="36"/>
  <c r="Z26" i="36"/>
  <c r="Z22" i="36"/>
  <c r="AE49" i="38"/>
  <c r="AD49" i="38" s="1"/>
  <c r="AE40" i="38"/>
  <c r="AD40" i="38" s="1"/>
  <c r="Z40" i="38" s="1"/>
  <c r="AE22" i="38"/>
  <c r="AD22" i="38" s="1"/>
  <c r="AE31" i="38"/>
  <c r="AD31" i="38" s="1"/>
  <c r="AA21" i="40"/>
  <c r="Z21" i="40"/>
  <c r="W30" i="41"/>
  <c r="V30" i="41"/>
  <c r="AA52" i="42"/>
  <c r="AA51" i="42"/>
  <c r="AA54" i="42"/>
  <c r="AA53" i="42"/>
  <c r="AA49" i="42"/>
  <c r="O48" i="42"/>
  <c r="N48" i="42"/>
  <c r="W48" i="42"/>
  <c r="V48" i="42"/>
  <c r="O48" i="13"/>
  <c r="N48" i="13"/>
  <c r="G39" i="17"/>
  <c r="F39" i="17"/>
  <c r="J52" i="18"/>
  <c r="J51" i="18"/>
  <c r="J54" i="18"/>
  <c r="J50" i="18"/>
  <c r="J53" i="18"/>
  <c r="J49" i="18"/>
  <c r="AE51" i="10"/>
  <c r="AD51" i="10" s="1"/>
  <c r="AE24" i="10"/>
  <c r="AD24" i="10" s="1"/>
  <c r="AE33" i="10"/>
  <c r="AD33" i="10" s="1"/>
  <c r="AE42" i="10"/>
  <c r="AD42" i="10" s="1"/>
  <c r="R48" i="14"/>
  <c r="S48" i="14"/>
  <c r="K48" i="10"/>
  <c r="J48" i="10"/>
  <c r="AA50" i="10"/>
  <c r="W50" i="10"/>
  <c r="Y50" i="10"/>
  <c r="R50" i="10"/>
  <c r="T50" i="10"/>
  <c r="S39" i="11"/>
  <c r="R39" i="11"/>
  <c r="K39" i="19"/>
  <c r="J39" i="19"/>
  <c r="W35" i="20"/>
  <c r="W31" i="20"/>
  <c r="W34" i="20"/>
  <c r="W33" i="20"/>
  <c r="W36" i="20"/>
  <c r="W32" i="20"/>
  <c r="AA26" i="18"/>
  <c r="AA22" i="18"/>
  <c r="AA25" i="18"/>
  <c r="AA24" i="18"/>
  <c r="AA27" i="18"/>
  <c r="AA23" i="18"/>
  <c r="R30" i="25"/>
  <c r="S30" i="25"/>
  <c r="S39" i="23"/>
  <c r="R39" i="23"/>
  <c r="V53" i="35"/>
  <c r="V49" i="35"/>
  <c r="V52" i="35"/>
  <c r="V51" i="35"/>
  <c r="V54" i="35"/>
  <c r="V50" i="35"/>
  <c r="F21" i="36"/>
  <c r="G21" i="36"/>
  <c r="R30" i="42"/>
  <c r="S30" i="42"/>
  <c r="AA26" i="20"/>
  <c r="AA22" i="20"/>
  <c r="AA25" i="20"/>
  <c r="AA24" i="20"/>
  <c r="AA27" i="20"/>
  <c r="AA23" i="20"/>
  <c r="O39" i="15"/>
  <c r="N39" i="15"/>
  <c r="S21" i="17"/>
  <c r="R21" i="17"/>
  <c r="G48" i="26"/>
  <c r="F48" i="26"/>
  <c r="O21" i="21"/>
  <c r="N21" i="21"/>
  <c r="W30" i="26"/>
  <c r="V30" i="26"/>
  <c r="V30" i="22"/>
  <c r="W30" i="22"/>
  <c r="S51" i="30"/>
  <c r="S54" i="30"/>
  <c r="S50" i="30"/>
  <c r="S53" i="30"/>
  <c r="S49" i="30"/>
  <c r="S52" i="30"/>
  <c r="Z45" i="30"/>
  <c r="Z41" i="30"/>
  <c r="Z44" i="30"/>
  <c r="Z40" i="30"/>
  <c r="Z43" i="30"/>
  <c r="Z42" i="30"/>
  <c r="J30" i="30"/>
  <c r="K30" i="30"/>
  <c r="F54" i="33"/>
  <c r="F50" i="33"/>
  <c r="F53" i="33"/>
  <c r="F49" i="33"/>
  <c r="F52" i="33"/>
  <c r="AA54" i="36"/>
  <c r="AA50" i="36"/>
  <c r="AA53" i="36"/>
  <c r="AA49" i="36"/>
  <c r="N30" i="38"/>
  <c r="O30" i="38"/>
  <c r="O21" i="41"/>
  <c r="N21" i="41"/>
  <c r="S30" i="39"/>
  <c r="R30" i="39"/>
  <c r="J30" i="14"/>
  <c r="K30" i="14"/>
  <c r="O30" i="19"/>
  <c r="N30" i="19"/>
  <c r="W39" i="19"/>
  <c r="V39" i="19"/>
  <c r="S21" i="34"/>
  <c r="R21" i="34"/>
  <c r="O48" i="37"/>
  <c r="N48" i="37"/>
  <c r="S39" i="40"/>
  <c r="R39" i="40"/>
  <c r="G48" i="15"/>
  <c r="F48" i="15"/>
  <c r="K48" i="28"/>
  <c r="J48" i="28"/>
  <c r="R21" i="28"/>
  <c r="S21" i="28"/>
  <c r="K48" i="37"/>
  <c r="J48" i="37"/>
  <c r="J48" i="36"/>
  <c r="K48" i="36"/>
  <c r="G39" i="39"/>
  <c r="F39" i="39"/>
  <c r="O48" i="40"/>
  <c r="N48" i="40"/>
  <c r="F48" i="16"/>
  <c r="G48" i="16"/>
  <c r="K39" i="23"/>
  <c r="J39" i="23"/>
  <c r="F21" i="34"/>
  <c r="G21" i="34"/>
  <c r="G21" i="19"/>
  <c r="F21" i="19"/>
  <c r="F48" i="22"/>
  <c r="G48" i="22"/>
  <c r="K39" i="24"/>
  <c r="J39" i="24"/>
  <c r="S48" i="29"/>
  <c r="R48" i="29"/>
  <c r="W30" i="31"/>
  <c r="V30" i="31"/>
  <c r="S48" i="32"/>
  <c r="R48" i="32"/>
  <c r="S39" i="37"/>
  <c r="R39" i="37"/>
  <c r="K21" i="41"/>
  <c r="J21" i="41"/>
  <c r="F21" i="42"/>
  <c r="G21" i="42"/>
  <c r="J27" i="12"/>
  <c r="J23" i="12"/>
  <c r="J26" i="12"/>
  <c r="J22" i="12"/>
  <c r="J24" i="12"/>
  <c r="Z26" i="15"/>
  <c r="Z22" i="15"/>
  <c r="Z25" i="15"/>
  <c r="Z24" i="15"/>
  <c r="Z27" i="15"/>
  <c r="Z23" i="15"/>
  <c r="BC44" i="18"/>
  <c r="BK44" i="18"/>
  <c r="Z34" i="20"/>
  <c r="Z33" i="20"/>
  <c r="Z36" i="20"/>
  <c r="Z32" i="20"/>
  <c r="Z35" i="20"/>
  <c r="Z31" i="20"/>
  <c r="W30" i="13"/>
  <c r="V30" i="13"/>
  <c r="G48" i="13"/>
  <c r="F48" i="13"/>
  <c r="Z44" i="13"/>
  <c r="Z40" i="13"/>
  <c r="Z43" i="13"/>
  <c r="Z42" i="13"/>
  <c r="Z45" i="13"/>
  <c r="Z41" i="13"/>
  <c r="G30" i="10"/>
  <c r="F30" i="10"/>
  <c r="T31" i="10"/>
  <c r="R31" i="10"/>
  <c r="Y31" i="10"/>
  <c r="AA31" i="10"/>
  <c r="W31" i="10"/>
  <c r="S30" i="13"/>
  <c r="R30" i="13"/>
  <c r="F39" i="14"/>
  <c r="G39" i="14"/>
  <c r="V33" i="17"/>
  <c r="V36" i="17"/>
  <c r="V32" i="17"/>
  <c r="V35" i="17"/>
  <c r="V31" i="17"/>
  <c r="V34" i="17"/>
  <c r="N21" i="18"/>
  <c r="O21" i="18"/>
  <c r="W30" i="18"/>
  <c r="V30" i="18"/>
  <c r="J45" i="25"/>
  <c r="J41" i="25"/>
  <c r="J44" i="25"/>
  <c r="J40" i="25"/>
  <c r="J43" i="25"/>
  <c r="J42" i="25"/>
  <c r="W44" i="23"/>
  <c r="W43" i="23"/>
  <c r="W42" i="23"/>
  <c r="W45" i="23"/>
  <c r="W41" i="23"/>
  <c r="G43" i="29"/>
  <c r="G42" i="29"/>
  <c r="G45" i="29"/>
  <c r="G44" i="29"/>
  <c r="G40" i="29"/>
  <c r="BC36" i="30"/>
  <c r="BK36" i="30"/>
  <c r="G30" i="20"/>
  <c r="F30" i="20"/>
  <c r="K48" i="21"/>
  <c r="J48" i="21"/>
  <c r="N48" i="23"/>
  <c r="O48" i="23"/>
  <c r="R21" i="27"/>
  <c r="S21" i="27"/>
  <c r="W25" i="29"/>
  <c r="W24" i="29"/>
  <c r="W27" i="29"/>
  <c r="W26" i="29"/>
  <c r="W22" i="29"/>
  <c r="J39" i="32"/>
  <c r="K39" i="32"/>
  <c r="V48" i="28"/>
  <c r="W48" i="28"/>
  <c r="Z21" i="28"/>
  <c r="AA21" i="28"/>
  <c r="S39" i="24"/>
  <c r="R39" i="24"/>
  <c r="N30" i="27"/>
  <c r="O30" i="27"/>
  <c r="AA27" i="29"/>
  <c r="AA26" i="29"/>
  <c r="AA22" i="29"/>
  <c r="AA25" i="29"/>
  <c r="AA24" i="29"/>
  <c r="O48" i="31"/>
  <c r="N48" i="31"/>
  <c r="S39" i="33"/>
  <c r="R39" i="33"/>
  <c r="K39" i="35"/>
  <c r="J39" i="35"/>
  <c r="O39" i="28"/>
  <c r="N39" i="28"/>
  <c r="Z48" i="34"/>
  <c r="AA48" i="34"/>
  <c r="G30" i="35"/>
  <c r="F30" i="35"/>
  <c r="AE42" i="36"/>
  <c r="AD42" i="36" s="1"/>
  <c r="AE24" i="36"/>
  <c r="AD24" i="36" s="1"/>
  <c r="Z24" i="36" s="1"/>
  <c r="AE51" i="36"/>
  <c r="AD51" i="36" s="1"/>
  <c r="AE33" i="36"/>
  <c r="AD33" i="36" s="1"/>
  <c r="Z51" i="37"/>
  <c r="Z54" i="37"/>
  <c r="Z50" i="37"/>
  <c r="Z53" i="37"/>
  <c r="Z49" i="37"/>
  <c r="Z52" i="37"/>
  <c r="R21" i="38"/>
  <c r="S21" i="38"/>
  <c r="V48" i="38"/>
  <c r="W48" i="38"/>
  <c r="O21" i="39"/>
  <c r="N21" i="39"/>
  <c r="K21" i="40"/>
  <c r="J21" i="40"/>
  <c r="F21" i="40"/>
  <c r="G21" i="40"/>
  <c r="Z53" i="41"/>
  <c r="Z49" i="41"/>
  <c r="Z52" i="41"/>
  <c r="Z51" i="41"/>
  <c r="Z54" i="41"/>
  <c r="Z50" i="41"/>
  <c r="G39" i="41"/>
  <c r="F39" i="41"/>
  <c r="AA36" i="13"/>
  <c r="AA32" i="13"/>
  <c r="AA35" i="13"/>
  <c r="AA31" i="13"/>
  <c r="AA34" i="13"/>
  <c r="AA33" i="13"/>
  <c r="AA48" i="16"/>
  <c r="Z48" i="16"/>
  <c r="R48" i="18"/>
  <c r="S48" i="18"/>
  <c r="W25" i="23"/>
  <c r="W24" i="23"/>
  <c r="W27" i="23"/>
  <c r="W23" i="23"/>
  <c r="W26" i="23"/>
  <c r="W43" i="24"/>
  <c r="W45" i="24"/>
  <c r="W41" i="24"/>
  <c r="W44" i="24"/>
  <c r="W40" i="24"/>
  <c r="S48" i="22"/>
  <c r="R48" i="22"/>
  <c r="V39" i="25"/>
  <c r="W39" i="25"/>
  <c r="Z39" i="32"/>
  <c r="AA39" i="32"/>
  <c r="AA30" i="31"/>
  <c r="Z30" i="31"/>
  <c r="J30" i="34"/>
  <c r="K30" i="34"/>
  <c r="O21" i="35"/>
  <c r="N21" i="35"/>
  <c r="BK41" i="36"/>
  <c r="BC41" i="36"/>
  <c r="AA26" i="38"/>
  <c r="G30" i="37"/>
  <c r="F30" i="37"/>
  <c r="Z36" i="38"/>
  <c r="Z32" i="38"/>
  <c r="Z35" i="38"/>
  <c r="Z31" i="38"/>
  <c r="Z34" i="38"/>
  <c r="Z33" i="38"/>
  <c r="Z26" i="41"/>
  <c r="Z25" i="41"/>
  <c r="Z22" i="41"/>
  <c r="Z27" i="41"/>
  <c r="Z24" i="41"/>
  <c r="Z23" i="41"/>
  <c r="AA44" i="12"/>
  <c r="AA40" i="12"/>
  <c r="AA42" i="12"/>
  <c r="AA45" i="12"/>
  <c r="AA41" i="12"/>
  <c r="AA54" i="15"/>
  <c r="AA50" i="15"/>
  <c r="AA53" i="15"/>
  <c r="AA49" i="15"/>
  <c r="AA52" i="15"/>
  <c r="AA51" i="15"/>
  <c r="AA51" i="20"/>
  <c r="AA54" i="20"/>
  <c r="AA50" i="20"/>
  <c r="AA53" i="20"/>
  <c r="AA49" i="20"/>
  <c r="AA52" i="20"/>
  <c r="Z35" i="11"/>
  <c r="Z31" i="11"/>
  <c r="Z34" i="11"/>
  <c r="Z36" i="11"/>
  <c r="T35" i="10"/>
  <c r="R35" i="10"/>
  <c r="Y35" i="10"/>
  <c r="AA35" i="10"/>
  <c r="W35" i="10"/>
  <c r="W21" i="11"/>
  <c r="V21" i="11"/>
  <c r="F39" i="12"/>
  <c r="G39" i="12"/>
  <c r="K39" i="13"/>
  <c r="J39" i="13"/>
  <c r="Z48" i="14"/>
  <c r="AA48" i="14"/>
  <c r="Z35" i="17"/>
  <c r="Z31" i="17"/>
  <c r="Z34" i="17"/>
  <c r="Z33" i="17"/>
  <c r="Z36" i="17"/>
  <c r="Z32" i="17"/>
  <c r="R43" i="10"/>
  <c r="AA43" i="10"/>
  <c r="T43" i="10"/>
  <c r="W43" i="10"/>
  <c r="Y43" i="10"/>
  <c r="AE50" i="11"/>
  <c r="AD50" i="11" s="1"/>
  <c r="AA50" i="11" s="1"/>
  <c r="AE32" i="11"/>
  <c r="AD32" i="11" s="1"/>
  <c r="AE41" i="11"/>
  <c r="AD41" i="11" s="1"/>
  <c r="AE23" i="11"/>
  <c r="AD23" i="11" s="1"/>
  <c r="AA23" i="11" s="1"/>
  <c r="Z33" i="19"/>
  <c r="Z36" i="19"/>
  <c r="Z32" i="19"/>
  <c r="Z35" i="19"/>
  <c r="Z31" i="19"/>
  <c r="Z34" i="19"/>
  <c r="AE49" i="23"/>
  <c r="AD49" i="23" s="1"/>
  <c r="AE31" i="23"/>
  <c r="AD31" i="23" s="1"/>
  <c r="V31" i="23" s="1"/>
  <c r="AE40" i="23"/>
  <c r="AD40" i="23" s="1"/>
  <c r="AE22" i="23"/>
  <c r="AD22" i="23" s="1"/>
  <c r="W22" i="23" s="1"/>
  <c r="O48" i="17"/>
  <c r="N48" i="17"/>
  <c r="W24" i="20"/>
  <c r="W27" i="20"/>
  <c r="W23" i="20"/>
  <c r="W26" i="20"/>
  <c r="W22" i="20"/>
  <c r="W25" i="20"/>
  <c r="S30" i="16"/>
  <c r="R30" i="16"/>
  <c r="K21" i="17"/>
  <c r="J21" i="17"/>
  <c r="G30" i="21"/>
  <c r="F30" i="21"/>
  <c r="W51" i="23"/>
  <c r="W54" i="23"/>
  <c r="W50" i="23"/>
  <c r="W53" i="23"/>
  <c r="W49" i="23"/>
  <c r="W52" i="23"/>
  <c r="W54" i="24"/>
  <c r="W50" i="24"/>
  <c r="W53" i="24"/>
  <c r="W49" i="24"/>
  <c r="W52" i="24"/>
  <c r="AA30" i="27"/>
  <c r="Z30" i="27"/>
  <c r="G25" i="29"/>
  <c r="G24" i="29"/>
  <c r="G27" i="29"/>
  <c r="G26" i="29"/>
  <c r="G22" i="29"/>
  <c r="AA30" i="21"/>
  <c r="Z30" i="21"/>
  <c r="Z39" i="22"/>
  <c r="AA39" i="22"/>
  <c r="AA48" i="23"/>
  <c r="Z48" i="23"/>
  <c r="J39" i="27"/>
  <c r="K39" i="27"/>
  <c r="O48" i="29"/>
  <c r="N48" i="29"/>
  <c r="S44" i="30"/>
  <c r="S40" i="30"/>
  <c r="S43" i="30"/>
  <c r="S42" i="30"/>
  <c r="S45" i="30"/>
  <c r="S41" i="30"/>
  <c r="W39" i="27"/>
  <c r="V39" i="27"/>
  <c r="W43" i="29"/>
  <c r="W42" i="29"/>
  <c r="W45" i="29"/>
  <c r="W44" i="29"/>
  <c r="W40" i="29"/>
  <c r="W21" i="32"/>
  <c r="V21" i="32"/>
  <c r="K21" i="31"/>
  <c r="J21" i="31"/>
  <c r="W45" i="35"/>
  <c r="W41" i="35"/>
  <c r="W44" i="35"/>
  <c r="W40" i="35"/>
  <c r="W43" i="35"/>
  <c r="W42" i="35"/>
  <c r="AA36" i="35"/>
  <c r="AA32" i="35"/>
  <c r="AA35" i="35"/>
  <c r="AA31" i="35"/>
  <c r="AA34" i="35"/>
  <c r="AA33" i="35"/>
  <c r="W48" i="37"/>
  <c r="V48" i="37"/>
  <c r="J39" i="38"/>
  <c r="K39" i="38"/>
  <c r="AA53" i="38"/>
  <c r="AA49" i="38"/>
  <c r="AA52" i="38"/>
  <c r="AA51" i="38"/>
  <c r="AA54" i="38"/>
  <c r="AA50" i="38"/>
  <c r="AA25" i="37"/>
  <c r="AA24" i="37"/>
  <c r="AA27" i="37"/>
  <c r="AA23" i="37"/>
  <c r="AA26" i="37"/>
  <c r="AA22" i="37"/>
  <c r="W21" i="39"/>
  <c r="V21" i="39"/>
  <c r="V39" i="40"/>
  <c r="W39" i="40"/>
  <c r="AA36" i="41"/>
  <c r="AA32" i="41"/>
  <c r="AA35" i="41"/>
  <c r="AA31" i="41"/>
  <c r="AA33" i="41"/>
  <c r="AA34" i="41"/>
  <c r="K21" i="39"/>
  <c r="J21" i="39"/>
  <c r="AA21" i="39"/>
  <c r="Z21" i="39"/>
  <c r="G21" i="11"/>
  <c r="F21" i="11"/>
  <c r="Z42" i="19"/>
  <c r="Z45" i="19"/>
  <c r="Z44" i="19"/>
  <c r="Z41" i="19"/>
  <c r="Z40" i="19"/>
  <c r="Z43" i="19"/>
  <c r="V21" i="14"/>
  <c r="W21" i="14"/>
  <c r="F21" i="18"/>
  <c r="G21" i="18"/>
  <c r="W21" i="16"/>
  <c r="V21" i="16"/>
  <c r="S39" i="26"/>
  <c r="R39" i="26"/>
  <c r="O30" i="25"/>
  <c r="N30" i="25"/>
  <c r="G48" i="27"/>
  <c r="F48" i="27"/>
  <c r="S21" i="31"/>
  <c r="R21" i="31"/>
  <c r="S21" i="35"/>
  <c r="R21" i="35"/>
  <c r="F30" i="28"/>
  <c r="G30" i="28"/>
  <c r="Z33" i="37"/>
  <c r="Z36" i="37"/>
  <c r="Z32" i="37"/>
  <c r="Z35" i="37"/>
  <c r="Z31" i="37"/>
  <c r="Z34" i="37"/>
  <c r="Z27" i="12"/>
  <c r="Z23" i="12"/>
  <c r="Z26" i="12"/>
  <c r="Z22" i="12"/>
  <c r="Z24" i="12"/>
  <c r="Z33" i="15"/>
  <c r="Z36" i="15"/>
  <c r="Z32" i="15"/>
  <c r="Z35" i="15"/>
  <c r="Z31" i="15"/>
  <c r="Z34" i="15"/>
  <c r="Z45" i="20"/>
  <c r="Z41" i="20"/>
  <c r="Z44" i="20"/>
  <c r="Z40" i="20"/>
  <c r="Z43" i="20"/>
  <c r="Z42" i="20"/>
  <c r="Z45" i="11"/>
  <c r="Z41" i="11"/>
  <c r="Z44" i="11"/>
  <c r="Z40" i="11"/>
  <c r="Z43" i="11"/>
  <c r="AE42" i="11"/>
  <c r="AD42" i="11" s="1"/>
  <c r="Z42" i="11" s="1"/>
  <c r="AE24" i="11"/>
  <c r="AD24" i="11" s="1"/>
  <c r="AA24" i="11" s="1"/>
  <c r="AE51" i="11"/>
  <c r="AD51" i="11" s="1"/>
  <c r="AE33" i="11"/>
  <c r="AD33" i="11" s="1"/>
  <c r="N21" i="12"/>
  <c r="O21" i="12"/>
  <c r="W30" i="12"/>
  <c r="V30" i="12"/>
  <c r="K39" i="15"/>
  <c r="J39" i="15"/>
  <c r="S48" i="15"/>
  <c r="R48" i="15"/>
  <c r="S21" i="19"/>
  <c r="R21" i="19"/>
  <c r="V54" i="20"/>
  <c r="V50" i="20"/>
  <c r="V53" i="20"/>
  <c r="V49" i="20"/>
  <c r="V52" i="20"/>
  <c r="V51" i="20"/>
  <c r="J21" i="16"/>
  <c r="K21" i="16"/>
  <c r="S21" i="20"/>
  <c r="R21" i="20"/>
  <c r="W36" i="23"/>
  <c r="W32" i="23"/>
  <c r="W35" i="23"/>
  <c r="W31" i="23"/>
  <c r="W34" i="23"/>
  <c r="W33" i="23"/>
  <c r="V36" i="24"/>
  <c r="V32" i="24"/>
  <c r="V35" i="24"/>
  <c r="V31" i="24"/>
  <c r="V34" i="24"/>
  <c r="AA48" i="26"/>
  <c r="Z48" i="26"/>
  <c r="F51" i="29"/>
  <c r="F54" i="29"/>
  <c r="F53" i="29"/>
  <c r="F49" i="29"/>
  <c r="F52" i="29"/>
  <c r="AA21" i="33"/>
  <c r="Z21" i="33"/>
  <c r="O48" i="20"/>
  <c r="N48" i="20"/>
  <c r="S39" i="21"/>
  <c r="R39" i="21"/>
  <c r="Z48" i="25"/>
  <c r="AA48" i="25"/>
  <c r="K48" i="26"/>
  <c r="J48" i="26"/>
  <c r="W48" i="21"/>
  <c r="V48" i="21"/>
  <c r="J39" i="22"/>
  <c r="K39" i="22"/>
  <c r="O39" i="22"/>
  <c r="N39" i="22"/>
  <c r="G39" i="24"/>
  <c r="F39" i="24"/>
  <c r="AA39" i="24"/>
  <c r="Z39" i="24"/>
  <c r="Z35" i="29"/>
  <c r="Z31" i="29"/>
  <c r="Z34" i="29"/>
  <c r="Z33" i="29"/>
  <c r="Z36" i="29"/>
  <c r="F26" i="33"/>
  <c r="F25" i="33"/>
  <c r="F27" i="33"/>
  <c r="F23" i="33"/>
  <c r="F22" i="33"/>
  <c r="G30" i="30"/>
  <c r="F30" i="30"/>
  <c r="O48" i="30"/>
  <c r="N48" i="30"/>
  <c r="V39" i="30"/>
  <c r="W39" i="30"/>
  <c r="Z41" i="35"/>
  <c r="Z40" i="35"/>
  <c r="W48" i="33"/>
  <c r="V48" i="33"/>
  <c r="AE53" i="34"/>
  <c r="AD53" i="34" s="1"/>
  <c r="AE35" i="34"/>
  <c r="AD35" i="34" s="1"/>
  <c r="AE44" i="34"/>
  <c r="AD44" i="34" s="1"/>
  <c r="AE26" i="34"/>
  <c r="AD26" i="34" s="1"/>
  <c r="BC41" i="37"/>
  <c r="BK41" i="37"/>
  <c r="Z40" i="37"/>
  <c r="AA25" i="35"/>
  <c r="AA24" i="35"/>
  <c r="AA27" i="35"/>
  <c r="AA23" i="35"/>
  <c r="AA26" i="35"/>
  <c r="AA22" i="35"/>
  <c r="Z26" i="38"/>
  <c r="Z25" i="38"/>
  <c r="V39" i="36"/>
  <c r="W39" i="36"/>
  <c r="AA26" i="36"/>
  <c r="AA22" i="36"/>
  <c r="AA24" i="36"/>
  <c r="AA27" i="36"/>
  <c r="AA23" i="36"/>
  <c r="AA39" i="40"/>
  <c r="Z39" i="40"/>
  <c r="W21" i="41"/>
  <c r="V21" i="41"/>
  <c r="AE50" i="42"/>
  <c r="AD50" i="42" s="1"/>
  <c r="AA50" i="42" s="1"/>
  <c r="AE41" i="42"/>
  <c r="AD41" i="42" s="1"/>
  <c r="AE23" i="42"/>
  <c r="AD23" i="42" s="1"/>
  <c r="AE32" i="42"/>
  <c r="AD32" i="42" s="1"/>
  <c r="AA32" i="42" s="1"/>
  <c r="O30" i="42"/>
  <c r="N30" i="42"/>
  <c r="V21" i="42"/>
  <c r="W21" i="42"/>
  <c r="Z27" i="42"/>
  <c r="Z23" i="42"/>
  <c r="Z26" i="42"/>
  <c r="Z22" i="42"/>
  <c r="Z25" i="42"/>
  <c r="Z24" i="42"/>
  <c r="AA33" i="12"/>
  <c r="AA36" i="12"/>
  <c r="AA32" i="12"/>
  <c r="AA35" i="12"/>
  <c r="AA31" i="12"/>
  <c r="O21" i="13"/>
  <c r="N21" i="13"/>
  <c r="Z44" i="15"/>
  <c r="Z40" i="15"/>
  <c r="Z43" i="15"/>
  <c r="Z42" i="15"/>
  <c r="Z45" i="15"/>
  <c r="Z41" i="15"/>
  <c r="G30" i="17"/>
  <c r="F30" i="17"/>
  <c r="S21" i="14"/>
  <c r="R21" i="14"/>
  <c r="K39" i="10"/>
  <c r="J39" i="10"/>
  <c r="W41" i="10"/>
  <c r="R41" i="10"/>
  <c r="Y41" i="10"/>
  <c r="AA41" i="10"/>
  <c r="T41" i="10"/>
  <c r="S30" i="11"/>
  <c r="R30" i="11"/>
  <c r="K21" i="19"/>
  <c r="J21" i="19"/>
  <c r="R48" i="25"/>
  <c r="S48" i="25"/>
  <c r="S48" i="23"/>
  <c r="R48" i="23"/>
  <c r="W52" i="35"/>
  <c r="W51" i="35"/>
  <c r="W54" i="35"/>
  <c r="W50" i="35"/>
  <c r="W53" i="35"/>
  <c r="W49" i="35"/>
  <c r="F39" i="36"/>
  <c r="G39" i="36"/>
  <c r="S48" i="42"/>
  <c r="R48" i="42"/>
  <c r="AE52" i="12"/>
  <c r="AD52" i="12" s="1"/>
  <c r="J52" i="12" s="1"/>
  <c r="AE34" i="12"/>
  <c r="AD34" i="12" s="1"/>
  <c r="AE25" i="12"/>
  <c r="AD25" i="12" s="1"/>
  <c r="J25" i="12" s="1"/>
  <c r="AE43" i="12"/>
  <c r="AD43" i="12" s="1"/>
  <c r="O30" i="15"/>
  <c r="N30" i="15"/>
  <c r="S39" i="17"/>
  <c r="R39" i="17"/>
  <c r="G21" i="26"/>
  <c r="F21" i="26"/>
  <c r="O39" i="21"/>
  <c r="N39" i="21"/>
  <c r="W48" i="26"/>
  <c r="V48" i="26"/>
  <c r="V48" i="22"/>
  <c r="W48" i="22"/>
  <c r="R52" i="30"/>
  <c r="R51" i="30"/>
  <c r="R54" i="30"/>
  <c r="R50" i="30"/>
  <c r="R53" i="30"/>
  <c r="R49" i="30"/>
  <c r="AA44" i="30"/>
  <c r="AA40" i="30"/>
  <c r="AA43" i="30"/>
  <c r="AA42" i="30"/>
  <c r="AA45" i="30"/>
  <c r="AA41" i="30"/>
  <c r="J48" i="30"/>
  <c r="K48" i="30"/>
  <c r="G54" i="33"/>
  <c r="G50" i="33"/>
  <c r="G53" i="33"/>
  <c r="G49" i="33"/>
  <c r="G52" i="33"/>
  <c r="Z51" i="36"/>
  <c r="Z54" i="36"/>
  <c r="Z50" i="36"/>
  <c r="Z53" i="36"/>
  <c r="Z49" i="36"/>
  <c r="N48" i="38"/>
  <c r="O48" i="38"/>
  <c r="O30" i="41"/>
  <c r="N30" i="41"/>
  <c r="S48" i="39"/>
  <c r="R48" i="39"/>
  <c r="J48" i="14"/>
  <c r="K48" i="14"/>
  <c r="O39" i="19"/>
  <c r="N39" i="19"/>
  <c r="W21" i="19"/>
  <c r="V21" i="19"/>
  <c r="S39" i="34"/>
  <c r="R39" i="34"/>
  <c r="O21" i="37"/>
  <c r="N21" i="37"/>
  <c r="R30" i="40"/>
  <c r="S30" i="40"/>
  <c r="G21" i="15"/>
  <c r="F21" i="15"/>
  <c r="J39" i="28"/>
  <c r="K39" i="28"/>
  <c r="R39" i="28"/>
  <c r="S39" i="28"/>
  <c r="K21" i="37"/>
  <c r="J21" i="37"/>
  <c r="K21" i="36"/>
  <c r="J21" i="36"/>
  <c r="G30" i="39"/>
  <c r="F30" i="39"/>
  <c r="N21" i="40"/>
  <c r="O21" i="40"/>
  <c r="G21" i="16"/>
  <c r="F21" i="16"/>
  <c r="K30" i="23"/>
  <c r="J30" i="23"/>
  <c r="F39" i="34"/>
  <c r="G39" i="34"/>
  <c r="G39" i="19"/>
  <c r="F39" i="19"/>
  <c r="G21" i="22"/>
  <c r="F21" i="22"/>
  <c r="K30" i="24"/>
  <c r="J30" i="24"/>
  <c r="S21" i="29"/>
  <c r="R21" i="29"/>
  <c r="W21" i="31"/>
  <c r="V21" i="31"/>
  <c r="R21" i="32"/>
  <c r="S21" i="32"/>
  <c r="S30" i="37"/>
  <c r="R30" i="37"/>
  <c r="K39" i="41"/>
  <c r="J39" i="41"/>
  <c r="G30" i="42"/>
  <c r="F30" i="42"/>
  <c r="K26" i="12"/>
  <c r="K22" i="12"/>
  <c r="K25" i="12"/>
  <c r="K24" i="12"/>
  <c r="K27" i="12"/>
  <c r="K23" i="12"/>
  <c r="AA25" i="15"/>
  <c r="AA24" i="15"/>
  <c r="AA27" i="15"/>
  <c r="AA23" i="15"/>
  <c r="AA26" i="15"/>
  <c r="AA22" i="15"/>
  <c r="BC42" i="18"/>
  <c r="BK42" i="18"/>
  <c r="BK41" i="18"/>
  <c r="BC41" i="18"/>
  <c r="Z53" i="11"/>
  <c r="Z49" i="11"/>
  <c r="Z52" i="11"/>
  <c r="Z51" i="11"/>
  <c r="Z54" i="11"/>
  <c r="Z50" i="11"/>
  <c r="W21" i="13"/>
  <c r="V21" i="13"/>
  <c r="G30" i="13"/>
  <c r="F30" i="13"/>
  <c r="AA43" i="13"/>
  <c r="AA42" i="13"/>
  <c r="AA45" i="13"/>
  <c r="AA41" i="13"/>
  <c r="AA44" i="13"/>
  <c r="AA40" i="13"/>
  <c r="G21" i="10"/>
  <c r="F21" i="10"/>
  <c r="AA22" i="10"/>
  <c r="W22" i="10"/>
  <c r="R22" i="10"/>
  <c r="Y22" i="10"/>
  <c r="T22" i="10"/>
  <c r="S48" i="13"/>
  <c r="R48" i="13"/>
  <c r="G30" i="14"/>
  <c r="F30" i="14"/>
  <c r="W36" i="17"/>
  <c r="W32" i="17"/>
  <c r="W35" i="17"/>
  <c r="W31" i="17"/>
  <c r="W34" i="17"/>
  <c r="W33" i="17"/>
  <c r="N39" i="18"/>
  <c r="O39" i="18"/>
  <c r="W48" i="18"/>
  <c r="V48" i="18"/>
  <c r="K44" i="25"/>
  <c r="K40" i="25"/>
  <c r="K43" i="25"/>
  <c r="K42" i="25"/>
  <c r="K45" i="25"/>
  <c r="K41" i="25"/>
  <c r="BC31" i="30"/>
  <c r="BK31" i="30"/>
  <c r="BC33" i="30"/>
  <c r="BK33" i="30"/>
  <c r="G48" i="20"/>
  <c r="F48" i="20"/>
  <c r="K21" i="21"/>
  <c r="J21" i="21"/>
  <c r="O30" i="23"/>
  <c r="N30" i="23"/>
  <c r="R39" i="27"/>
  <c r="S39" i="27"/>
  <c r="S33" i="30"/>
  <c r="S36" i="30"/>
  <c r="S32" i="30"/>
  <c r="S35" i="30"/>
  <c r="S31" i="30"/>
  <c r="S34" i="30"/>
  <c r="V51" i="29"/>
  <c r="V54" i="29"/>
  <c r="V53" i="29"/>
  <c r="V49" i="29"/>
  <c r="V52" i="29"/>
  <c r="Z27" i="30"/>
  <c r="Z23" i="30"/>
  <c r="Z26" i="30"/>
  <c r="Z22" i="30"/>
  <c r="Z25" i="30"/>
  <c r="Z24" i="30"/>
  <c r="K30" i="32"/>
  <c r="J30" i="32"/>
  <c r="W21" i="28"/>
  <c r="V21" i="28"/>
  <c r="AA30" i="28"/>
  <c r="Z30" i="28"/>
  <c r="S30" i="24"/>
  <c r="R30" i="24"/>
  <c r="O21" i="27"/>
  <c r="N21" i="27"/>
  <c r="O39" i="31"/>
  <c r="N39" i="31"/>
  <c r="F36" i="33"/>
  <c r="F32" i="33"/>
  <c r="F35" i="33"/>
  <c r="F31" i="33"/>
  <c r="F34" i="33"/>
  <c r="S30" i="33"/>
  <c r="R30" i="33"/>
  <c r="K30" i="35"/>
  <c r="J30" i="35"/>
  <c r="V35" i="35"/>
  <c r="V31" i="35"/>
  <c r="V34" i="35"/>
  <c r="V33" i="35"/>
  <c r="V36" i="35"/>
  <c r="V32" i="35"/>
  <c r="N30" i="28"/>
  <c r="O30" i="28"/>
  <c r="AA21" i="34"/>
  <c r="Z21" i="34"/>
  <c r="G48" i="35"/>
  <c r="F48" i="35"/>
  <c r="AA54" i="37"/>
  <c r="AA50" i="37"/>
  <c r="AA53" i="37"/>
  <c r="AA49" i="37"/>
  <c r="AA52" i="37"/>
  <c r="AA51" i="37"/>
  <c r="S48" i="38"/>
  <c r="R48" i="38"/>
  <c r="W39" i="38"/>
  <c r="V39" i="38"/>
  <c r="O39" i="39"/>
  <c r="N39" i="39"/>
  <c r="K39" i="40"/>
  <c r="J39" i="40"/>
  <c r="F39" i="40"/>
  <c r="G39" i="40"/>
  <c r="AA52" i="41"/>
  <c r="AA51" i="41"/>
  <c r="AA54" i="41"/>
  <c r="AA50" i="41"/>
  <c r="AA53" i="41"/>
  <c r="AA49" i="41"/>
  <c r="G48" i="41"/>
  <c r="F48" i="41"/>
  <c r="Z24" i="11"/>
  <c r="Z27" i="11"/>
  <c r="Z23" i="11"/>
  <c r="Z26" i="11"/>
  <c r="Z22" i="11"/>
  <c r="Z25" i="11"/>
  <c r="Z24" i="17"/>
  <c r="Z27" i="17"/>
  <c r="Z23" i="17"/>
  <c r="Z26" i="17"/>
  <c r="Z22" i="17"/>
  <c r="Z25" i="17"/>
  <c r="Z21" i="16"/>
  <c r="AA21" i="16"/>
  <c r="S21" i="18"/>
  <c r="R21" i="18"/>
  <c r="K33" i="25"/>
  <c r="K36" i="25"/>
  <c r="K32" i="25"/>
  <c r="K35" i="25"/>
  <c r="K31" i="25"/>
  <c r="K34" i="25"/>
  <c r="F33" i="29"/>
  <c r="F36" i="29"/>
  <c r="F35" i="29"/>
  <c r="F31" i="29"/>
  <c r="F34" i="29"/>
  <c r="R21" i="22"/>
  <c r="S21" i="22"/>
  <c r="W30" i="25"/>
  <c r="V30" i="25"/>
  <c r="AA30" i="32"/>
  <c r="Z30" i="32"/>
  <c r="AE50" i="29"/>
  <c r="AD50" i="29" s="1"/>
  <c r="AA50" i="29" s="1"/>
  <c r="AE32" i="29"/>
  <c r="AD32" i="29" s="1"/>
  <c r="Z32" i="29" s="1"/>
  <c r="AE41" i="29"/>
  <c r="AD41" i="29" s="1"/>
  <c r="AE23" i="29"/>
  <c r="AD23" i="29" s="1"/>
  <c r="AA48" i="31"/>
  <c r="Z48" i="31"/>
  <c r="J48" i="34"/>
  <c r="K48" i="34"/>
  <c r="O39" i="35"/>
  <c r="N39" i="35"/>
  <c r="BK45" i="36"/>
  <c r="BC45" i="36"/>
  <c r="G48" i="37"/>
  <c r="F48" i="37"/>
  <c r="AA35" i="38"/>
  <c r="AA31" i="38"/>
  <c r="AA34" i="38"/>
  <c r="AA33" i="38"/>
  <c r="AA36" i="38"/>
  <c r="AA32" i="38"/>
  <c r="AA25" i="41"/>
  <c r="AA24" i="41"/>
  <c r="AA26" i="41"/>
  <c r="AA27" i="41"/>
  <c r="AA23" i="41"/>
  <c r="AA22" i="41"/>
  <c r="K33" i="12"/>
  <c r="K36" i="12"/>
  <c r="K32" i="12"/>
  <c r="K35" i="12"/>
  <c r="K31" i="12"/>
  <c r="K34" i="12"/>
  <c r="J45" i="18"/>
  <c r="J41" i="18"/>
  <c r="J44" i="18"/>
  <c r="J40" i="18"/>
  <c r="J43" i="18"/>
  <c r="J42" i="18"/>
  <c r="Z52" i="20"/>
  <c r="Z51" i="20"/>
  <c r="Z54" i="20"/>
  <c r="Z50" i="20"/>
  <c r="Z53" i="20"/>
  <c r="Z49" i="20"/>
  <c r="AA34" i="11"/>
  <c r="AA33" i="11"/>
  <c r="AA36" i="11"/>
  <c r="AA32" i="11"/>
  <c r="AA35" i="11"/>
  <c r="AA31" i="11"/>
  <c r="AA26" i="10"/>
  <c r="W26" i="10"/>
  <c r="R26" i="10"/>
  <c r="T26" i="10"/>
  <c r="Y26" i="10"/>
  <c r="W39" i="11"/>
  <c r="V39" i="11"/>
  <c r="Z26" i="13"/>
  <c r="Z22" i="13"/>
  <c r="Z25" i="13"/>
  <c r="Z24" i="13"/>
  <c r="Z27" i="13"/>
  <c r="Z23" i="13"/>
  <c r="G30" i="12"/>
  <c r="F30" i="12"/>
  <c r="K30" i="13"/>
  <c r="J30" i="13"/>
  <c r="AA21" i="14"/>
  <c r="Z21" i="14"/>
  <c r="AA34" i="17"/>
  <c r="AA33" i="17"/>
  <c r="AA36" i="17"/>
  <c r="AA32" i="17"/>
  <c r="AA35" i="17"/>
  <c r="AA31" i="17"/>
  <c r="Y34" i="10"/>
  <c r="T34" i="10"/>
  <c r="W34" i="10"/>
  <c r="R34" i="10"/>
  <c r="AA34" i="10"/>
  <c r="AA36" i="19"/>
  <c r="AA32" i="19"/>
  <c r="AA35" i="19"/>
  <c r="AA31" i="19"/>
  <c r="AA34" i="19"/>
  <c r="AA33" i="19"/>
  <c r="O21" i="17"/>
  <c r="N21" i="17"/>
  <c r="V25" i="20"/>
  <c r="V24" i="20"/>
  <c r="V27" i="20"/>
  <c r="V23" i="20"/>
  <c r="V26" i="20"/>
  <c r="V22" i="20"/>
  <c r="S48" i="16"/>
  <c r="R48" i="16"/>
  <c r="K39" i="17"/>
  <c r="J39" i="17"/>
  <c r="G48" i="21"/>
  <c r="F48" i="21"/>
  <c r="V52" i="23"/>
  <c r="V51" i="23"/>
  <c r="V54" i="23"/>
  <c r="V50" i="23"/>
  <c r="V53" i="23"/>
  <c r="V49" i="23"/>
  <c r="AA48" i="27"/>
  <c r="Z48" i="27"/>
  <c r="AA48" i="21"/>
  <c r="Z48" i="21"/>
  <c r="AA30" i="22"/>
  <c r="Z30" i="22"/>
  <c r="AA21" i="23"/>
  <c r="Z21" i="23"/>
  <c r="V26" i="24"/>
  <c r="V22" i="24"/>
  <c r="V25" i="24"/>
  <c r="V27" i="24"/>
  <c r="V23" i="24"/>
  <c r="K30" i="27"/>
  <c r="J30" i="27"/>
  <c r="O21" i="29"/>
  <c r="N21" i="29"/>
  <c r="V33" i="29"/>
  <c r="V36" i="29"/>
  <c r="V32" i="29"/>
  <c r="V35" i="29"/>
  <c r="V31" i="29"/>
  <c r="V34" i="29"/>
  <c r="W48" i="27"/>
  <c r="V48" i="27"/>
  <c r="Z53" i="29"/>
  <c r="Z49" i="29"/>
  <c r="Z52" i="29"/>
  <c r="Z51" i="29"/>
  <c r="Z54" i="29"/>
  <c r="Z50" i="29"/>
  <c r="W39" i="32"/>
  <c r="V39" i="32"/>
  <c r="K39" i="31"/>
  <c r="J39" i="31"/>
  <c r="AA40" i="35"/>
  <c r="AA42" i="35"/>
  <c r="BC42" i="35" s="1"/>
  <c r="W21" i="37"/>
  <c r="V21" i="37"/>
  <c r="K30" i="38"/>
  <c r="J30" i="38"/>
  <c r="W39" i="39"/>
  <c r="V39" i="39"/>
  <c r="W30" i="40"/>
  <c r="V30" i="40"/>
  <c r="Z33" i="41"/>
  <c r="Z36" i="41"/>
  <c r="Z32" i="41"/>
  <c r="Z35" i="41"/>
  <c r="Z34" i="41"/>
  <c r="Z31" i="41"/>
  <c r="K39" i="39"/>
  <c r="J39" i="39"/>
  <c r="AA39" i="39"/>
  <c r="Z39" i="39"/>
  <c r="G39" i="11"/>
  <c r="F39" i="11"/>
  <c r="AA45" i="19"/>
  <c r="AA41" i="19"/>
  <c r="AA44" i="19"/>
  <c r="AA43" i="19"/>
  <c r="AA42" i="19"/>
  <c r="AA40" i="19"/>
  <c r="V39" i="14"/>
  <c r="W39" i="14"/>
  <c r="F39" i="18"/>
  <c r="G39" i="18"/>
  <c r="W39" i="16"/>
  <c r="V39" i="16"/>
  <c r="S30" i="26"/>
  <c r="R30" i="26"/>
  <c r="O48" i="25"/>
  <c r="N48" i="25"/>
  <c r="F30" i="27"/>
  <c r="G30" i="27"/>
  <c r="Z42" i="29"/>
  <c r="Z45" i="29"/>
  <c r="Z41" i="29"/>
  <c r="Z44" i="29"/>
  <c r="Z40" i="29"/>
  <c r="Z43" i="29"/>
  <c r="S39" i="31"/>
  <c r="R39" i="31"/>
  <c r="S39" i="35"/>
  <c r="R39" i="35"/>
  <c r="F48" i="28"/>
  <c r="G48" i="28"/>
  <c r="AA36" i="37"/>
  <c r="AA32" i="37"/>
  <c r="AA35" i="37"/>
  <c r="AA31" i="37"/>
  <c r="AA34" i="37"/>
  <c r="AA33" i="37"/>
  <c r="K51" i="12"/>
  <c r="K54" i="12"/>
  <c r="K50" i="12"/>
  <c r="K53" i="12"/>
  <c r="K49" i="12"/>
  <c r="K52" i="12"/>
  <c r="AA26" i="12"/>
  <c r="AA22" i="12"/>
  <c r="AA25" i="12"/>
  <c r="AA24" i="12"/>
  <c r="AA27" i="12"/>
  <c r="AA23" i="12"/>
  <c r="AA36" i="15"/>
  <c r="AA32" i="15"/>
  <c r="AA35" i="15"/>
  <c r="AA31" i="15"/>
  <c r="AA34" i="15"/>
  <c r="AA33" i="15"/>
  <c r="AA44" i="20"/>
  <c r="AA40" i="20"/>
  <c r="AA43" i="20"/>
  <c r="AA42" i="20"/>
  <c r="AA45" i="20"/>
  <c r="AA41" i="20"/>
  <c r="AA45" i="11"/>
  <c r="AA41" i="11"/>
  <c r="AA44" i="11"/>
  <c r="AA40" i="11"/>
  <c r="AA43" i="11"/>
  <c r="AA42" i="11"/>
  <c r="BC45" i="10"/>
  <c r="BK45" i="10"/>
  <c r="N39" i="12"/>
  <c r="O39" i="12"/>
  <c r="W48" i="12"/>
  <c r="V48" i="12"/>
  <c r="Z53" i="19"/>
  <c r="Z49" i="19"/>
  <c r="Z52" i="19"/>
  <c r="Z51" i="19"/>
  <c r="Z54" i="19"/>
  <c r="Z50" i="19"/>
  <c r="K30" i="15"/>
  <c r="J30" i="15"/>
  <c r="S21" i="15"/>
  <c r="R21" i="15"/>
  <c r="S30" i="19"/>
  <c r="R30" i="19"/>
  <c r="W53" i="20"/>
  <c r="W49" i="20"/>
  <c r="W52" i="20"/>
  <c r="W51" i="20"/>
  <c r="W54" i="20"/>
  <c r="W50" i="20"/>
  <c r="J39" i="16"/>
  <c r="K39" i="16"/>
  <c r="K51" i="25"/>
  <c r="K54" i="25"/>
  <c r="K50" i="25"/>
  <c r="K53" i="25"/>
  <c r="K49" i="25"/>
  <c r="K52" i="25"/>
  <c r="R30" i="20"/>
  <c r="S30" i="20"/>
  <c r="W36" i="24"/>
  <c r="W32" i="24"/>
  <c r="W35" i="24"/>
  <c r="W31" i="24"/>
  <c r="W34" i="24"/>
  <c r="AA21" i="26"/>
  <c r="Z21" i="26"/>
  <c r="G54" i="29"/>
  <c r="G50" i="29"/>
  <c r="G53" i="29"/>
  <c r="G49" i="29"/>
  <c r="G52" i="29"/>
  <c r="G51" i="29"/>
  <c r="AA39" i="33"/>
  <c r="Z39" i="33"/>
  <c r="N21" i="20"/>
  <c r="O21" i="20"/>
  <c r="S30" i="21"/>
  <c r="R30" i="21"/>
  <c r="AA21" i="25"/>
  <c r="Z21" i="25"/>
  <c r="K21" i="26"/>
  <c r="J21" i="26"/>
  <c r="W21" i="21"/>
  <c r="V21" i="21"/>
  <c r="K30" i="22"/>
  <c r="J30" i="22"/>
  <c r="N30" i="22"/>
  <c r="O30" i="22"/>
  <c r="R27" i="30"/>
  <c r="R23" i="30"/>
  <c r="R26" i="30"/>
  <c r="R22" i="30"/>
  <c r="R25" i="30"/>
  <c r="R24" i="30"/>
  <c r="G21" i="24"/>
  <c r="F21" i="24"/>
  <c r="AE42" i="24"/>
  <c r="AD42" i="24" s="1"/>
  <c r="AE24" i="24"/>
  <c r="AD24" i="24" s="1"/>
  <c r="AE33" i="24"/>
  <c r="AD33" i="24" s="1"/>
  <c r="W33" i="24" s="1"/>
  <c r="AE51" i="24"/>
  <c r="AD51" i="24" s="1"/>
  <c r="AA51" i="30"/>
  <c r="AA54" i="30"/>
  <c r="AA50" i="30"/>
  <c r="AA53" i="30"/>
  <c r="AA49" i="30"/>
  <c r="AA52" i="30"/>
  <c r="AA30" i="24"/>
  <c r="Z30" i="24"/>
  <c r="AA34" i="29"/>
  <c r="AA33" i="29"/>
  <c r="AA36" i="29"/>
  <c r="AA32" i="29"/>
  <c r="AA35" i="29"/>
  <c r="AA31" i="29"/>
  <c r="G25" i="33"/>
  <c r="G27" i="33"/>
  <c r="G23" i="33"/>
  <c r="G26" i="33"/>
  <c r="G22" i="33"/>
  <c r="G48" i="30"/>
  <c r="F48" i="30"/>
  <c r="N21" i="30"/>
  <c r="O21" i="30"/>
  <c r="W30" i="30"/>
  <c r="V30" i="30"/>
  <c r="AE42" i="33"/>
  <c r="AD42" i="33" s="1"/>
  <c r="F42" i="33" s="1"/>
  <c r="AE24" i="33"/>
  <c r="AD24" i="33" s="1"/>
  <c r="AE51" i="33"/>
  <c r="AD51" i="33" s="1"/>
  <c r="AE33" i="33"/>
  <c r="AD33" i="33" s="1"/>
  <c r="BC45" i="35"/>
  <c r="BK45" i="35"/>
  <c r="BK44" i="35"/>
  <c r="BC44" i="35"/>
  <c r="W21" i="33"/>
  <c r="V21" i="33"/>
  <c r="BC45" i="37"/>
  <c r="BK45" i="37"/>
  <c r="Z44" i="37"/>
  <c r="Z23" i="38"/>
  <c r="AE52" i="36"/>
  <c r="AD52" i="36" s="1"/>
  <c r="AA52" i="36" s="1"/>
  <c r="AE34" i="36"/>
  <c r="AD34" i="36" s="1"/>
  <c r="AE43" i="36"/>
  <c r="AD43" i="36" s="1"/>
  <c r="AE25" i="36"/>
  <c r="AD25" i="36" s="1"/>
  <c r="Z25" i="36" s="1"/>
  <c r="W30" i="36"/>
  <c r="V30" i="36"/>
  <c r="AA44" i="38"/>
  <c r="AA43" i="38"/>
  <c r="AA42" i="38"/>
  <c r="AA45" i="38"/>
  <c r="AA41" i="38"/>
  <c r="AA40" i="38"/>
  <c r="Z30" i="40"/>
  <c r="AA30" i="40"/>
  <c r="Z42" i="41"/>
  <c r="Z45" i="41"/>
  <c r="Z41" i="41"/>
  <c r="Z44" i="41"/>
  <c r="Z40" i="41"/>
  <c r="Z43" i="41"/>
  <c r="W39" i="41"/>
  <c r="V39" i="41"/>
  <c r="N21" i="42"/>
  <c r="O21" i="42"/>
  <c r="W30" i="42"/>
  <c r="V30" i="42"/>
  <c r="AA26" i="42"/>
  <c r="AA22" i="42"/>
  <c r="AA25" i="42"/>
  <c r="AA24" i="42"/>
  <c r="AA27" i="42"/>
  <c r="AA23" i="42"/>
  <c r="Z34" i="12"/>
  <c r="Z33" i="12"/>
  <c r="Z36" i="12"/>
  <c r="Z32" i="12"/>
  <c r="Z35" i="12"/>
  <c r="Z31" i="12"/>
  <c r="O39" i="13"/>
  <c r="N39" i="13"/>
  <c r="AA43" i="15"/>
  <c r="AA42" i="15"/>
  <c r="AA45" i="15"/>
  <c r="AA41" i="15"/>
  <c r="AA44" i="15"/>
  <c r="AA40" i="15"/>
  <c r="G48" i="17"/>
  <c r="F48" i="17"/>
  <c r="S39" i="14"/>
  <c r="R39" i="14"/>
  <c r="J30" i="10"/>
  <c r="K30" i="10"/>
  <c r="W32" i="10"/>
  <c r="AA32" i="10"/>
  <c r="T32" i="10"/>
  <c r="Y32" i="10"/>
  <c r="R32" i="10"/>
  <c r="S48" i="11"/>
  <c r="R48" i="11"/>
  <c r="K48" i="19"/>
  <c r="J48" i="19"/>
  <c r="S21" i="25"/>
  <c r="R21" i="25"/>
  <c r="S30" i="23"/>
  <c r="R30" i="23"/>
  <c r="G30" i="36"/>
  <c r="F30" i="36"/>
  <c r="S39" i="42"/>
  <c r="R39" i="42"/>
  <c r="V51" i="17"/>
  <c r="V54" i="17"/>
  <c r="V50" i="17"/>
  <c r="V53" i="17"/>
  <c r="V49" i="17"/>
  <c r="V52" i="17"/>
  <c r="O48" i="15"/>
  <c r="N48" i="15"/>
  <c r="S30" i="17"/>
  <c r="R30" i="17"/>
  <c r="G39" i="26"/>
  <c r="F39" i="26"/>
  <c r="O30" i="21"/>
  <c r="N30" i="21"/>
  <c r="W21" i="26"/>
  <c r="V21" i="26"/>
  <c r="W21" i="22"/>
  <c r="V21" i="22"/>
  <c r="K21" i="30"/>
  <c r="J21" i="30"/>
  <c r="O21" i="38"/>
  <c r="N21" i="38"/>
  <c r="O48" i="41"/>
  <c r="N48" i="41"/>
  <c r="S21" i="39"/>
  <c r="R21" i="39"/>
  <c r="K21" i="14"/>
  <c r="J21" i="14"/>
  <c r="O21" i="19"/>
  <c r="N21" i="19"/>
  <c r="W48" i="19"/>
  <c r="V48" i="19"/>
  <c r="R30" i="34"/>
  <c r="S30" i="34"/>
  <c r="O39" i="37"/>
  <c r="N39" i="37"/>
  <c r="R48" i="40"/>
  <c r="S48" i="40"/>
  <c r="G39" i="15"/>
  <c r="F39" i="15"/>
  <c r="J21" i="28"/>
  <c r="K21" i="28"/>
  <c r="S30" i="28"/>
  <c r="R30" i="28"/>
  <c r="K39" i="37"/>
  <c r="J39" i="37"/>
  <c r="K39" i="36"/>
  <c r="J39" i="36"/>
  <c r="G48" i="39"/>
  <c r="F48" i="39"/>
  <c r="N39" i="40"/>
  <c r="O39" i="40"/>
  <c r="G39" i="16"/>
  <c r="F39" i="16"/>
  <c r="K48" i="23"/>
  <c r="J48" i="23"/>
  <c r="G30" i="34"/>
  <c r="F30" i="34"/>
  <c r="G48" i="19"/>
  <c r="F48" i="19"/>
  <c r="G39" i="22"/>
  <c r="F39" i="22"/>
  <c r="K48" i="24"/>
  <c r="J48" i="24"/>
  <c r="S39" i="29"/>
  <c r="R39" i="29"/>
  <c r="W39" i="31"/>
  <c r="V39" i="31"/>
  <c r="R39" i="32"/>
  <c r="S39" i="32"/>
  <c r="S48" i="37"/>
  <c r="R48" i="37"/>
  <c r="K48" i="41"/>
  <c r="J48" i="41"/>
  <c r="G48" i="42"/>
  <c r="F48" i="42"/>
  <c r="V42" i="6"/>
  <c r="V94" i="6"/>
  <c r="V29" i="6"/>
  <c r="V45" i="6"/>
  <c r="V61" i="6"/>
  <c r="V77" i="6"/>
  <c r="X93" i="6"/>
  <c r="V109" i="6"/>
  <c r="V125" i="6"/>
  <c r="L155" i="6"/>
  <c r="P44" i="6"/>
  <c r="P31" i="6"/>
  <c r="P47" i="6"/>
  <c r="R63" i="6"/>
  <c r="R79" i="6"/>
  <c r="P95" i="6"/>
  <c r="P111" i="6"/>
  <c r="P127" i="6"/>
  <c r="P143" i="6"/>
  <c r="J46" i="6"/>
  <c r="X199" i="6"/>
  <c r="P30" i="6"/>
  <c r="L102" i="6"/>
  <c r="J118" i="6"/>
  <c r="L134" i="6"/>
  <c r="X147" i="6"/>
  <c r="J32" i="6"/>
  <c r="R96" i="6"/>
  <c r="V70" i="6"/>
  <c r="X102" i="6"/>
  <c r="X118" i="6"/>
  <c r="X134" i="6"/>
  <c r="R100" i="6"/>
  <c r="R120" i="6"/>
  <c r="R136" i="6"/>
  <c r="V151" i="6"/>
  <c r="P48" i="6"/>
  <c r="P34" i="6"/>
  <c r="J50" i="6"/>
  <c r="L195" i="6"/>
  <c r="J78" i="6"/>
  <c r="R104" i="6"/>
  <c r="L106" i="6"/>
  <c r="L138" i="6"/>
  <c r="V106" i="6"/>
  <c r="X122" i="6"/>
  <c r="V138" i="6"/>
  <c r="R149" i="6"/>
  <c r="P108" i="6"/>
  <c r="R124" i="6"/>
  <c r="P140" i="6"/>
  <c r="J29" i="6"/>
  <c r="P80" i="6"/>
  <c r="L122" i="6"/>
  <c r="P64" i="6"/>
  <c r="X38" i="6"/>
  <c r="X90" i="6"/>
  <c r="L110" i="6"/>
  <c r="L126" i="6"/>
  <c r="X26" i="6"/>
  <c r="V41" i="6"/>
  <c r="X57" i="6"/>
  <c r="X73" i="6"/>
  <c r="X89" i="6"/>
  <c r="X105" i="6"/>
  <c r="X121" i="6"/>
  <c r="X137" i="6"/>
  <c r="X142" i="6"/>
  <c r="P32" i="6"/>
  <c r="J82" i="6"/>
  <c r="R27" i="6"/>
  <c r="R43" i="6"/>
  <c r="P59" i="6"/>
  <c r="R75" i="6"/>
  <c r="R91" i="6"/>
  <c r="R107" i="6"/>
  <c r="R123" i="6"/>
  <c r="P139" i="6"/>
  <c r="L34" i="6"/>
  <c r="R84" i="6"/>
  <c r="J33" i="6"/>
  <c r="L41" i="6"/>
  <c r="L57" i="6"/>
  <c r="L73" i="6"/>
  <c r="J89" i="6"/>
  <c r="L105" i="6"/>
  <c r="L121" i="6"/>
  <c r="L137" i="6"/>
  <c r="R173" i="6"/>
  <c r="L94" i="6"/>
  <c r="L52" i="6"/>
  <c r="J68" i="6"/>
  <c r="L84" i="6"/>
  <c r="J100" i="6"/>
  <c r="L116" i="6"/>
  <c r="J132" i="6"/>
  <c r="J151" i="6"/>
  <c r="J38" i="6"/>
  <c r="J27" i="6"/>
  <c r="L43" i="6"/>
  <c r="L59" i="6"/>
  <c r="J75" i="6"/>
  <c r="L91" i="6"/>
  <c r="J107" i="6"/>
  <c r="L123" i="6"/>
  <c r="J154" i="6"/>
  <c r="L170" i="6"/>
  <c r="L165" i="6"/>
  <c r="L181" i="6"/>
  <c r="V27" i="6"/>
  <c r="V43" i="6"/>
  <c r="V59" i="6"/>
  <c r="V75" i="6"/>
  <c r="X91" i="6"/>
  <c r="V107" i="6"/>
  <c r="X123" i="6"/>
  <c r="V154" i="6"/>
  <c r="V170" i="6"/>
  <c r="X165" i="6"/>
  <c r="V181" i="6"/>
  <c r="L172" i="6"/>
  <c r="L188" i="6"/>
  <c r="P114" i="6"/>
  <c r="P130" i="6"/>
  <c r="P152" i="6"/>
  <c r="P168" i="6"/>
  <c r="P163" i="6"/>
  <c r="P179" i="6"/>
  <c r="X168" i="6"/>
  <c r="V184" i="6"/>
  <c r="L145" i="6"/>
  <c r="P162" i="6"/>
  <c r="R178" i="6"/>
  <c r="R189" i="6"/>
  <c r="P46" i="6"/>
  <c r="P78" i="6"/>
  <c r="P110" i="6"/>
  <c r="X58" i="6"/>
  <c r="J56" i="6"/>
  <c r="J72" i="6"/>
  <c r="J88" i="6"/>
  <c r="J104" i="6"/>
  <c r="J120" i="6"/>
  <c r="J136" i="6"/>
  <c r="L167" i="6"/>
  <c r="X50" i="6"/>
  <c r="J31" i="6"/>
  <c r="L47" i="6"/>
  <c r="J63" i="6"/>
  <c r="L79" i="6"/>
  <c r="L95" i="6"/>
  <c r="J111" i="6"/>
  <c r="J127" i="6"/>
  <c r="J158" i="6"/>
  <c r="L174" i="6"/>
  <c r="J169" i="6"/>
  <c r="L185" i="6"/>
  <c r="X40" i="6"/>
  <c r="X56" i="6"/>
  <c r="X72" i="6"/>
  <c r="X88" i="6"/>
  <c r="X104" i="6"/>
  <c r="X120" i="6"/>
  <c r="X136" i="6"/>
  <c r="V195" i="6"/>
  <c r="V158" i="6"/>
  <c r="V153" i="6"/>
  <c r="X169" i="6"/>
  <c r="L160" i="6"/>
  <c r="J176" i="6"/>
  <c r="R29" i="6"/>
  <c r="P45" i="6"/>
  <c r="P61" i="6"/>
  <c r="P77" i="6"/>
  <c r="P93" i="6"/>
  <c r="P109" i="6"/>
  <c r="P125" i="6"/>
  <c r="R141" i="6"/>
  <c r="R172" i="6"/>
  <c r="R188" i="6"/>
  <c r="R183" i="6"/>
  <c r="P199" i="6"/>
  <c r="V188" i="6"/>
  <c r="R182" i="6"/>
  <c r="R198" i="6"/>
  <c r="J49" i="6"/>
  <c r="J65" i="6"/>
  <c r="J81" i="6"/>
  <c r="J97" i="6"/>
  <c r="J113" i="6"/>
  <c r="J129" i="6"/>
  <c r="L44" i="6"/>
  <c r="J60" i="6"/>
  <c r="L76" i="6"/>
  <c r="J92" i="6"/>
  <c r="L108" i="6"/>
  <c r="L124" i="6"/>
  <c r="L140" i="6"/>
  <c r="J146" i="6"/>
  <c r="L162" i="6"/>
  <c r="L157" i="6"/>
  <c r="J173" i="6"/>
  <c r="L66" i="6"/>
  <c r="X35" i="6"/>
  <c r="X51" i="6"/>
  <c r="V67" i="6"/>
  <c r="X83" i="6"/>
  <c r="X99" i="6"/>
  <c r="V115" i="6"/>
  <c r="X131" i="6"/>
  <c r="X162" i="6"/>
  <c r="X178" i="6"/>
  <c r="X173" i="6"/>
  <c r="V189" i="6"/>
  <c r="J180" i="6"/>
  <c r="L196" i="6"/>
  <c r="R122" i="6"/>
  <c r="R138" i="6"/>
  <c r="P144" i="6"/>
  <c r="P201" i="6"/>
  <c r="R192" i="6"/>
  <c r="P155" i="6"/>
  <c r="X144" i="6"/>
  <c r="X160" i="6"/>
  <c r="X171" i="6"/>
  <c r="R154" i="6"/>
  <c r="P170" i="6"/>
  <c r="R157" i="6"/>
  <c r="V62" i="6"/>
  <c r="R62" i="6"/>
  <c r="R94" i="6"/>
  <c r="L199" i="6"/>
  <c r="V74" i="6"/>
  <c r="J39" i="6"/>
  <c r="L55" i="6"/>
  <c r="J71" i="6"/>
  <c r="L87" i="6"/>
  <c r="L103" i="6"/>
  <c r="L119" i="6"/>
  <c r="L135" i="6"/>
  <c r="R161" i="6"/>
  <c r="J182" i="6"/>
  <c r="L198" i="6"/>
  <c r="L193" i="6"/>
  <c r="V48" i="6"/>
  <c r="X64" i="6"/>
  <c r="X80" i="6"/>
  <c r="V96" i="6"/>
  <c r="V112" i="6"/>
  <c r="V128" i="6"/>
  <c r="P145" i="6"/>
  <c r="X163" i="6"/>
  <c r="X150" i="6"/>
  <c r="X198" i="6"/>
  <c r="X161" i="6"/>
  <c r="J152" i="6"/>
  <c r="L168" i="6"/>
  <c r="R142" i="6"/>
  <c r="L191" i="6"/>
  <c r="J70" i="6"/>
  <c r="P37" i="6"/>
  <c r="P53" i="6"/>
  <c r="R69" i="6"/>
  <c r="P85" i="6"/>
  <c r="P101" i="6"/>
  <c r="R117" i="6"/>
  <c r="P133" i="6"/>
  <c r="R164" i="6"/>
  <c r="P180" i="6"/>
  <c r="J98" i="6"/>
  <c r="J130" i="6"/>
  <c r="V191" i="6"/>
  <c r="J28" i="6"/>
  <c r="L58" i="6"/>
  <c r="X98" i="6"/>
  <c r="X114" i="6"/>
  <c r="X130" i="6"/>
  <c r="J155" i="6"/>
  <c r="R44" i="6"/>
  <c r="R31" i="6"/>
  <c r="R47" i="6"/>
  <c r="P63" i="6"/>
  <c r="P79" i="6"/>
  <c r="R95" i="6"/>
  <c r="R111" i="6"/>
  <c r="R127" i="6"/>
  <c r="L62" i="6"/>
  <c r="P116" i="6"/>
  <c r="P132" i="6"/>
  <c r="V199" i="6"/>
  <c r="R30" i="6"/>
  <c r="R76" i="6"/>
  <c r="X30" i="6"/>
  <c r="P52" i="6"/>
  <c r="L114" i="6"/>
  <c r="V86" i="6"/>
  <c r="X54" i="6"/>
  <c r="X33" i="6"/>
  <c r="V49" i="6"/>
  <c r="V65" i="6"/>
  <c r="V81" i="6"/>
  <c r="V97" i="6"/>
  <c r="V113" i="6"/>
  <c r="V129" i="6"/>
  <c r="V147" i="6"/>
  <c r="P96" i="6"/>
  <c r="X149" i="6"/>
  <c r="L42" i="6"/>
  <c r="X32" i="6"/>
  <c r="P58" i="6"/>
  <c r="R90" i="6"/>
  <c r="P100" i="6"/>
  <c r="P120" i="6"/>
  <c r="P136" i="6"/>
  <c r="L50" i="6"/>
  <c r="J195" i="6"/>
  <c r="L78" i="6"/>
  <c r="P104" i="6"/>
  <c r="J106" i="6"/>
  <c r="J138" i="6"/>
  <c r="V159" i="6"/>
  <c r="R68" i="6"/>
  <c r="L36" i="6"/>
  <c r="P36" i="6"/>
  <c r="P165" i="6"/>
  <c r="R72" i="6"/>
  <c r="X36" i="6"/>
  <c r="R66" i="6"/>
  <c r="P98" i="6"/>
  <c r="P149" i="6"/>
  <c r="R108" i="6"/>
  <c r="P124" i="6"/>
  <c r="L29" i="6"/>
  <c r="L40" i="6"/>
  <c r="V78" i="6"/>
  <c r="R40" i="6"/>
  <c r="P92" i="6"/>
  <c r="X110" i="6"/>
  <c r="X126" i="6"/>
  <c r="V142" i="6"/>
  <c r="R32" i="6"/>
  <c r="L82" i="6"/>
  <c r="P27" i="6"/>
  <c r="P43" i="6"/>
  <c r="R59" i="6"/>
  <c r="P75" i="6"/>
  <c r="P91" i="6"/>
  <c r="P107" i="6"/>
  <c r="P123" i="6"/>
  <c r="J34" i="6"/>
  <c r="P84" i="6"/>
  <c r="X183" i="6"/>
  <c r="L163" i="6"/>
  <c r="L33" i="6"/>
  <c r="J41" i="6"/>
  <c r="J57" i="6"/>
  <c r="J73" i="6"/>
  <c r="L89" i="6"/>
  <c r="J105" i="6"/>
  <c r="J121" i="6"/>
  <c r="J137" i="6"/>
  <c r="J52" i="6"/>
  <c r="L68" i="6"/>
  <c r="J84" i="6"/>
  <c r="L100" i="6"/>
  <c r="J116" i="6"/>
  <c r="L132" i="6"/>
  <c r="R177" i="6"/>
  <c r="L154" i="6"/>
  <c r="L202" i="6"/>
  <c r="J165" i="6"/>
  <c r="X179" i="6"/>
  <c r="X154" i="6"/>
  <c r="X202" i="6"/>
  <c r="V165" i="6"/>
  <c r="J156" i="6"/>
  <c r="J172" i="6"/>
  <c r="P169" i="6"/>
  <c r="R152" i="6"/>
  <c r="R200" i="6"/>
  <c r="R163" i="6"/>
  <c r="V152" i="6"/>
  <c r="V168" i="6"/>
  <c r="J145" i="6"/>
  <c r="R146" i="6"/>
  <c r="R162" i="6"/>
  <c r="L141" i="6"/>
  <c r="P189" i="6"/>
  <c r="R46" i="6"/>
  <c r="R78" i="6"/>
  <c r="R110" i="6"/>
  <c r="V58" i="6"/>
  <c r="L56" i="6"/>
  <c r="L72" i="6"/>
  <c r="L88" i="6"/>
  <c r="L104" i="6"/>
  <c r="L120" i="6"/>
  <c r="L136" i="6"/>
  <c r="R193" i="6"/>
  <c r="L158" i="6"/>
  <c r="J153" i="6"/>
  <c r="L169" i="6"/>
  <c r="V40" i="6"/>
  <c r="V56" i="6"/>
  <c r="V72" i="6"/>
  <c r="V88" i="6"/>
  <c r="V104" i="6"/>
  <c r="V120" i="6"/>
  <c r="V136" i="6"/>
  <c r="V143" i="6"/>
  <c r="X195" i="6"/>
  <c r="V190" i="6"/>
  <c r="X153" i="6"/>
  <c r="V201" i="6"/>
  <c r="J160" i="6"/>
  <c r="J159" i="6"/>
  <c r="P29" i="6"/>
  <c r="R45" i="6"/>
  <c r="R61" i="6"/>
  <c r="R77" i="6"/>
  <c r="R93" i="6"/>
  <c r="R109" i="6"/>
  <c r="R125" i="6"/>
  <c r="R156" i="6"/>
  <c r="P172" i="6"/>
  <c r="R167" i="6"/>
  <c r="P183" i="6"/>
  <c r="X172" i="6"/>
  <c r="X188" i="6"/>
  <c r="X155" i="6"/>
  <c r="P166" i="6"/>
  <c r="P182" i="6"/>
  <c r="R54" i="6"/>
  <c r="R86" i="6"/>
  <c r="J44" i="6"/>
  <c r="L60" i="6"/>
  <c r="J76" i="6"/>
  <c r="L92" i="6"/>
  <c r="J108" i="6"/>
  <c r="J124" i="6"/>
  <c r="L147" i="6"/>
  <c r="L146" i="6"/>
  <c r="J194" i="6"/>
  <c r="J157" i="6"/>
  <c r="V140" i="6"/>
  <c r="V146" i="6"/>
  <c r="V162" i="6"/>
  <c r="X157" i="6"/>
  <c r="V173" i="6"/>
  <c r="L164" i="6"/>
  <c r="L180" i="6"/>
  <c r="R33" i="6"/>
  <c r="P49" i="6"/>
  <c r="R65" i="6"/>
  <c r="R81" i="6"/>
  <c r="P97" i="6"/>
  <c r="R113" i="6"/>
  <c r="P129" i="6"/>
  <c r="R144" i="6"/>
  <c r="R176" i="6"/>
  <c r="P192" i="6"/>
  <c r="R187" i="6"/>
  <c r="V144" i="6"/>
  <c r="X192" i="6"/>
  <c r="L90" i="6"/>
  <c r="P154" i="6"/>
  <c r="R202" i="6"/>
  <c r="J37" i="6"/>
  <c r="J53" i="6"/>
  <c r="J69" i="6"/>
  <c r="J85" i="6"/>
  <c r="J101" i="6"/>
  <c r="J117" i="6"/>
  <c r="L133" i="6"/>
  <c r="P157" i="6"/>
  <c r="X62" i="6"/>
  <c r="L144" i="6"/>
  <c r="J199" i="6"/>
  <c r="X74" i="6"/>
  <c r="L39" i="6"/>
  <c r="J55" i="6"/>
  <c r="L71" i="6"/>
  <c r="J87" i="6"/>
  <c r="J103" i="6"/>
  <c r="J119" i="6"/>
  <c r="J135" i="6"/>
  <c r="L166" i="6"/>
  <c r="L182" i="6"/>
  <c r="J177" i="6"/>
  <c r="J193" i="6"/>
  <c r="X48" i="6"/>
  <c r="V64" i="6"/>
  <c r="V80" i="6"/>
  <c r="X96" i="6"/>
  <c r="X112" i="6"/>
  <c r="X128" i="6"/>
  <c r="X82" i="6"/>
  <c r="V39" i="6"/>
  <c r="V55" i="6"/>
  <c r="V71" i="6"/>
  <c r="X87" i="6"/>
  <c r="V103" i="6"/>
  <c r="X119" i="6"/>
  <c r="V135" i="6"/>
  <c r="V163" i="6"/>
  <c r="X182" i="6"/>
  <c r="V198" i="6"/>
  <c r="X193" i="6"/>
  <c r="L152" i="6"/>
  <c r="J200" i="6"/>
  <c r="P126" i="6"/>
  <c r="P142" i="6"/>
  <c r="P148" i="6"/>
  <c r="P164" i="6"/>
  <c r="R159" i="6"/>
  <c r="R175" i="6"/>
  <c r="V164" i="6"/>
  <c r="V180" i="6"/>
  <c r="P158" i="6"/>
  <c r="L98" i="6"/>
  <c r="L130" i="6"/>
  <c r="V141" i="6"/>
  <c r="X191" i="6"/>
  <c r="L28" i="6"/>
  <c r="V46" i="6"/>
  <c r="J58" i="6"/>
  <c r="V98" i="6"/>
  <c r="V114" i="6"/>
  <c r="V130" i="6"/>
  <c r="P197" i="6"/>
  <c r="V28" i="6"/>
  <c r="R50" i="6"/>
  <c r="R82" i="6"/>
  <c r="J62" i="6"/>
  <c r="R116" i="6"/>
  <c r="R132" i="6"/>
  <c r="P76" i="6"/>
  <c r="J179" i="6"/>
  <c r="V30" i="6"/>
  <c r="R52" i="6"/>
  <c r="J114" i="6"/>
  <c r="X86" i="6"/>
  <c r="V54" i="6"/>
  <c r="V33" i="6"/>
  <c r="X49" i="6"/>
  <c r="X65" i="6"/>
  <c r="X81" i="6"/>
  <c r="X97" i="6"/>
  <c r="X113" i="6"/>
  <c r="X129" i="6"/>
  <c r="L171" i="6"/>
  <c r="P56" i="6"/>
  <c r="R35" i="6"/>
  <c r="R51" i="6"/>
  <c r="P67" i="6"/>
  <c r="P83" i="6"/>
  <c r="P99" i="6"/>
  <c r="P115" i="6"/>
  <c r="P131" i="6"/>
  <c r="V149" i="6"/>
  <c r="J42" i="6"/>
  <c r="V32" i="6"/>
  <c r="R58" i="6"/>
  <c r="P90" i="6"/>
  <c r="V66" i="6"/>
  <c r="V37" i="6"/>
  <c r="V53" i="6"/>
  <c r="V69" i="6"/>
  <c r="V85" i="6"/>
  <c r="V101" i="6"/>
  <c r="V117" i="6"/>
  <c r="V133" i="6"/>
  <c r="X159" i="6"/>
  <c r="P68" i="6"/>
  <c r="J36" i="6"/>
  <c r="R36" i="6"/>
  <c r="L187" i="6"/>
  <c r="J74" i="6"/>
  <c r="R39" i="6"/>
  <c r="R55" i="6"/>
  <c r="R71" i="6"/>
  <c r="P87" i="6"/>
  <c r="R103" i="6"/>
  <c r="R119" i="6"/>
  <c r="R135" i="6"/>
  <c r="R165" i="6"/>
  <c r="P72" i="6"/>
  <c r="V36" i="6"/>
  <c r="P66" i="6"/>
  <c r="R98" i="6"/>
  <c r="V167" i="6"/>
  <c r="R88" i="6"/>
  <c r="R38" i="6"/>
  <c r="L142" i="6"/>
  <c r="V175" i="6"/>
  <c r="J40" i="6"/>
  <c r="X78" i="6"/>
  <c r="P40" i="6"/>
  <c r="R92" i="6"/>
  <c r="V110" i="6"/>
  <c r="V126" i="6"/>
  <c r="R181" i="6"/>
  <c r="R42" i="6"/>
  <c r="P74" i="6"/>
  <c r="R106" i="6"/>
  <c r="X34" i="6"/>
  <c r="R112" i="6"/>
  <c r="P128" i="6"/>
  <c r="V183" i="6"/>
  <c r="J163" i="6"/>
  <c r="R70" i="6"/>
  <c r="R102" i="6"/>
  <c r="J139" i="6"/>
  <c r="P177" i="6"/>
  <c r="L186" i="6"/>
  <c r="J202" i="6"/>
  <c r="J197" i="6"/>
  <c r="V52" i="6"/>
  <c r="V68" i="6"/>
  <c r="X84" i="6"/>
  <c r="V100" i="6"/>
  <c r="V116" i="6"/>
  <c r="V132" i="6"/>
  <c r="V139" i="6"/>
  <c r="V179" i="6"/>
  <c r="V186" i="6"/>
  <c r="V202" i="6"/>
  <c r="X197" i="6"/>
  <c r="L156" i="6"/>
  <c r="R147" i="6"/>
  <c r="J30" i="6"/>
  <c r="J86" i="6"/>
  <c r="R41" i="6"/>
  <c r="P57" i="6"/>
  <c r="P73" i="6"/>
  <c r="R89" i="6"/>
  <c r="R105" i="6"/>
  <c r="R121" i="6"/>
  <c r="R137" i="6"/>
  <c r="R169" i="6"/>
  <c r="P184" i="6"/>
  <c r="P200" i="6"/>
  <c r="P195" i="6"/>
  <c r="X152" i="6"/>
  <c r="X200" i="6"/>
  <c r="P146" i="6"/>
  <c r="P194" i="6"/>
  <c r="L45" i="6"/>
  <c r="L61" i="6"/>
  <c r="L77" i="6"/>
  <c r="L93" i="6"/>
  <c r="L109" i="6"/>
  <c r="L125" i="6"/>
  <c r="J141" i="6"/>
  <c r="L143" i="6"/>
  <c r="P193" i="6"/>
  <c r="J190" i="6"/>
  <c r="L153" i="6"/>
  <c r="J201" i="6"/>
  <c r="J54" i="6"/>
  <c r="X31" i="6"/>
  <c r="V47" i="6"/>
  <c r="V63" i="6"/>
  <c r="V79" i="6"/>
  <c r="X95" i="6"/>
  <c r="X111" i="6"/>
  <c r="X127" i="6"/>
  <c r="X143" i="6"/>
  <c r="X174" i="6"/>
  <c r="X190" i="6"/>
  <c r="V185" i="6"/>
  <c r="X201" i="6"/>
  <c r="J192" i="6"/>
  <c r="P118" i="6"/>
  <c r="P134" i="6"/>
  <c r="L159" i="6"/>
  <c r="R185" i="6"/>
  <c r="P156" i="6"/>
  <c r="R151" i="6"/>
  <c r="P167" i="6"/>
  <c r="V156" i="6"/>
  <c r="V172" i="6"/>
  <c r="V155" i="6"/>
  <c r="P150" i="6"/>
  <c r="R166" i="6"/>
  <c r="V145" i="6"/>
  <c r="P28" i="6"/>
  <c r="P54" i="6"/>
  <c r="P86" i="6"/>
  <c r="J183" i="6"/>
  <c r="R60" i="6"/>
  <c r="J35" i="6"/>
  <c r="L51" i="6"/>
  <c r="L67" i="6"/>
  <c r="J83" i="6"/>
  <c r="L99" i="6"/>
  <c r="L115" i="6"/>
  <c r="J131" i="6"/>
  <c r="J147" i="6"/>
  <c r="L178" i="6"/>
  <c r="L194" i="6"/>
  <c r="J189" i="6"/>
  <c r="X44" i="6"/>
  <c r="X60" i="6"/>
  <c r="V76" i="6"/>
  <c r="X92" i="6"/>
  <c r="X108" i="6"/>
  <c r="X124" i="6"/>
  <c r="X140" i="6"/>
  <c r="L149" i="6"/>
  <c r="X146" i="6"/>
  <c r="X194" i="6"/>
  <c r="V157" i="6"/>
  <c r="J148" i="6"/>
  <c r="J164" i="6"/>
  <c r="L175" i="6"/>
  <c r="P33" i="6"/>
  <c r="R49" i="6"/>
  <c r="P65" i="6"/>
  <c r="P81" i="6"/>
  <c r="R97" i="6"/>
  <c r="P113" i="6"/>
  <c r="R129" i="6"/>
  <c r="R160" i="6"/>
  <c r="P176" i="6"/>
  <c r="R171" i="6"/>
  <c r="P187" i="6"/>
  <c r="V176" i="6"/>
  <c r="V192" i="6"/>
  <c r="J90" i="6"/>
  <c r="R186" i="6"/>
  <c r="P202" i="6"/>
  <c r="L37" i="6"/>
  <c r="L53" i="6"/>
  <c r="L69" i="6"/>
  <c r="L85" i="6"/>
  <c r="L101" i="6"/>
  <c r="L117" i="6"/>
  <c r="J133" i="6"/>
  <c r="L48" i="6"/>
  <c r="L64" i="6"/>
  <c r="J80" i="6"/>
  <c r="L96" i="6"/>
  <c r="L112" i="6"/>
  <c r="L128" i="6"/>
  <c r="J144" i="6"/>
  <c r="L150" i="6"/>
  <c r="J166" i="6"/>
  <c r="L161" i="6"/>
  <c r="L177" i="6"/>
  <c r="V82" i="6"/>
  <c r="X39" i="6"/>
  <c r="X55" i="6"/>
  <c r="X71" i="6"/>
  <c r="V87" i="6"/>
  <c r="X103" i="6"/>
  <c r="V119" i="6"/>
  <c r="X135" i="6"/>
  <c r="X166" i="6"/>
  <c r="V182" i="6"/>
  <c r="V177" i="6"/>
  <c r="V193" i="6"/>
  <c r="J184" i="6"/>
  <c r="L200" i="6"/>
  <c r="R126" i="6"/>
  <c r="R153" i="6"/>
  <c r="R148" i="6"/>
  <c r="P196" i="6"/>
  <c r="P159" i="6"/>
  <c r="X148" i="6"/>
  <c r="X164" i="6"/>
  <c r="X42" i="6"/>
  <c r="X94" i="6"/>
  <c r="X29" i="6"/>
  <c r="X45" i="6"/>
  <c r="X61" i="6"/>
  <c r="X77" i="6"/>
  <c r="V93" i="6"/>
  <c r="X109" i="6"/>
  <c r="X125" i="6"/>
  <c r="X141" i="6"/>
  <c r="X46" i="6"/>
  <c r="R143" i="6"/>
  <c r="R197" i="6"/>
  <c r="X28" i="6"/>
  <c r="P50" i="6"/>
  <c r="P82" i="6"/>
  <c r="L46" i="6"/>
  <c r="L179" i="6"/>
  <c r="J102" i="6"/>
  <c r="L118" i="6"/>
  <c r="J134" i="6"/>
  <c r="L32" i="6"/>
  <c r="X70" i="6"/>
  <c r="V102" i="6"/>
  <c r="V118" i="6"/>
  <c r="V134" i="6"/>
  <c r="J171" i="6"/>
  <c r="R56" i="6"/>
  <c r="P35" i="6"/>
  <c r="P51" i="6"/>
  <c r="R67" i="6"/>
  <c r="R83" i="6"/>
  <c r="R99" i="6"/>
  <c r="R115" i="6"/>
  <c r="R131" i="6"/>
  <c r="X151" i="6"/>
  <c r="R48" i="6"/>
  <c r="R34" i="6"/>
  <c r="X66" i="6"/>
  <c r="X37" i="6"/>
  <c r="X53" i="6"/>
  <c r="X69" i="6"/>
  <c r="X85" i="6"/>
  <c r="X101" i="6"/>
  <c r="X117" i="6"/>
  <c r="X133" i="6"/>
  <c r="X106" i="6"/>
  <c r="V122" i="6"/>
  <c r="X138" i="6"/>
  <c r="J187" i="6"/>
  <c r="L74" i="6"/>
  <c r="P39" i="6"/>
  <c r="P55" i="6"/>
  <c r="P71" i="6"/>
  <c r="R87" i="6"/>
  <c r="P103" i="6"/>
  <c r="P119" i="6"/>
  <c r="P135" i="6"/>
  <c r="R140" i="6"/>
  <c r="X167" i="6"/>
  <c r="P88" i="6"/>
  <c r="P38" i="6"/>
  <c r="R80" i="6"/>
  <c r="J122" i="6"/>
  <c r="R64" i="6"/>
  <c r="V38" i="6"/>
  <c r="V90" i="6"/>
  <c r="J110" i="6"/>
  <c r="J126" i="6"/>
  <c r="J142" i="6"/>
  <c r="V26" i="6"/>
  <c r="X41" i="6"/>
  <c r="V57" i="6"/>
  <c r="V73" i="6"/>
  <c r="V89" i="6"/>
  <c r="V105" i="6"/>
  <c r="V121" i="6"/>
  <c r="V137" i="6"/>
  <c r="X175" i="6"/>
  <c r="R139" i="6"/>
  <c r="P181" i="6"/>
  <c r="P42" i="6"/>
  <c r="R74" i="6"/>
  <c r="P106" i="6"/>
  <c r="V34" i="6"/>
  <c r="P112" i="6"/>
  <c r="R128" i="6"/>
  <c r="P173" i="6"/>
  <c r="J94" i="6"/>
  <c r="P70" i="6"/>
  <c r="P102" i="6"/>
  <c r="L151" i="6"/>
  <c r="L38" i="6"/>
  <c r="L27" i="6"/>
  <c r="J43" i="6"/>
  <c r="J59" i="6"/>
  <c r="L75" i="6"/>
  <c r="J91" i="6"/>
  <c r="L107" i="6"/>
  <c r="J123" i="6"/>
  <c r="L139" i="6"/>
  <c r="J170" i="6"/>
  <c r="J186" i="6"/>
  <c r="J181" i="6"/>
  <c r="L197" i="6"/>
  <c r="X52" i="6"/>
  <c r="X68" i="6"/>
  <c r="V84" i="6"/>
  <c r="X100" i="6"/>
  <c r="X116" i="6"/>
  <c r="X132" i="6"/>
  <c r="X27" i="6"/>
  <c r="X43" i="6"/>
  <c r="X59" i="6"/>
  <c r="X75" i="6"/>
  <c r="V91" i="6"/>
  <c r="X107" i="6"/>
  <c r="V123" i="6"/>
  <c r="X139" i="6"/>
  <c r="X170" i="6"/>
  <c r="X186" i="6"/>
  <c r="X181" i="6"/>
  <c r="V197" i="6"/>
  <c r="J188" i="6"/>
  <c r="R114" i="6"/>
  <c r="R130" i="6"/>
  <c r="P147" i="6"/>
  <c r="L30" i="6"/>
  <c r="L86" i="6"/>
  <c r="P41" i="6"/>
  <c r="R57" i="6"/>
  <c r="R73" i="6"/>
  <c r="P89" i="6"/>
  <c r="P105" i="6"/>
  <c r="P121" i="6"/>
  <c r="P137" i="6"/>
  <c r="R168" i="6"/>
  <c r="R184" i="6"/>
  <c r="R179" i="6"/>
  <c r="R195" i="6"/>
  <c r="X184" i="6"/>
  <c r="V200" i="6"/>
  <c r="P178" i="6"/>
  <c r="R194" i="6"/>
  <c r="J45" i="6"/>
  <c r="J61" i="6"/>
  <c r="J77" i="6"/>
  <c r="J93" i="6"/>
  <c r="J109" i="6"/>
  <c r="J125" i="6"/>
  <c r="J167" i="6"/>
  <c r="V50" i="6"/>
  <c r="L31" i="6"/>
  <c r="J47" i="6"/>
  <c r="L63" i="6"/>
  <c r="J79" i="6"/>
  <c r="J95" i="6"/>
  <c r="L111" i="6"/>
  <c r="L127" i="6"/>
  <c r="J143" i="6"/>
  <c r="J174" i="6"/>
  <c r="L190" i="6"/>
  <c r="J185" i="6"/>
  <c r="L201" i="6"/>
  <c r="L54" i="6"/>
  <c r="V31" i="6"/>
  <c r="X47" i="6"/>
  <c r="X63" i="6"/>
  <c r="X79" i="6"/>
  <c r="V95" i="6"/>
  <c r="V111" i="6"/>
  <c r="V127" i="6"/>
  <c r="X158" i="6"/>
  <c r="V174" i="6"/>
  <c r="V169" i="6"/>
  <c r="X185" i="6"/>
  <c r="L176" i="6"/>
  <c r="L192" i="6"/>
  <c r="R118" i="6"/>
  <c r="R134" i="6"/>
  <c r="P141" i="6"/>
  <c r="P185" i="6"/>
  <c r="P188" i="6"/>
  <c r="P151" i="6"/>
  <c r="R199" i="6"/>
  <c r="X156" i="6"/>
  <c r="R150" i="6"/>
  <c r="P198" i="6"/>
  <c r="L49" i="6"/>
  <c r="L65" i="6"/>
  <c r="L81" i="6"/>
  <c r="L97" i="6"/>
  <c r="L113" i="6"/>
  <c r="L129" i="6"/>
  <c r="X145" i="6"/>
  <c r="R28" i="6"/>
  <c r="J140" i="6"/>
  <c r="L183" i="6"/>
  <c r="P60" i="6"/>
  <c r="L35" i="6"/>
  <c r="J51" i="6"/>
  <c r="J67" i="6"/>
  <c r="L83" i="6"/>
  <c r="J99" i="6"/>
  <c r="J115" i="6"/>
  <c r="L131" i="6"/>
  <c r="J162" i="6"/>
  <c r="J178" i="6"/>
  <c r="L173" i="6"/>
  <c r="L189" i="6"/>
  <c r="V44" i="6"/>
  <c r="V60" i="6"/>
  <c r="X76" i="6"/>
  <c r="V92" i="6"/>
  <c r="V108" i="6"/>
  <c r="V124" i="6"/>
  <c r="J66" i="6"/>
  <c r="V35" i="6"/>
  <c r="V51" i="6"/>
  <c r="X67" i="6"/>
  <c r="V83" i="6"/>
  <c r="V99" i="6"/>
  <c r="X115" i="6"/>
  <c r="V131" i="6"/>
  <c r="J149" i="6"/>
  <c r="V178" i="6"/>
  <c r="V194" i="6"/>
  <c r="X189" i="6"/>
  <c r="L148" i="6"/>
  <c r="J196" i="6"/>
  <c r="P122" i="6"/>
  <c r="P138" i="6"/>
  <c r="J175" i="6"/>
  <c r="R201" i="6"/>
  <c r="P160" i="6"/>
  <c r="R155" i="6"/>
  <c r="P171" i="6"/>
  <c r="V160" i="6"/>
  <c r="X176" i="6"/>
  <c r="V171" i="6"/>
  <c r="R170" i="6"/>
  <c r="P186" i="6"/>
  <c r="P62" i="6"/>
  <c r="P94" i="6"/>
  <c r="J48" i="6"/>
  <c r="J64" i="6"/>
  <c r="L80" i="6"/>
  <c r="J96" i="6"/>
  <c r="J112" i="6"/>
  <c r="J128" i="6"/>
  <c r="P161" i="6"/>
  <c r="J150" i="6"/>
  <c r="J198" i="6"/>
  <c r="J161" i="6"/>
  <c r="R145" i="6"/>
  <c r="V150" i="6"/>
  <c r="V166" i="6"/>
  <c r="V161" i="6"/>
  <c r="X177" i="6"/>
  <c r="J168" i="6"/>
  <c r="L184" i="6"/>
  <c r="J191" i="6"/>
  <c r="L70" i="6"/>
  <c r="R37" i="6"/>
  <c r="R53" i="6"/>
  <c r="P69" i="6"/>
  <c r="R85" i="6"/>
  <c r="R101" i="6"/>
  <c r="P117" i="6"/>
  <c r="R133" i="6"/>
  <c r="P153" i="6"/>
  <c r="R180" i="6"/>
  <c r="R196" i="6"/>
  <c r="R191" i="6"/>
  <c r="V148" i="6"/>
  <c r="X196" i="6"/>
  <c r="X187" i="6"/>
  <c r="R174" i="6"/>
  <c r="P190" i="6"/>
  <c r="P191" i="6"/>
  <c r="X180" i="6"/>
  <c r="V187" i="6"/>
  <c r="R158" i="6"/>
  <c r="R190" i="6"/>
  <c r="P175" i="6"/>
  <c r="V196" i="6"/>
  <c r="P174" i="6"/>
  <c r="B363" i="7" l="1"/>
  <c r="B577" i="7"/>
  <c r="B364" i="7"/>
  <c r="D379" i="7"/>
  <c r="D347" i="7"/>
  <c r="B568" i="7"/>
  <c r="D561" i="7"/>
  <c r="B380" i="7"/>
  <c r="B379" i="7"/>
  <c r="D363" i="7"/>
  <c r="D568" i="7"/>
  <c r="D577" i="7"/>
  <c r="B529" i="7"/>
  <c r="D380" i="7"/>
  <c r="D385" i="7"/>
  <c r="D369" i="7"/>
  <c r="B342" i="7"/>
  <c r="D319" i="7"/>
  <c r="E494" i="61"/>
  <c r="B303" i="7"/>
  <c r="C430" i="61"/>
  <c r="D287" i="7"/>
  <c r="E366" i="61"/>
  <c r="E302" i="61"/>
  <c r="D271" i="7"/>
  <c r="B255" i="7"/>
  <c r="C238" i="61"/>
  <c r="D239" i="7"/>
  <c r="E174" i="61"/>
  <c r="E110" i="61"/>
  <c r="D223" i="7"/>
  <c r="E241" i="61"/>
  <c r="D64" i="7"/>
  <c r="A191" i="6"/>
  <c r="B185" i="7"/>
  <c r="D178" i="7"/>
  <c r="A168" i="6"/>
  <c r="G168" i="6" s="1"/>
  <c r="B168" i="6" s="1"/>
  <c r="B162" i="7"/>
  <c r="D558" i="7"/>
  <c r="B542" i="7"/>
  <c r="B547" i="7"/>
  <c r="B531" i="7"/>
  <c r="D334" i="7"/>
  <c r="A161" i="6"/>
  <c r="B155" i="7"/>
  <c r="A198" i="6"/>
  <c r="B192" i="7"/>
  <c r="A150" i="6"/>
  <c r="B144" i="7"/>
  <c r="B350" i="7"/>
  <c r="B122" i="7"/>
  <c r="C473" i="61"/>
  <c r="A128" i="6"/>
  <c r="B106" i="7"/>
  <c r="A112" i="6"/>
  <c r="C409" i="61"/>
  <c r="C345" i="61"/>
  <c r="A96" i="6"/>
  <c r="B90" i="7"/>
  <c r="E281" i="61"/>
  <c r="D74" i="7"/>
  <c r="A64" i="6"/>
  <c r="B58" i="7"/>
  <c r="C217" i="61"/>
  <c r="B42" i="7"/>
  <c r="A48" i="6"/>
  <c r="C153" i="61"/>
  <c r="C338" i="61"/>
  <c r="B280" i="7"/>
  <c r="C210" i="61"/>
  <c r="B248" i="7"/>
  <c r="B375" i="7"/>
  <c r="D359" i="7"/>
  <c r="B552" i="7"/>
  <c r="D557" i="7"/>
  <c r="B541" i="7"/>
  <c r="B360" i="7"/>
  <c r="D344" i="7"/>
  <c r="B349" i="7"/>
  <c r="D390" i="7"/>
  <c r="A175" i="6"/>
  <c r="B169" i="7"/>
  <c r="B327" i="7"/>
  <c r="C514" i="61"/>
  <c r="C450" i="61"/>
  <c r="B308" i="7"/>
  <c r="A196" i="6"/>
  <c r="B190" i="7"/>
  <c r="D142" i="7"/>
  <c r="D570" i="7"/>
  <c r="B575" i="7"/>
  <c r="B559" i="7"/>
  <c r="B143" i="7"/>
  <c r="A149" i="6"/>
  <c r="G149" i="6" s="1"/>
  <c r="B149" i="6" s="1"/>
  <c r="C487" i="61"/>
  <c r="B512" i="7"/>
  <c r="D496" i="7"/>
  <c r="E423" i="61"/>
  <c r="C359" i="61"/>
  <c r="B480" i="7"/>
  <c r="B464" i="7"/>
  <c r="C295" i="61"/>
  <c r="D448" i="7"/>
  <c r="E231" i="61"/>
  <c r="B432" i="7"/>
  <c r="C167" i="61"/>
  <c r="C103" i="61"/>
  <c r="B416" i="7"/>
  <c r="B60" i="7"/>
  <c r="C225" i="61"/>
  <c r="A66" i="6"/>
  <c r="G66" i="6" s="1"/>
  <c r="B66" i="6" s="1"/>
  <c r="C459" i="61"/>
  <c r="B505" i="7"/>
  <c r="B489" i="7"/>
  <c r="C395" i="61"/>
  <c r="C331" i="61"/>
  <c r="B473" i="7"/>
  <c r="E267" i="61"/>
  <c r="D457" i="7"/>
  <c r="C203" i="61"/>
  <c r="B441" i="7"/>
  <c r="C139" i="61"/>
  <c r="B425" i="7"/>
  <c r="D183" i="7"/>
  <c r="D167" i="7"/>
  <c r="A178" i="6"/>
  <c r="B172" i="7"/>
  <c r="A162" i="6"/>
  <c r="B156" i="7"/>
  <c r="E485" i="61"/>
  <c r="D125" i="7"/>
  <c r="C421" i="61"/>
  <c r="B109" i="7"/>
  <c r="A115" i="6"/>
  <c r="B93" i="7"/>
  <c r="A99" i="6"/>
  <c r="C357" i="61"/>
  <c r="D77" i="7"/>
  <c r="E293" i="61"/>
  <c r="A67" i="6"/>
  <c r="C229" i="61"/>
  <c r="B61" i="7"/>
  <c r="B45" i="7"/>
  <c r="A51" i="6"/>
  <c r="C165" i="61"/>
  <c r="E101" i="61"/>
  <c r="D29" i="7"/>
  <c r="B246" i="7"/>
  <c r="C202" i="61"/>
  <c r="D177" i="7"/>
  <c r="B134" i="7"/>
  <c r="A140" i="6"/>
  <c r="D214" i="7"/>
  <c r="E74" i="61"/>
  <c r="D526" i="7"/>
  <c r="E477" i="61"/>
  <c r="D123" i="7"/>
  <c r="E413" i="61"/>
  <c r="D107" i="7"/>
  <c r="E349" i="61"/>
  <c r="D91" i="7"/>
  <c r="E285" i="61"/>
  <c r="D75" i="7"/>
  <c r="D59" i="7"/>
  <c r="E221" i="61"/>
  <c r="E157" i="61"/>
  <c r="D43" i="7"/>
  <c r="B387" i="7"/>
  <c r="D339" i="7"/>
  <c r="D537" i="7"/>
  <c r="D388" i="7"/>
  <c r="B340" i="7"/>
  <c r="B377" i="7"/>
  <c r="B374" i="7"/>
  <c r="B330" i="7"/>
  <c r="E498" i="61"/>
  <c r="D320" i="7"/>
  <c r="E434" i="61"/>
  <c r="D304" i="7"/>
  <c r="D186" i="7"/>
  <c r="D170" i="7"/>
  <c r="D566" i="7"/>
  <c r="B550" i="7"/>
  <c r="B555" i="7"/>
  <c r="D539" i="7"/>
  <c r="B508" i="7"/>
  <c r="C471" i="61"/>
  <c r="C407" i="61"/>
  <c r="B492" i="7"/>
  <c r="B476" i="7"/>
  <c r="C343" i="61"/>
  <c r="E279" i="61"/>
  <c r="D460" i="7"/>
  <c r="E215" i="61"/>
  <c r="D444" i="7"/>
  <c r="E151" i="61"/>
  <c r="D428" i="7"/>
  <c r="B412" i="7"/>
  <c r="C87" i="61"/>
  <c r="E177" i="61"/>
  <c r="D48" i="7"/>
  <c r="D195" i="7"/>
  <c r="A185" i="6"/>
  <c r="B179" i="7"/>
  <c r="D184" i="7"/>
  <c r="A174" i="6"/>
  <c r="B168" i="7"/>
  <c r="A143" i="6"/>
  <c r="B137" i="7"/>
  <c r="D121" i="7"/>
  <c r="E469" i="61"/>
  <c r="E405" i="61"/>
  <c r="D105" i="7"/>
  <c r="A95" i="6"/>
  <c r="B89" i="7"/>
  <c r="C341" i="61"/>
  <c r="C277" i="61"/>
  <c r="A79" i="6"/>
  <c r="B73" i="7"/>
  <c r="E213" i="61"/>
  <c r="D57" i="7"/>
  <c r="C149" i="61"/>
  <c r="A47" i="6"/>
  <c r="B41" i="7"/>
  <c r="D25" i="7"/>
  <c r="E85" i="61"/>
  <c r="C163" i="61"/>
  <c r="B431" i="7"/>
  <c r="B161" i="7"/>
  <c r="A167" i="6"/>
  <c r="C461" i="61"/>
  <c r="B119" i="7"/>
  <c r="A125" i="6"/>
  <c r="C397" i="61"/>
  <c r="A109" i="6"/>
  <c r="B103" i="7"/>
  <c r="B87" i="7"/>
  <c r="A93" i="6"/>
  <c r="C333" i="61"/>
  <c r="A77" i="6"/>
  <c r="C269" i="61"/>
  <c r="B71" i="7"/>
  <c r="B55" i="7"/>
  <c r="A61" i="6"/>
  <c r="C205" i="61"/>
  <c r="A45" i="6"/>
  <c r="C141" i="61"/>
  <c r="B39" i="7"/>
  <c r="D383" i="7"/>
  <c r="B367" i="7"/>
  <c r="B581" i="7"/>
  <c r="D565" i="7"/>
  <c r="D384" i="7"/>
  <c r="D368" i="7"/>
  <c r="D373" i="7"/>
  <c r="D357" i="7"/>
  <c r="B323" i="7"/>
  <c r="C510" i="61"/>
  <c r="B307" i="7"/>
  <c r="C446" i="61"/>
  <c r="C382" i="61"/>
  <c r="B291" i="7"/>
  <c r="B275" i="7"/>
  <c r="C318" i="61"/>
  <c r="E254" i="61"/>
  <c r="D259" i="7"/>
  <c r="D243" i="7"/>
  <c r="E190" i="61"/>
  <c r="C126" i="61"/>
  <c r="B227" i="7"/>
  <c r="D80" i="7"/>
  <c r="E305" i="61"/>
  <c r="E81" i="61"/>
  <c r="D24" i="7"/>
  <c r="B336" i="7"/>
  <c r="D316" i="7"/>
  <c r="E482" i="61"/>
  <c r="E418" i="61"/>
  <c r="D300" i="7"/>
  <c r="A188" i="6"/>
  <c r="B182" i="7"/>
  <c r="B578" i="7"/>
  <c r="D562" i="7"/>
  <c r="D567" i="7"/>
  <c r="D551" i="7"/>
  <c r="D520" i="7"/>
  <c r="C455" i="61"/>
  <c r="B504" i="7"/>
  <c r="E391" i="61"/>
  <c r="D488" i="7"/>
  <c r="C327" i="61"/>
  <c r="B472" i="7"/>
  <c r="E263" i="61"/>
  <c r="D456" i="7"/>
  <c r="E199" i="61"/>
  <c r="D440" i="7"/>
  <c r="D424" i="7"/>
  <c r="E135" i="61"/>
  <c r="D408" i="7"/>
  <c r="E71" i="61"/>
  <c r="D513" i="7"/>
  <c r="E491" i="61"/>
  <c r="E427" i="61"/>
  <c r="D497" i="7"/>
  <c r="D481" i="7"/>
  <c r="E363" i="61"/>
  <c r="B465" i="7"/>
  <c r="C299" i="61"/>
  <c r="D449" i="7"/>
  <c r="E235" i="61"/>
  <c r="E171" i="61"/>
  <c r="D433" i="7"/>
  <c r="D191" i="7"/>
  <c r="B175" i="7"/>
  <c r="A181" i="6"/>
  <c r="B180" i="7"/>
  <c r="A186" i="6"/>
  <c r="B164" i="7"/>
  <c r="A170" i="6"/>
  <c r="D133" i="7"/>
  <c r="A123" i="6"/>
  <c r="B117" i="7"/>
  <c r="C453" i="61"/>
  <c r="E389" i="61"/>
  <c r="D101" i="7"/>
  <c r="C325" i="61"/>
  <c r="A91" i="6"/>
  <c r="B85" i="7"/>
  <c r="D69" i="7"/>
  <c r="E261" i="61"/>
  <c r="C197" i="61"/>
  <c r="A59" i="6"/>
  <c r="B53" i="7"/>
  <c r="A43" i="6"/>
  <c r="B37" i="7"/>
  <c r="C133" i="61"/>
  <c r="D21" i="7"/>
  <c r="E69" i="61"/>
  <c r="D32" i="7"/>
  <c r="E113" i="61"/>
  <c r="D145" i="7"/>
  <c r="C370" i="61"/>
  <c r="B288" i="7"/>
  <c r="C242" i="61"/>
  <c r="B256" i="7"/>
  <c r="A94" i="6"/>
  <c r="C337" i="61"/>
  <c r="B88" i="7"/>
  <c r="B362" i="7"/>
  <c r="E474" i="61"/>
  <c r="D314" i="7"/>
  <c r="C410" i="61"/>
  <c r="B298" i="7"/>
  <c r="C99" i="61"/>
  <c r="B415" i="7"/>
  <c r="C386" i="61"/>
  <c r="B292" i="7"/>
  <c r="E258" i="61"/>
  <c r="D260" i="7"/>
  <c r="C130" i="61"/>
  <c r="B228" i="7"/>
  <c r="B370" i="7"/>
  <c r="D328" i="7"/>
  <c r="D556" i="7"/>
  <c r="C511" i="61"/>
  <c r="B518" i="7"/>
  <c r="B502" i="7"/>
  <c r="C447" i="61"/>
  <c r="C383" i="61"/>
  <c r="B486" i="7"/>
  <c r="C319" i="61"/>
  <c r="B470" i="7"/>
  <c r="C255" i="61"/>
  <c r="B454" i="7"/>
  <c r="C191" i="61"/>
  <c r="B438" i="7"/>
  <c r="D422" i="7"/>
  <c r="E127" i="61"/>
  <c r="A26" i="6"/>
  <c r="C67" i="61"/>
  <c r="B407" i="7"/>
  <c r="B136" i="7"/>
  <c r="A142" i="6"/>
  <c r="C465" i="61"/>
  <c r="A126" i="6"/>
  <c r="B120" i="7"/>
  <c r="B104" i="7"/>
  <c r="A110" i="6"/>
  <c r="C401" i="61"/>
  <c r="C323" i="61"/>
  <c r="B471" i="7"/>
  <c r="B419" i="7"/>
  <c r="C115" i="61"/>
  <c r="E218" i="61"/>
  <c r="D250" i="7"/>
  <c r="A122" i="6"/>
  <c r="B116" i="7"/>
  <c r="C449" i="61"/>
  <c r="D266" i="7"/>
  <c r="E282" i="61"/>
  <c r="C114" i="61"/>
  <c r="B224" i="7"/>
  <c r="C314" i="61"/>
  <c r="B274" i="7"/>
  <c r="D548" i="7"/>
  <c r="D329" i="7"/>
  <c r="C502" i="61"/>
  <c r="B321" i="7"/>
  <c r="C438" i="61"/>
  <c r="B305" i="7"/>
  <c r="B289" i="7"/>
  <c r="C374" i="61"/>
  <c r="E310" i="61"/>
  <c r="D273" i="7"/>
  <c r="B257" i="7"/>
  <c r="C246" i="61"/>
  <c r="B241" i="7"/>
  <c r="C182" i="61"/>
  <c r="B225" i="7"/>
  <c r="C118" i="61"/>
  <c r="D68" i="7"/>
  <c r="E257" i="61"/>
  <c r="B181" i="7"/>
  <c r="A187" i="6"/>
  <c r="D519" i="7"/>
  <c r="E515" i="61"/>
  <c r="B503" i="7"/>
  <c r="C451" i="61"/>
  <c r="E387" i="61"/>
  <c r="D487" i="7"/>
  <c r="E495" i="61"/>
  <c r="D514" i="7"/>
  <c r="E431" i="61"/>
  <c r="D498" i="7"/>
  <c r="E367" i="61"/>
  <c r="D482" i="7"/>
  <c r="E303" i="61"/>
  <c r="D466" i="7"/>
  <c r="E239" i="61"/>
  <c r="D450" i="7"/>
  <c r="D434" i="7"/>
  <c r="E175" i="61"/>
  <c r="E111" i="61"/>
  <c r="D418" i="7"/>
  <c r="D447" i="7"/>
  <c r="E227" i="61"/>
  <c r="E98" i="61"/>
  <c r="D220" i="7"/>
  <c r="E154" i="61"/>
  <c r="D234" i="7"/>
  <c r="D532" i="7"/>
  <c r="E486" i="61"/>
  <c r="D317" i="7"/>
  <c r="E422" i="61"/>
  <c r="D301" i="7"/>
  <c r="E358" i="61"/>
  <c r="D285" i="7"/>
  <c r="E294" i="61"/>
  <c r="D269" i="7"/>
  <c r="E230" i="61"/>
  <c r="D253" i="7"/>
  <c r="C166" i="61"/>
  <c r="B237" i="7"/>
  <c r="C102" i="61"/>
  <c r="B221" i="7"/>
  <c r="E186" i="61"/>
  <c r="D242" i="7"/>
  <c r="B165" i="7"/>
  <c r="A171" i="6"/>
  <c r="B515" i="7"/>
  <c r="C499" i="61"/>
  <c r="C435" i="61"/>
  <c r="B499" i="7"/>
  <c r="C371" i="61"/>
  <c r="B483" i="7"/>
  <c r="D451" i="7"/>
  <c r="E243" i="61"/>
  <c r="D26" i="7"/>
  <c r="E89" i="61"/>
  <c r="B128" i="7"/>
  <c r="A134" i="6"/>
  <c r="C497" i="61"/>
  <c r="D112" i="7"/>
  <c r="E433" i="61"/>
  <c r="B96" i="7"/>
  <c r="C369" i="61"/>
  <c r="A102" i="6"/>
  <c r="D173" i="7"/>
  <c r="D40" i="7"/>
  <c r="E145" i="61"/>
  <c r="B268" i="7"/>
  <c r="C290" i="61"/>
  <c r="B236" i="7"/>
  <c r="C162" i="61"/>
  <c r="E75" i="61"/>
  <c r="D409" i="7"/>
  <c r="D386" i="7"/>
  <c r="D332" i="7"/>
  <c r="D427" i="7"/>
  <c r="E147" i="61"/>
  <c r="D522" i="7"/>
  <c r="D506" i="7"/>
  <c r="E463" i="61"/>
  <c r="D490" i="7"/>
  <c r="E399" i="61"/>
  <c r="C335" i="61"/>
  <c r="B474" i="7"/>
  <c r="E271" i="61"/>
  <c r="D458" i="7"/>
  <c r="E207" i="61"/>
  <c r="D442" i="7"/>
  <c r="D426" i="7"/>
  <c r="E143" i="61"/>
  <c r="D410" i="7"/>
  <c r="E79" i="61"/>
  <c r="D475" i="7"/>
  <c r="E339" i="61"/>
  <c r="E131" i="61"/>
  <c r="D423" i="7"/>
  <c r="D545" i="7"/>
  <c r="D529" i="7"/>
  <c r="B348" i="7"/>
  <c r="B385" i="7"/>
  <c r="D337" i="7"/>
  <c r="D342" i="7"/>
  <c r="D312" i="7"/>
  <c r="E466" i="61"/>
  <c r="D194" i="7"/>
  <c r="A184" i="6"/>
  <c r="G184" i="6" s="1"/>
  <c r="B184" i="6" s="1"/>
  <c r="B178" i="7"/>
  <c r="B574" i="7"/>
  <c r="B558" i="7"/>
  <c r="B563" i="7"/>
  <c r="D547" i="7"/>
  <c r="E503" i="61"/>
  <c r="D516" i="7"/>
  <c r="C439" i="61"/>
  <c r="B500" i="7"/>
  <c r="D484" i="7"/>
  <c r="E375" i="61"/>
  <c r="C311" i="61"/>
  <c r="B468" i="7"/>
  <c r="D452" i="7"/>
  <c r="E247" i="61"/>
  <c r="D436" i="7"/>
  <c r="E183" i="61"/>
  <c r="D420" i="7"/>
  <c r="E119" i="61"/>
  <c r="C291" i="61"/>
  <c r="B463" i="7"/>
  <c r="D171" i="7"/>
  <c r="D155" i="7"/>
  <c r="B160" i="7"/>
  <c r="A166" i="6"/>
  <c r="D144" i="7"/>
  <c r="B138" i="7"/>
  <c r="A144" i="6"/>
  <c r="G144" i="6" s="1"/>
  <c r="B144" i="6" s="1"/>
  <c r="D122" i="7"/>
  <c r="E473" i="61"/>
  <c r="D106" i="7"/>
  <c r="E409" i="61"/>
  <c r="D90" i="7"/>
  <c r="E345" i="61"/>
  <c r="B74" i="7"/>
  <c r="C281" i="61"/>
  <c r="A80" i="6"/>
  <c r="D58" i="7"/>
  <c r="E217" i="61"/>
  <c r="E153" i="61"/>
  <c r="D42" i="7"/>
  <c r="A133" i="6"/>
  <c r="B127" i="7"/>
  <c r="C493" i="61"/>
  <c r="E429" i="61"/>
  <c r="D111" i="7"/>
  <c r="E365" i="61"/>
  <c r="D95" i="7"/>
  <c r="D79" i="7"/>
  <c r="E301" i="61"/>
  <c r="E237" i="61"/>
  <c r="D63" i="7"/>
  <c r="D47" i="7"/>
  <c r="E173" i="61"/>
  <c r="E109" i="61"/>
  <c r="D31" i="7"/>
  <c r="B391" i="7"/>
  <c r="D375" i="7"/>
  <c r="B84" i="7"/>
  <c r="A90" i="6"/>
  <c r="G90" i="6" s="1"/>
  <c r="B90" i="6" s="1"/>
  <c r="C321" i="61"/>
  <c r="B573" i="7"/>
  <c r="B557" i="7"/>
  <c r="B376" i="7"/>
  <c r="D360" i="7"/>
  <c r="B365" i="7"/>
  <c r="D349" i="7"/>
  <c r="E478" i="61"/>
  <c r="D315" i="7"/>
  <c r="C414" i="61"/>
  <c r="B299" i="7"/>
  <c r="D283" i="7"/>
  <c r="E350" i="61"/>
  <c r="C286" i="61"/>
  <c r="B267" i="7"/>
  <c r="C222" i="61"/>
  <c r="B251" i="7"/>
  <c r="E158" i="61"/>
  <c r="D235" i="7"/>
  <c r="C94" i="61"/>
  <c r="B219" i="7"/>
  <c r="D169" i="7"/>
  <c r="A164" i="6"/>
  <c r="B158" i="7"/>
  <c r="A148" i="6"/>
  <c r="B142" i="7"/>
  <c r="B538" i="7"/>
  <c r="D575" i="7"/>
  <c r="D527" i="7"/>
  <c r="D143" i="7"/>
  <c r="D521" i="7"/>
  <c r="D505" i="7"/>
  <c r="E459" i="61"/>
  <c r="E395" i="61"/>
  <c r="D489" i="7"/>
  <c r="D473" i="7"/>
  <c r="E331" i="61"/>
  <c r="C267" i="61"/>
  <c r="B457" i="7"/>
  <c r="D441" i="7"/>
  <c r="E203" i="61"/>
  <c r="D425" i="7"/>
  <c r="E139" i="61"/>
  <c r="B183" i="7"/>
  <c r="A189" i="6"/>
  <c r="D188" i="7"/>
  <c r="D172" i="7"/>
  <c r="A147" i="6"/>
  <c r="B141" i="7"/>
  <c r="B125" i="7"/>
  <c r="C485" i="61"/>
  <c r="A131" i="6"/>
  <c r="E421" i="61"/>
  <c r="D109" i="7"/>
  <c r="E357" i="61"/>
  <c r="D93" i="7"/>
  <c r="A83" i="6"/>
  <c r="B77" i="7"/>
  <c r="C293" i="61"/>
  <c r="E229" i="61"/>
  <c r="D61" i="7"/>
  <c r="D45" i="7"/>
  <c r="E165" i="61"/>
  <c r="B29" i="7"/>
  <c r="C101" i="61"/>
  <c r="A35" i="6"/>
  <c r="D246" i="7"/>
  <c r="E202" i="61"/>
  <c r="A183" i="6"/>
  <c r="B177" i="7"/>
  <c r="B272" i="7"/>
  <c r="C306" i="61"/>
  <c r="B240" i="7"/>
  <c r="C178" i="61"/>
  <c r="C74" i="61"/>
  <c r="B214" i="7"/>
  <c r="B526" i="7"/>
  <c r="D355" i="7"/>
  <c r="B339" i="7"/>
  <c r="B536" i="7"/>
  <c r="B553" i="7"/>
  <c r="B537" i="7"/>
  <c r="B356" i="7"/>
  <c r="D340" i="7"/>
  <c r="B345" i="7"/>
  <c r="D374" i="7"/>
  <c r="D153" i="7"/>
  <c r="B320" i="7"/>
  <c r="C498" i="61"/>
  <c r="B304" i="7"/>
  <c r="C434" i="61"/>
  <c r="B186" i="7"/>
  <c r="A192" i="6"/>
  <c r="D582" i="7"/>
  <c r="B566" i="7"/>
  <c r="D571" i="7"/>
  <c r="D555" i="7"/>
  <c r="D524" i="7"/>
  <c r="E471" i="61"/>
  <c r="D508" i="7"/>
  <c r="E407" i="61"/>
  <c r="D492" i="7"/>
  <c r="E343" i="61"/>
  <c r="D476" i="7"/>
  <c r="C279" i="61"/>
  <c r="B460" i="7"/>
  <c r="C215" i="61"/>
  <c r="B444" i="7"/>
  <c r="C151" i="61"/>
  <c r="B428" i="7"/>
  <c r="E87" i="61"/>
  <c r="D412" i="7"/>
  <c r="C177" i="61"/>
  <c r="B48" i="7"/>
  <c r="A54" i="6"/>
  <c r="A201" i="6"/>
  <c r="B195" i="7"/>
  <c r="D147" i="7"/>
  <c r="A190" i="6"/>
  <c r="B184" i="7"/>
  <c r="B382" i="7"/>
  <c r="D137" i="7"/>
  <c r="B135" i="7"/>
  <c r="A141" i="6"/>
  <c r="E461" i="61"/>
  <c r="D119" i="7"/>
  <c r="E397" i="61"/>
  <c r="D103" i="7"/>
  <c r="E333" i="61"/>
  <c r="D87" i="7"/>
  <c r="D71" i="7"/>
  <c r="E269" i="61"/>
  <c r="D55" i="7"/>
  <c r="E205" i="61"/>
  <c r="D39" i="7"/>
  <c r="E141" i="61"/>
  <c r="B383" i="7"/>
  <c r="B335" i="7"/>
  <c r="D581" i="7"/>
  <c r="D533" i="7"/>
  <c r="B384" i="7"/>
  <c r="B389" i="7"/>
  <c r="B373" i="7"/>
  <c r="D358" i="7"/>
  <c r="D323" i="7"/>
  <c r="E510" i="61"/>
  <c r="D307" i="7"/>
  <c r="E446" i="61"/>
  <c r="D291" i="7"/>
  <c r="E382" i="61"/>
  <c r="D275" i="7"/>
  <c r="E318" i="61"/>
  <c r="B259" i="7"/>
  <c r="C254" i="61"/>
  <c r="C190" i="61"/>
  <c r="B243" i="7"/>
  <c r="D227" i="7"/>
  <c r="E126" i="61"/>
  <c r="C305" i="61"/>
  <c r="B80" i="7"/>
  <c r="A86" i="6"/>
  <c r="A30" i="6"/>
  <c r="B24" i="7"/>
  <c r="C81" i="61"/>
  <c r="D336" i="7"/>
  <c r="D150" i="7"/>
  <c r="D578" i="7"/>
  <c r="B583" i="7"/>
  <c r="B567" i="7"/>
  <c r="B560" i="7"/>
  <c r="B520" i="7"/>
  <c r="C491" i="61"/>
  <c r="B513" i="7"/>
  <c r="B497" i="7"/>
  <c r="C427" i="61"/>
  <c r="C363" i="61"/>
  <c r="B481" i="7"/>
  <c r="D465" i="7"/>
  <c r="E299" i="61"/>
  <c r="C235" i="61"/>
  <c r="B449" i="7"/>
  <c r="C171" i="61"/>
  <c r="B433" i="7"/>
  <c r="A197" i="6"/>
  <c r="B191" i="7"/>
  <c r="B196" i="7"/>
  <c r="A202" i="6"/>
  <c r="D180" i="7"/>
  <c r="B366" i="7"/>
  <c r="B133" i="7"/>
  <c r="A139" i="6"/>
  <c r="E370" i="61"/>
  <c r="D288" i="7"/>
  <c r="E242" i="61"/>
  <c r="D256" i="7"/>
  <c r="A163" i="6"/>
  <c r="B157" i="7"/>
  <c r="B564" i="7"/>
  <c r="B314" i="7"/>
  <c r="C474" i="61"/>
  <c r="E410" i="61"/>
  <c r="D298" i="7"/>
  <c r="E99" i="61"/>
  <c r="D415" i="7"/>
  <c r="E386" i="61"/>
  <c r="D292" i="7"/>
  <c r="B260" i="7"/>
  <c r="C258" i="61"/>
  <c r="E130" i="61"/>
  <c r="D228" i="7"/>
  <c r="D370" i="7"/>
  <c r="B507" i="7"/>
  <c r="C467" i="61"/>
  <c r="B491" i="7"/>
  <c r="C403" i="61"/>
  <c r="D278" i="7"/>
  <c r="E330" i="61"/>
  <c r="C122" i="61"/>
  <c r="B226" i="7"/>
  <c r="D459" i="7"/>
  <c r="E275" i="61"/>
  <c r="B34" i="7"/>
  <c r="A40" i="6"/>
  <c r="C121" i="61"/>
  <c r="B556" i="7"/>
  <c r="D136" i="7"/>
  <c r="E114" i="61"/>
  <c r="D224" i="7"/>
  <c r="D274" i="7"/>
  <c r="E314" i="61"/>
  <c r="B548" i="7"/>
  <c r="E354" i="61"/>
  <c r="D284" i="7"/>
  <c r="B252" i="7"/>
  <c r="C226" i="61"/>
  <c r="C107" i="61"/>
  <c r="B417" i="7"/>
  <c r="C250" i="61"/>
  <c r="B258" i="7"/>
  <c r="D354" i="7"/>
  <c r="E502" i="61"/>
  <c r="D321" i="7"/>
  <c r="D305" i="7"/>
  <c r="E438" i="61"/>
  <c r="E374" i="61"/>
  <c r="D289" i="7"/>
  <c r="C310" i="61"/>
  <c r="B273" i="7"/>
  <c r="E246" i="61"/>
  <c r="D257" i="7"/>
  <c r="D241" i="7"/>
  <c r="E182" i="61"/>
  <c r="E118" i="61"/>
  <c r="D225" i="7"/>
  <c r="C257" i="61"/>
  <c r="B68" i="7"/>
  <c r="A74" i="6"/>
  <c r="D181" i="7"/>
  <c r="E106" i="61"/>
  <c r="D222" i="7"/>
  <c r="A36" i="6"/>
  <c r="C105" i="61"/>
  <c r="B30" i="7"/>
  <c r="B254" i="7"/>
  <c r="C234" i="61"/>
  <c r="D540" i="7"/>
  <c r="C495" i="61"/>
  <c r="B514" i="7"/>
  <c r="C431" i="61"/>
  <c r="B498" i="7"/>
  <c r="C367" i="61"/>
  <c r="B482" i="7"/>
  <c r="B466" i="7"/>
  <c r="C303" i="61"/>
  <c r="B450" i="7"/>
  <c r="C239" i="61"/>
  <c r="C175" i="61"/>
  <c r="B434" i="7"/>
  <c r="B418" i="7"/>
  <c r="C111" i="61"/>
  <c r="B447" i="7"/>
  <c r="C227" i="61"/>
  <c r="B276" i="7"/>
  <c r="C322" i="61"/>
  <c r="D244" i="7"/>
  <c r="E194" i="61"/>
  <c r="C91" i="61"/>
  <c r="B413" i="7"/>
  <c r="C129" i="61"/>
  <c r="B36" i="7"/>
  <c r="A42" i="6"/>
  <c r="B530" i="7"/>
  <c r="B317" i="7"/>
  <c r="C486" i="61"/>
  <c r="C422" i="61"/>
  <c r="B301" i="7"/>
  <c r="B285" i="7"/>
  <c r="C358" i="61"/>
  <c r="B269" i="7"/>
  <c r="C294" i="61"/>
  <c r="B253" i="7"/>
  <c r="C230" i="61"/>
  <c r="D237" i="7"/>
  <c r="E166" i="61"/>
  <c r="D221" i="7"/>
  <c r="E102" i="61"/>
  <c r="C186" i="61"/>
  <c r="B242" i="7"/>
  <c r="D165" i="7"/>
  <c r="D510" i="7"/>
  <c r="E479" i="61"/>
  <c r="D494" i="7"/>
  <c r="E415" i="61"/>
  <c r="E351" i="61"/>
  <c r="D478" i="7"/>
  <c r="D462" i="7"/>
  <c r="E287" i="61"/>
  <c r="E223" i="61"/>
  <c r="D446" i="7"/>
  <c r="D430" i="7"/>
  <c r="E159" i="61"/>
  <c r="B414" i="7"/>
  <c r="C95" i="61"/>
  <c r="C179" i="61"/>
  <c r="B435" i="7"/>
  <c r="E307" i="61"/>
  <c r="D467" i="7"/>
  <c r="C417" i="61"/>
  <c r="A114" i="6"/>
  <c r="B108" i="7"/>
  <c r="D238" i="7"/>
  <c r="E170" i="61"/>
  <c r="B411" i="7"/>
  <c r="C83" i="61"/>
  <c r="B173" i="7"/>
  <c r="A179" i="6"/>
  <c r="C266" i="61"/>
  <c r="B262" i="7"/>
  <c r="D318" i="7"/>
  <c r="E490" i="61"/>
  <c r="E426" i="61"/>
  <c r="D302" i="7"/>
  <c r="C209" i="61"/>
  <c r="A62" i="6"/>
  <c r="B56" i="7"/>
  <c r="D268" i="7"/>
  <c r="E290" i="61"/>
  <c r="D236" i="7"/>
  <c r="E162" i="61"/>
  <c r="B409" i="7"/>
  <c r="C75" i="61"/>
  <c r="B386" i="7"/>
  <c r="B511" i="7"/>
  <c r="C483" i="61"/>
  <c r="B495" i="7"/>
  <c r="C419" i="61"/>
  <c r="B479" i="7"/>
  <c r="C355" i="61"/>
  <c r="A58" i="6"/>
  <c r="B52" i="7"/>
  <c r="C193" i="61"/>
  <c r="B427" i="7"/>
  <c r="C147" i="61"/>
  <c r="D22" i="7"/>
  <c r="E73" i="61"/>
  <c r="D572" i="7"/>
  <c r="B522" i="7"/>
  <c r="E481" i="61"/>
  <c r="D124" i="7"/>
  <c r="E353" i="61"/>
  <c r="D92" i="7"/>
  <c r="B347" i="7"/>
  <c r="B561" i="7"/>
  <c r="B545" i="7"/>
  <c r="D364" i="7"/>
  <c r="D348" i="7"/>
  <c r="B353" i="7"/>
  <c r="B337" i="7"/>
  <c r="B331" i="7"/>
  <c r="C466" i="61"/>
  <c r="B312" i="7"/>
  <c r="A200" i="6"/>
  <c r="G200" i="6" s="1"/>
  <c r="B200" i="6" s="1"/>
  <c r="B194" i="7"/>
  <c r="D146" i="7"/>
  <c r="D574" i="7"/>
  <c r="B579" i="7"/>
  <c r="D563" i="7"/>
  <c r="B544" i="7"/>
  <c r="B516" i="7"/>
  <c r="C503" i="61"/>
  <c r="E439" i="61"/>
  <c r="D500" i="7"/>
  <c r="C375" i="61"/>
  <c r="B484" i="7"/>
  <c r="D468" i="7"/>
  <c r="E311" i="61"/>
  <c r="C247" i="61"/>
  <c r="B452" i="7"/>
  <c r="B436" i="7"/>
  <c r="C183" i="61"/>
  <c r="C119" i="61"/>
  <c r="B420" i="7"/>
  <c r="D463" i="7"/>
  <c r="E291" i="61"/>
  <c r="D509" i="7"/>
  <c r="E475" i="61"/>
  <c r="D493" i="7"/>
  <c r="E411" i="61"/>
  <c r="D477" i="7"/>
  <c r="E347" i="61"/>
  <c r="B461" i="7"/>
  <c r="C283" i="61"/>
  <c r="B445" i="7"/>
  <c r="C219" i="61"/>
  <c r="D429" i="7"/>
  <c r="E155" i="61"/>
  <c r="A193" i="6"/>
  <c r="B187" i="7"/>
  <c r="B171" i="7"/>
  <c r="A177" i="6"/>
  <c r="D176" i="7"/>
  <c r="D160" i="7"/>
  <c r="B129" i="7"/>
  <c r="C501" i="61"/>
  <c r="A135" i="6"/>
  <c r="C437" i="61"/>
  <c r="A119" i="6"/>
  <c r="B113" i="7"/>
  <c r="B97" i="7"/>
  <c r="C373" i="61"/>
  <c r="A103" i="6"/>
  <c r="B81" i="7"/>
  <c r="A87" i="6"/>
  <c r="C309" i="61"/>
  <c r="D65" i="7"/>
  <c r="E245" i="61"/>
  <c r="B49" i="7"/>
  <c r="A55" i="6"/>
  <c r="C181" i="61"/>
  <c r="E117" i="61"/>
  <c r="D33" i="7"/>
  <c r="E259" i="61"/>
  <c r="D455" i="7"/>
  <c r="A199" i="6"/>
  <c r="B193" i="7"/>
  <c r="D138" i="7"/>
  <c r="E211" i="61"/>
  <c r="D443" i="7"/>
  <c r="B346" i="7"/>
  <c r="E493" i="61"/>
  <c r="D127" i="7"/>
  <c r="A117" i="6"/>
  <c r="B111" i="7"/>
  <c r="C429" i="61"/>
  <c r="C365" i="61"/>
  <c r="A101" i="6"/>
  <c r="B95" i="7"/>
  <c r="C301" i="61"/>
  <c r="B79" i="7"/>
  <c r="A85" i="6"/>
  <c r="A69" i="6"/>
  <c r="C237" i="61"/>
  <c r="B63" i="7"/>
  <c r="B47" i="7"/>
  <c r="C173" i="61"/>
  <c r="A53" i="6"/>
  <c r="C109" i="61"/>
  <c r="B31" i="7"/>
  <c r="A37" i="6"/>
  <c r="D391" i="7"/>
  <c r="B343" i="7"/>
  <c r="D84" i="7"/>
  <c r="E321" i="61"/>
  <c r="D573" i="7"/>
  <c r="B525" i="7"/>
  <c r="D376" i="7"/>
  <c r="B381" i="7"/>
  <c r="D365" i="7"/>
  <c r="D333" i="7"/>
  <c r="B315" i="7"/>
  <c r="C478" i="61"/>
  <c r="D299" i="7"/>
  <c r="E414" i="61"/>
  <c r="C350" i="61"/>
  <c r="B283" i="7"/>
  <c r="D267" i="7"/>
  <c r="E286" i="61"/>
  <c r="D251" i="7"/>
  <c r="E222" i="61"/>
  <c r="C158" i="61"/>
  <c r="B235" i="7"/>
  <c r="D219" i="7"/>
  <c r="E94" i="61"/>
  <c r="D174" i="7"/>
  <c r="D158" i="7"/>
  <c r="B554" i="7"/>
  <c r="D538" i="7"/>
  <c r="B543" i="7"/>
  <c r="B527" i="7"/>
  <c r="B521" i="7"/>
  <c r="A157" i="6"/>
  <c r="B151" i="7"/>
  <c r="B188" i="7"/>
  <c r="A194" i="6"/>
  <c r="D140" i="7"/>
  <c r="D141" i="7"/>
  <c r="C457" i="61"/>
  <c r="A124" i="6"/>
  <c r="B118" i="7"/>
  <c r="C393" i="61"/>
  <c r="B102" i="7"/>
  <c r="A108" i="6"/>
  <c r="D86" i="7"/>
  <c r="E329" i="61"/>
  <c r="C265" i="61"/>
  <c r="A76" i="6"/>
  <c r="B70" i="7"/>
  <c r="E201" i="61"/>
  <c r="D54" i="7"/>
  <c r="B38" i="7"/>
  <c r="A44" i="6"/>
  <c r="C137" i="61"/>
  <c r="E306" i="61"/>
  <c r="D272" i="7"/>
  <c r="E178" i="61"/>
  <c r="D240" i="7"/>
  <c r="B371" i="7"/>
  <c r="B355" i="7"/>
  <c r="D536" i="7"/>
  <c r="D569" i="7"/>
  <c r="D553" i="7"/>
  <c r="B372" i="7"/>
  <c r="D356" i="7"/>
  <c r="B361" i="7"/>
  <c r="D345" i="7"/>
  <c r="D311" i="7"/>
  <c r="E462" i="61"/>
  <c r="D295" i="7"/>
  <c r="E398" i="61"/>
  <c r="D279" i="7"/>
  <c r="E334" i="61"/>
  <c r="D263" i="7"/>
  <c r="E270" i="61"/>
  <c r="E206" i="61"/>
  <c r="D247" i="7"/>
  <c r="D231" i="7"/>
  <c r="E142" i="61"/>
  <c r="C78" i="61"/>
  <c r="B215" i="7"/>
  <c r="A159" i="6"/>
  <c r="B153" i="7"/>
  <c r="A160" i="6"/>
  <c r="B154" i="7"/>
  <c r="B582" i="7"/>
  <c r="D534" i="7"/>
  <c r="B571" i="7"/>
  <c r="D576" i="7"/>
  <c r="B524" i="7"/>
  <c r="C507" i="61"/>
  <c r="B517" i="7"/>
  <c r="B501" i="7"/>
  <c r="C443" i="61"/>
  <c r="B485" i="7"/>
  <c r="C379" i="61"/>
  <c r="B469" i="7"/>
  <c r="C315" i="61"/>
  <c r="C251" i="61"/>
  <c r="B453" i="7"/>
  <c r="B437" i="7"/>
  <c r="C187" i="61"/>
  <c r="B421" i="7"/>
  <c r="C123" i="61"/>
  <c r="D163" i="7"/>
  <c r="B147" i="7"/>
  <c r="A153" i="6"/>
  <c r="D152" i="7"/>
  <c r="D382" i="7"/>
  <c r="E505" i="61"/>
  <c r="D130" i="7"/>
  <c r="D114" i="7"/>
  <c r="E441" i="61"/>
  <c r="E377" i="61"/>
  <c r="D98" i="7"/>
  <c r="D82" i="7"/>
  <c r="E313" i="61"/>
  <c r="D66" i="7"/>
  <c r="E249" i="61"/>
  <c r="E185" i="61"/>
  <c r="D50" i="7"/>
  <c r="C195" i="61"/>
  <c r="B439" i="7"/>
  <c r="D296" i="7"/>
  <c r="E402" i="61"/>
  <c r="E274" i="61"/>
  <c r="D264" i="7"/>
  <c r="E146" i="61"/>
  <c r="D232" i="7"/>
  <c r="B378" i="7"/>
  <c r="D135" i="7"/>
  <c r="D351" i="7"/>
  <c r="D335" i="7"/>
  <c r="B139" i="7"/>
  <c r="A145" i="6"/>
  <c r="B549" i="7"/>
  <c r="B533" i="7"/>
  <c r="D352" i="7"/>
  <c r="D389" i="7"/>
  <c r="D341" i="7"/>
  <c r="B358" i="7"/>
  <c r="A172" i="6"/>
  <c r="B166" i="7"/>
  <c r="A156" i="6"/>
  <c r="B150" i="7"/>
  <c r="B546" i="7"/>
  <c r="D583" i="7"/>
  <c r="D535" i="7"/>
  <c r="D560" i="7"/>
  <c r="A165" i="6"/>
  <c r="B159" i="7"/>
  <c r="D196" i="7"/>
  <c r="D148" i="7"/>
  <c r="D366" i="7"/>
  <c r="D126" i="7"/>
  <c r="E489" i="61"/>
  <c r="B110" i="7"/>
  <c r="C425" i="61"/>
  <c r="A116" i="6"/>
  <c r="E361" i="61"/>
  <c r="D94" i="7"/>
  <c r="A84" i="6"/>
  <c r="B78" i="7"/>
  <c r="C297" i="61"/>
  <c r="D62" i="7"/>
  <c r="E233" i="61"/>
  <c r="C169" i="61"/>
  <c r="B46" i="7"/>
  <c r="A52" i="6"/>
  <c r="G52" i="6" s="1"/>
  <c r="B52" i="6" s="1"/>
  <c r="C509" i="61"/>
  <c r="A137" i="6"/>
  <c r="B131" i="7"/>
  <c r="C445" i="61"/>
  <c r="B115" i="7"/>
  <c r="A121" i="6"/>
  <c r="A105" i="6"/>
  <c r="B99" i="7"/>
  <c r="C381" i="61"/>
  <c r="E317" i="61"/>
  <c r="D83" i="7"/>
  <c r="C253" i="61"/>
  <c r="A73" i="6"/>
  <c r="B67" i="7"/>
  <c r="C189" i="61"/>
  <c r="A57" i="6"/>
  <c r="B51" i="7"/>
  <c r="A41" i="6"/>
  <c r="B35" i="7"/>
  <c r="C125" i="61"/>
  <c r="D27" i="7"/>
  <c r="E93" i="61"/>
  <c r="D157" i="7"/>
  <c r="D564" i="7"/>
  <c r="C298" i="61"/>
  <c r="B270" i="7"/>
  <c r="A34" i="6"/>
  <c r="B28" i="7"/>
  <c r="C97" i="61"/>
  <c r="B309" i="7"/>
  <c r="C454" i="61"/>
  <c r="C390" i="61"/>
  <c r="B293" i="7"/>
  <c r="C326" i="61"/>
  <c r="B277" i="7"/>
  <c r="C262" i="61"/>
  <c r="B261" i="7"/>
  <c r="E198" i="61"/>
  <c r="D245" i="7"/>
  <c r="C134" i="61"/>
  <c r="B229" i="7"/>
  <c r="C70" i="61"/>
  <c r="B213" i="7"/>
  <c r="E289" i="61"/>
  <c r="D76" i="7"/>
  <c r="E90" i="61"/>
  <c r="D218" i="7"/>
  <c r="B523" i="7"/>
  <c r="D507" i="7"/>
  <c r="E467" i="61"/>
  <c r="E403" i="61"/>
  <c r="D491" i="7"/>
  <c r="B278" i="7"/>
  <c r="C330" i="61"/>
  <c r="E122" i="61"/>
  <c r="D226" i="7"/>
  <c r="C275" i="61"/>
  <c r="B459" i="7"/>
  <c r="E121" i="61"/>
  <c r="D34" i="7"/>
  <c r="E77" i="61"/>
  <c r="D23" i="7"/>
  <c r="C458" i="61"/>
  <c r="B310" i="7"/>
  <c r="E394" i="61"/>
  <c r="D294" i="7"/>
  <c r="B338" i="7"/>
  <c r="B284" i="7"/>
  <c r="C354" i="61"/>
  <c r="D252" i="7"/>
  <c r="E226" i="61"/>
  <c r="D417" i="7"/>
  <c r="E107" i="61"/>
  <c r="E250" i="61"/>
  <c r="D258" i="7"/>
  <c r="B354" i="7"/>
  <c r="B222" i="7"/>
  <c r="C106" i="61"/>
  <c r="D30" i="7"/>
  <c r="E105" i="61"/>
  <c r="E234" i="61"/>
  <c r="D254" i="7"/>
  <c r="B540" i="7"/>
  <c r="A138" i="6"/>
  <c r="B132" i="7"/>
  <c r="C513" i="61"/>
  <c r="B100" i="7"/>
  <c r="C385" i="61"/>
  <c r="A106" i="6"/>
  <c r="C378" i="61"/>
  <c r="B290" i="7"/>
  <c r="E273" i="61"/>
  <c r="D72" i="7"/>
  <c r="A195" i="6"/>
  <c r="B189" i="7"/>
  <c r="D44" i="7"/>
  <c r="E161" i="61"/>
  <c r="C506" i="61"/>
  <c r="B322" i="7"/>
  <c r="C442" i="61"/>
  <c r="B306" i="7"/>
  <c r="B286" i="7"/>
  <c r="C362" i="61"/>
  <c r="D276" i="7"/>
  <c r="E322" i="61"/>
  <c r="C194" i="61"/>
  <c r="B244" i="7"/>
  <c r="E91" i="61"/>
  <c r="D413" i="7"/>
  <c r="D36" i="7"/>
  <c r="E129" i="61"/>
  <c r="D530" i="7"/>
  <c r="B282" i="7"/>
  <c r="C346" i="61"/>
  <c r="B528" i="7"/>
  <c r="C479" i="61"/>
  <c r="B510" i="7"/>
  <c r="C415" i="61"/>
  <c r="B494" i="7"/>
  <c r="C351" i="61"/>
  <c r="B478" i="7"/>
  <c r="C287" i="61"/>
  <c r="B462" i="7"/>
  <c r="C223" i="61"/>
  <c r="B446" i="7"/>
  <c r="B430" i="7"/>
  <c r="C159" i="61"/>
  <c r="E95" i="61"/>
  <c r="D414" i="7"/>
  <c r="E179" i="61"/>
  <c r="D435" i="7"/>
  <c r="C307" i="61"/>
  <c r="B467" i="7"/>
  <c r="D108" i="7"/>
  <c r="E417" i="61"/>
  <c r="C170" i="61"/>
  <c r="B238" i="7"/>
  <c r="E83" i="61"/>
  <c r="D411" i="7"/>
  <c r="D262" i="7"/>
  <c r="E266" i="61"/>
  <c r="E82" i="61"/>
  <c r="D216" i="7"/>
  <c r="B580" i="7"/>
  <c r="C490" i="61"/>
  <c r="B318" i="7"/>
  <c r="B302" i="7"/>
  <c r="C426" i="61"/>
  <c r="E209" i="61"/>
  <c r="D56" i="7"/>
  <c r="E470" i="61"/>
  <c r="D313" i="7"/>
  <c r="E406" i="61"/>
  <c r="D297" i="7"/>
  <c r="E342" i="61"/>
  <c r="D281" i="7"/>
  <c r="C278" i="61"/>
  <c r="B265" i="7"/>
  <c r="C214" i="61"/>
  <c r="B249" i="7"/>
  <c r="D233" i="7"/>
  <c r="E150" i="61"/>
  <c r="D217" i="7"/>
  <c r="E86" i="61"/>
  <c r="E138" i="61"/>
  <c r="D230" i="7"/>
  <c r="B149" i="7"/>
  <c r="A155" i="6"/>
  <c r="D511" i="7"/>
  <c r="E483" i="61"/>
  <c r="E419" i="61"/>
  <c r="D495" i="7"/>
  <c r="E355" i="61"/>
  <c r="D479" i="7"/>
  <c r="D52" i="7"/>
  <c r="E193" i="61"/>
  <c r="C73" i="61"/>
  <c r="A28" i="6"/>
  <c r="B22" i="7"/>
  <c r="B572" i="7"/>
  <c r="A130" i="6"/>
  <c r="B124" i="7"/>
  <c r="C481" i="61"/>
  <c r="B92" i="7"/>
  <c r="C353" i="61"/>
  <c r="A98" i="6"/>
  <c r="B369" i="7"/>
  <c r="D353" i="7"/>
  <c r="B319" i="7"/>
  <c r="C494" i="61"/>
  <c r="E430" i="61"/>
  <c r="D303" i="7"/>
  <c r="B287" i="7"/>
  <c r="C366" i="61"/>
  <c r="B271" i="7"/>
  <c r="C302" i="61"/>
  <c r="E238" i="61"/>
  <c r="D255" i="7"/>
  <c r="B239" i="7"/>
  <c r="C174" i="61"/>
  <c r="B223" i="7"/>
  <c r="C110" i="61"/>
  <c r="A70" i="6"/>
  <c r="G70" i="6" s="1"/>
  <c r="B70" i="6" s="1"/>
  <c r="B64" i="7"/>
  <c r="C241" i="61"/>
  <c r="D185" i="7"/>
  <c r="D331" i="7"/>
  <c r="D162" i="7"/>
  <c r="A152" i="6"/>
  <c r="G152" i="6" s="1"/>
  <c r="B152" i="6" s="1"/>
  <c r="B146" i="7"/>
  <c r="D542" i="7"/>
  <c r="D579" i="7"/>
  <c r="D531" i="7"/>
  <c r="D544" i="7"/>
  <c r="B334" i="7"/>
  <c r="B509" i="7"/>
  <c r="C475" i="61"/>
  <c r="C411" i="61"/>
  <c r="B493" i="7"/>
  <c r="B477" i="7"/>
  <c r="C347" i="61"/>
  <c r="E283" i="61"/>
  <c r="D461" i="7"/>
  <c r="D445" i="7"/>
  <c r="E219" i="61"/>
  <c r="C155" i="61"/>
  <c r="B429" i="7"/>
  <c r="D187" i="7"/>
  <c r="D192" i="7"/>
  <c r="B176" i="7"/>
  <c r="A182" i="6"/>
  <c r="D350" i="7"/>
  <c r="E501" i="61"/>
  <c r="D129" i="7"/>
  <c r="E437" i="61"/>
  <c r="D113" i="7"/>
  <c r="E373" i="61"/>
  <c r="D97" i="7"/>
  <c r="D81" i="7"/>
  <c r="E309" i="61"/>
  <c r="C245" i="61"/>
  <c r="A71" i="6"/>
  <c r="B65" i="7"/>
  <c r="E181" i="61"/>
  <c r="D49" i="7"/>
  <c r="B33" i="7"/>
  <c r="A39" i="6"/>
  <c r="C117" i="61"/>
  <c r="C259" i="61"/>
  <c r="B455" i="7"/>
  <c r="D193" i="7"/>
  <c r="D280" i="7"/>
  <c r="E338" i="61"/>
  <c r="D248" i="7"/>
  <c r="E210" i="61"/>
  <c r="C211" i="61"/>
  <c r="B443" i="7"/>
  <c r="D346" i="7"/>
  <c r="B359" i="7"/>
  <c r="D343" i="7"/>
  <c r="D552" i="7"/>
  <c r="D541" i="7"/>
  <c r="D525" i="7"/>
  <c r="B344" i="7"/>
  <c r="D381" i="7"/>
  <c r="B390" i="7"/>
  <c r="B333" i="7"/>
  <c r="E514" i="61"/>
  <c r="D327" i="7"/>
  <c r="E450" i="61"/>
  <c r="D308" i="7"/>
  <c r="D190" i="7"/>
  <c r="A180" i="6"/>
  <c r="B174" i="7"/>
  <c r="B570" i="7"/>
  <c r="D554" i="7"/>
  <c r="D559" i="7"/>
  <c r="D543" i="7"/>
  <c r="E487" i="61"/>
  <c r="D512" i="7"/>
  <c r="C423" i="61"/>
  <c r="B496" i="7"/>
  <c r="E359" i="61"/>
  <c r="D480" i="7"/>
  <c r="D464" i="7"/>
  <c r="E295" i="61"/>
  <c r="C231" i="61"/>
  <c r="B448" i="7"/>
  <c r="D432" i="7"/>
  <c r="E167" i="61"/>
  <c r="D416" i="7"/>
  <c r="E103" i="61"/>
  <c r="E225" i="61"/>
  <c r="D60" i="7"/>
  <c r="A173" i="6"/>
  <c r="B167" i="7"/>
  <c r="D151" i="7"/>
  <c r="D156" i="7"/>
  <c r="A146" i="6"/>
  <c r="B140" i="7"/>
  <c r="D134" i="7"/>
  <c r="D118" i="7"/>
  <c r="E457" i="61"/>
  <c r="D102" i="7"/>
  <c r="E393" i="61"/>
  <c r="C329" i="61"/>
  <c r="B86" i="7"/>
  <c r="A92" i="6"/>
  <c r="D70" i="7"/>
  <c r="E265" i="61"/>
  <c r="C201" i="61"/>
  <c r="A60" i="6"/>
  <c r="B54" i="7"/>
  <c r="D38" i="7"/>
  <c r="E137" i="61"/>
  <c r="A129" i="6"/>
  <c r="C477" i="61"/>
  <c r="B123" i="7"/>
  <c r="B107" i="7"/>
  <c r="C413" i="61"/>
  <c r="A113" i="6"/>
  <c r="A97" i="6"/>
  <c r="B91" i="7"/>
  <c r="C349" i="61"/>
  <c r="B75" i="7"/>
  <c r="A81" i="6"/>
  <c r="C285" i="61"/>
  <c r="A65" i="6"/>
  <c r="C221" i="61"/>
  <c r="B59" i="7"/>
  <c r="B43" i="7"/>
  <c r="A49" i="6"/>
  <c r="C157" i="61"/>
  <c r="D387" i="7"/>
  <c r="D371" i="7"/>
  <c r="B569" i="7"/>
  <c r="B388" i="7"/>
  <c r="D372" i="7"/>
  <c r="D377" i="7"/>
  <c r="D361" i="7"/>
  <c r="D330" i="7"/>
  <c r="B311" i="7"/>
  <c r="C462" i="61"/>
  <c r="C398" i="61"/>
  <c r="B295" i="7"/>
  <c r="B279" i="7"/>
  <c r="C334" i="61"/>
  <c r="B263" i="7"/>
  <c r="C270" i="61"/>
  <c r="C206" i="61"/>
  <c r="B247" i="7"/>
  <c r="B231" i="7"/>
  <c r="C142" i="61"/>
  <c r="D215" i="7"/>
  <c r="E78" i="61"/>
  <c r="B170" i="7"/>
  <c r="A176" i="6"/>
  <c r="D154" i="7"/>
  <c r="D550" i="7"/>
  <c r="B534" i="7"/>
  <c r="B539" i="7"/>
  <c r="B576" i="7"/>
  <c r="E507" i="61"/>
  <c r="D517" i="7"/>
  <c r="D501" i="7"/>
  <c r="E443" i="61"/>
  <c r="E379" i="61"/>
  <c r="D485" i="7"/>
  <c r="E315" i="61"/>
  <c r="D469" i="7"/>
  <c r="E251" i="61"/>
  <c r="D453" i="7"/>
  <c r="D437" i="7"/>
  <c r="E187" i="61"/>
  <c r="E123" i="61"/>
  <c r="D421" i="7"/>
  <c r="D179" i="7"/>
  <c r="A169" i="6"/>
  <c r="B163" i="7"/>
  <c r="D168" i="7"/>
  <c r="A158" i="6"/>
  <c r="B152" i="7"/>
  <c r="B121" i="7"/>
  <c r="C469" i="61"/>
  <c r="A127" i="6"/>
  <c r="C405" i="61"/>
  <c r="B105" i="7"/>
  <c r="A111" i="6"/>
  <c r="D89" i="7"/>
  <c r="E341" i="61"/>
  <c r="E277" i="61"/>
  <c r="D73" i="7"/>
  <c r="C213" i="61"/>
  <c r="B57" i="7"/>
  <c r="A63" i="6"/>
  <c r="E149" i="61"/>
  <c r="D41" i="7"/>
  <c r="A31" i="6"/>
  <c r="C85" i="61"/>
  <c r="B25" i="7"/>
  <c r="E163" i="61"/>
  <c r="D431" i="7"/>
  <c r="D161" i="7"/>
  <c r="A136" i="6"/>
  <c r="B130" i="7"/>
  <c r="C505" i="61"/>
  <c r="B114" i="7"/>
  <c r="A120" i="6"/>
  <c r="C441" i="61"/>
  <c r="C377" i="61"/>
  <c r="B98" i="7"/>
  <c r="A104" i="6"/>
  <c r="B82" i="7"/>
  <c r="C313" i="61"/>
  <c r="A88" i="6"/>
  <c r="C249" i="61"/>
  <c r="B66" i="7"/>
  <c r="A72" i="6"/>
  <c r="B50" i="7"/>
  <c r="C185" i="61"/>
  <c r="A56" i="6"/>
  <c r="E195" i="61"/>
  <c r="D439" i="7"/>
  <c r="B296" i="7"/>
  <c r="C402" i="61"/>
  <c r="B264" i="7"/>
  <c r="C274" i="61"/>
  <c r="C146" i="61"/>
  <c r="B232" i="7"/>
  <c r="D378" i="7"/>
  <c r="D367" i="7"/>
  <c r="B351" i="7"/>
  <c r="D139" i="7"/>
  <c r="B565" i="7"/>
  <c r="D549" i="7"/>
  <c r="B368" i="7"/>
  <c r="B352" i="7"/>
  <c r="B357" i="7"/>
  <c r="B341" i="7"/>
  <c r="C482" i="61"/>
  <c r="B316" i="7"/>
  <c r="B300" i="7"/>
  <c r="C418" i="61"/>
  <c r="D182" i="7"/>
  <c r="D166" i="7"/>
  <c r="B562" i="7"/>
  <c r="D546" i="7"/>
  <c r="B551" i="7"/>
  <c r="B535" i="7"/>
  <c r="E455" i="61"/>
  <c r="D504" i="7"/>
  <c r="B488" i="7"/>
  <c r="C391" i="61"/>
  <c r="E327" i="61"/>
  <c r="D472" i="7"/>
  <c r="B456" i="7"/>
  <c r="C263" i="61"/>
  <c r="C199" i="61"/>
  <c r="B440" i="7"/>
  <c r="C135" i="61"/>
  <c r="B424" i="7"/>
  <c r="C71" i="61"/>
  <c r="B408" i="7"/>
  <c r="D175" i="7"/>
  <c r="D159" i="7"/>
  <c r="D164" i="7"/>
  <c r="B148" i="7"/>
  <c r="A154" i="6"/>
  <c r="D117" i="7"/>
  <c r="E453" i="61"/>
  <c r="C389" i="61"/>
  <c r="A107" i="6"/>
  <c r="B101" i="7"/>
  <c r="E325" i="61"/>
  <c r="D85" i="7"/>
  <c r="A75" i="6"/>
  <c r="C261" i="61"/>
  <c r="B69" i="7"/>
  <c r="D53" i="7"/>
  <c r="E197" i="61"/>
  <c r="E133" i="61"/>
  <c r="D37" i="7"/>
  <c r="C69" i="61"/>
  <c r="A27" i="6"/>
  <c r="B21" i="7"/>
  <c r="B32" i="7"/>
  <c r="C113" i="61"/>
  <c r="A38" i="6"/>
  <c r="G38" i="6" s="1"/>
  <c r="B38" i="6" s="1"/>
  <c r="B145" i="7"/>
  <c r="A151" i="6"/>
  <c r="B126" i="7"/>
  <c r="C489" i="61"/>
  <c r="A132" i="6"/>
  <c r="E425" i="61"/>
  <c r="D110" i="7"/>
  <c r="B94" i="7"/>
  <c r="C361" i="61"/>
  <c r="A100" i="6"/>
  <c r="E297" i="61"/>
  <c r="D78" i="7"/>
  <c r="B62" i="7"/>
  <c r="A68" i="6"/>
  <c r="C233" i="61"/>
  <c r="E169" i="61"/>
  <c r="D46" i="7"/>
  <c r="E337" i="61"/>
  <c r="D88" i="7"/>
  <c r="D362" i="7"/>
  <c r="D131" i="7"/>
  <c r="E509" i="61"/>
  <c r="E445" i="61"/>
  <c r="D115" i="7"/>
  <c r="D99" i="7"/>
  <c r="E381" i="61"/>
  <c r="A89" i="6"/>
  <c r="C317" i="61"/>
  <c r="B83" i="7"/>
  <c r="E253" i="61"/>
  <c r="D67" i="7"/>
  <c r="D51" i="7"/>
  <c r="E189" i="61"/>
  <c r="D35" i="7"/>
  <c r="E125" i="61"/>
  <c r="C93" i="61"/>
  <c r="B27" i="7"/>
  <c r="A33" i="6"/>
  <c r="E298" i="61"/>
  <c r="D270" i="7"/>
  <c r="E97" i="61"/>
  <c r="D28" i="7"/>
  <c r="B328" i="7"/>
  <c r="E454" i="61"/>
  <c r="D309" i="7"/>
  <c r="D293" i="7"/>
  <c r="E390" i="61"/>
  <c r="E326" i="61"/>
  <c r="D277" i="7"/>
  <c r="D261" i="7"/>
  <c r="E262" i="61"/>
  <c r="C198" i="61"/>
  <c r="B245" i="7"/>
  <c r="D229" i="7"/>
  <c r="E134" i="61"/>
  <c r="E70" i="61"/>
  <c r="D213" i="7"/>
  <c r="A82" i="6"/>
  <c r="B76" i="7"/>
  <c r="C289" i="61"/>
  <c r="C90" i="61"/>
  <c r="B218" i="7"/>
  <c r="D523" i="7"/>
  <c r="E511" i="61"/>
  <c r="D518" i="7"/>
  <c r="D502" i="7"/>
  <c r="E447" i="61"/>
  <c r="E383" i="61"/>
  <c r="D486" i="7"/>
  <c r="D470" i="7"/>
  <c r="E319" i="61"/>
  <c r="D454" i="7"/>
  <c r="E255" i="61"/>
  <c r="E191" i="61"/>
  <c r="D438" i="7"/>
  <c r="B422" i="7"/>
  <c r="C127" i="61"/>
  <c r="E67" i="61"/>
  <c r="D407" i="7"/>
  <c r="D120" i="7"/>
  <c r="E465" i="61"/>
  <c r="D104" i="7"/>
  <c r="E401" i="61"/>
  <c r="D471" i="7"/>
  <c r="E323" i="61"/>
  <c r="D419" i="7"/>
  <c r="E115" i="61"/>
  <c r="B250" i="7"/>
  <c r="C218" i="61"/>
  <c r="D116" i="7"/>
  <c r="E449" i="61"/>
  <c r="C282" i="61"/>
  <c r="B266" i="7"/>
  <c r="C77" i="61"/>
  <c r="B23" i="7"/>
  <c r="A29" i="6"/>
  <c r="B329" i="7"/>
  <c r="D310" i="7"/>
  <c r="E458" i="61"/>
  <c r="C394" i="61"/>
  <c r="B294" i="7"/>
  <c r="D338" i="7"/>
  <c r="B519" i="7"/>
  <c r="C515" i="61"/>
  <c r="D503" i="7"/>
  <c r="E451" i="61"/>
  <c r="C387" i="61"/>
  <c r="B487" i="7"/>
  <c r="D132" i="7"/>
  <c r="E513" i="61"/>
  <c r="E385" i="61"/>
  <c r="D100" i="7"/>
  <c r="E378" i="61"/>
  <c r="D290" i="7"/>
  <c r="B72" i="7"/>
  <c r="A78" i="6"/>
  <c r="C273" i="61"/>
  <c r="D189" i="7"/>
  <c r="C161" i="61"/>
  <c r="B44" i="7"/>
  <c r="A50" i="6"/>
  <c r="C98" i="61"/>
  <c r="B220" i="7"/>
  <c r="C154" i="61"/>
  <c r="B234" i="7"/>
  <c r="B532" i="7"/>
  <c r="D322" i="7"/>
  <c r="E506" i="61"/>
  <c r="E442" i="61"/>
  <c r="D306" i="7"/>
  <c r="E362" i="61"/>
  <c r="D286" i="7"/>
  <c r="E499" i="61"/>
  <c r="D515" i="7"/>
  <c r="D499" i="7"/>
  <c r="E435" i="61"/>
  <c r="E371" i="61"/>
  <c r="D483" i="7"/>
  <c r="C243" i="61"/>
  <c r="B451" i="7"/>
  <c r="D282" i="7"/>
  <c r="E346" i="61"/>
  <c r="A32" i="6"/>
  <c r="C89" i="61"/>
  <c r="B26" i="7"/>
  <c r="D528" i="7"/>
  <c r="E497" i="61"/>
  <c r="D128" i="7"/>
  <c r="A118" i="6"/>
  <c r="C433" i="61"/>
  <c r="B112" i="7"/>
  <c r="E369" i="61"/>
  <c r="D96" i="7"/>
  <c r="C82" i="61"/>
  <c r="B216" i="7"/>
  <c r="D580" i="7"/>
  <c r="A46" i="6"/>
  <c r="C145" i="61"/>
  <c r="B40" i="7"/>
  <c r="B332" i="7"/>
  <c r="B313" i="7"/>
  <c r="C470" i="61"/>
  <c r="C406" i="61"/>
  <c r="B297" i="7"/>
  <c r="B281" i="7"/>
  <c r="C342" i="61"/>
  <c r="E278" i="61"/>
  <c r="D265" i="7"/>
  <c r="E214" i="61"/>
  <c r="D249" i="7"/>
  <c r="C150" i="61"/>
  <c r="B233" i="7"/>
  <c r="B217" i="7"/>
  <c r="C86" i="61"/>
  <c r="C138" i="61"/>
  <c r="B230" i="7"/>
  <c r="D149" i="7"/>
  <c r="B506" i="7"/>
  <c r="C463" i="61"/>
  <c r="C399" i="61"/>
  <c r="B490" i="7"/>
  <c r="D474" i="7"/>
  <c r="E335" i="61"/>
  <c r="B458" i="7"/>
  <c r="C271" i="61"/>
  <c r="C207" i="61"/>
  <c r="B442" i="7"/>
  <c r="C143" i="61"/>
  <c r="B426" i="7"/>
  <c r="C79" i="61"/>
  <c r="B410" i="7"/>
  <c r="B475" i="7"/>
  <c r="C339" i="61"/>
  <c r="B423" i="7"/>
  <c r="C131" i="61"/>
  <c r="C239" i="7"/>
  <c r="D174" i="61"/>
  <c r="C223" i="7"/>
  <c r="D110" i="61"/>
  <c r="D210" i="7"/>
  <c r="E58" i="61"/>
  <c r="D202" i="7"/>
  <c r="E26" i="61"/>
  <c r="C26" i="61"/>
  <c r="B202" i="7"/>
  <c r="E185" i="7"/>
  <c r="E191" i="6"/>
  <c r="D466" i="61"/>
  <c r="C312" i="7"/>
  <c r="E178" i="7"/>
  <c r="E184" i="6"/>
  <c r="D63" i="61"/>
  <c r="C406" i="7"/>
  <c r="C398" i="7"/>
  <c r="D31" i="61"/>
  <c r="AR193" i="6"/>
  <c r="E176" i="7"/>
  <c r="E182" i="6"/>
  <c r="AR166" i="6"/>
  <c r="AR135" i="6"/>
  <c r="AR119" i="6"/>
  <c r="AR103" i="6"/>
  <c r="AR87" i="6"/>
  <c r="C65" i="7"/>
  <c r="D245" i="61"/>
  <c r="AR55" i="6"/>
  <c r="AR39" i="6"/>
  <c r="E61" i="61"/>
  <c r="D19" i="7"/>
  <c r="AR17" i="6"/>
  <c r="E193" i="7"/>
  <c r="E199" i="6"/>
  <c r="E138" i="7"/>
  <c r="E144" i="6"/>
  <c r="E122" i="7"/>
  <c r="E128" i="6"/>
  <c r="C106" i="7"/>
  <c r="D409" i="61"/>
  <c r="D345" i="61"/>
  <c r="C90" i="7"/>
  <c r="C74" i="7"/>
  <c r="D281" i="61"/>
  <c r="AR48" i="6"/>
  <c r="D211" i="61"/>
  <c r="C443" i="7"/>
  <c r="D493" i="61"/>
  <c r="C127" i="7"/>
  <c r="D429" i="61"/>
  <c r="C111" i="7"/>
  <c r="D365" i="61"/>
  <c r="C95" i="7"/>
  <c r="D301" i="61"/>
  <c r="C79" i="7"/>
  <c r="D237" i="61"/>
  <c r="C63" i="7"/>
  <c r="C47" i="7"/>
  <c r="D173" i="61"/>
  <c r="D109" i="61"/>
  <c r="C31" i="7"/>
  <c r="E84" i="7"/>
  <c r="E90" i="6"/>
  <c r="D286" i="61"/>
  <c r="C267" i="7"/>
  <c r="E175" i="6"/>
  <c r="E169" i="7"/>
  <c r="E158" i="7"/>
  <c r="E164" i="6"/>
  <c r="D295" i="61"/>
  <c r="C464" i="7"/>
  <c r="D103" i="61"/>
  <c r="C416" i="7"/>
  <c r="D459" i="61"/>
  <c r="C505" i="7"/>
  <c r="D395" i="61"/>
  <c r="C489" i="7"/>
  <c r="D331" i="61"/>
  <c r="C473" i="7"/>
  <c r="D203" i="61"/>
  <c r="C441" i="7"/>
  <c r="C425" i="7"/>
  <c r="D139" i="61"/>
  <c r="E189" i="6"/>
  <c r="E183" i="7"/>
  <c r="E188" i="7"/>
  <c r="E194" i="6"/>
  <c r="AR162" i="6"/>
  <c r="E140" i="7"/>
  <c r="E146" i="6"/>
  <c r="C125" i="7"/>
  <c r="D485" i="61"/>
  <c r="C109" i="7"/>
  <c r="D421" i="61"/>
  <c r="C93" i="7"/>
  <c r="D357" i="61"/>
  <c r="D293" i="61"/>
  <c r="C77" i="7"/>
  <c r="D165" i="61"/>
  <c r="C45" i="7"/>
  <c r="C29" i="7"/>
  <c r="D101" i="61"/>
  <c r="C53" i="61"/>
  <c r="B17" i="7"/>
  <c r="A23" i="6"/>
  <c r="G23" i="6" s="1"/>
  <c r="B23" i="6" s="1"/>
  <c r="C21" i="61"/>
  <c r="B9" i="7"/>
  <c r="A15" i="6"/>
  <c r="G15" i="6" s="1"/>
  <c r="B15" i="6" s="1"/>
  <c r="C246" i="7"/>
  <c r="D202" i="61"/>
  <c r="AR183" i="6"/>
  <c r="AR124" i="6"/>
  <c r="AR108" i="6"/>
  <c r="D329" i="61"/>
  <c r="C86" i="7"/>
  <c r="E70" i="7"/>
  <c r="E76" i="6"/>
  <c r="AR60" i="6"/>
  <c r="E38" i="7"/>
  <c r="E44" i="6"/>
  <c r="D142" i="61"/>
  <c r="C231" i="7"/>
  <c r="E176" i="6"/>
  <c r="E170" i="7"/>
  <c r="AR160" i="6"/>
  <c r="C428" i="7"/>
  <c r="D151" i="61"/>
  <c r="C15" i="61"/>
  <c r="B394" i="7"/>
  <c r="E54" i="6"/>
  <c r="E48" i="7"/>
  <c r="D507" i="61"/>
  <c r="C517" i="7"/>
  <c r="D443" i="61"/>
  <c r="C501" i="7"/>
  <c r="D379" i="61"/>
  <c r="C485" i="7"/>
  <c r="C469" i="7"/>
  <c r="D315" i="61"/>
  <c r="C453" i="7"/>
  <c r="D251" i="61"/>
  <c r="C437" i="7"/>
  <c r="D187" i="61"/>
  <c r="D123" i="61"/>
  <c r="C421" i="7"/>
  <c r="E201" i="6"/>
  <c r="E195" i="7"/>
  <c r="AR153" i="6"/>
  <c r="AR158" i="6"/>
  <c r="E152" i="7"/>
  <c r="E158" i="6"/>
  <c r="E25" i="7"/>
  <c r="E31" i="6"/>
  <c r="AR21" i="6"/>
  <c r="D7" i="7"/>
  <c r="E13" i="61"/>
  <c r="C114" i="7"/>
  <c r="D441" i="61"/>
  <c r="C98" i="7"/>
  <c r="D377" i="61"/>
  <c r="D249" i="61"/>
  <c r="C66" i="7"/>
  <c r="AR14" i="6"/>
  <c r="E119" i="7"/>
  <c r="E125" i="6"/>
  <c r="E109" i="6"/>
  <c r="E103" i="7"/>
  <c r="E87" i="7"/>
  <c r="E93" i="6"/>
  <c r="E77" i="6"/>
  <c r="E71" i="7"/>
  <c r="E55" i="7"/>
  <c r="E61" i="6"/>
  <c r="E39" i="7"/>
  <c r="E45" i="6"/>
  <c r="E139" i="7"/>
  <c r="E145" i="6"/>
  <c r="C323" i="7"/>
  <c r="D510" i="61"/>
  <c r="D446" i="61"/>
  <c r="C307" i="7"/>
  <c r="D382" i="61"/>
  <c r="C291" i="7"/>
  <c r="C227" i="7"/>
  <c r="D126" i="61"/>
  <c r="E66" i="61"/>
  <c r="D212" i="7"/>
  <c r="E34" i="61"/>
  <c r="D204" i="7"/>
  <c r="AR188" i="6"/>
  <c r="E172" i="6"/>
  <c r="E166" i="7"/>
  <c r="E165" i="6"/>
  <c r="E159" i="7"/>
  <c r="E196" i="7"/>
  <c r="E202" i="6"/>
  <c r="AR186" i="6"/>
  <c r="D37" i="61"/>
  <c r="C13" i="7"/>
  <c r="C37" i="61"/>
  <c r="B13" i="7"/>
  <c r="A19" i="6"/>
  <c r="AR11" i="6"/>
  <c r="D5" i="61"/>
  <c r="C5" i="7"/>
  <c r="E145" i="7"/>
  <c r="E151" i="6"/>
  <c r="E110" i="7"/>
  <c r="E116" i="6"/>
  <c r="E94" i="7"/>
  <c r="E100" i="6"/>
  <c r="D297" i="61"/>
  <c r="C78" i="7"/>
  <c r="D233" i="61"/>
  <c r="C62" i="7"/>
  <c r="E94" i="6"/>
  <c r="E88" i="7"/>
  <c r="C131" i="7"/>
  <c r="D509" i="61"/>
  <c r="AR137" i="6"/>
  <c r="D445" i="61"/>
  <c r="C115" i="7"/>
  <c r="AR121" i="6"/>
  <c r="D381" i="61"/>
  <c r="C99" i="7"/>
  <c r="AR105" i="6"/>
  <c r="D317" i="61"/>
  <c r="C83" i="7"/>
  <c r="AR89" i="6"/>
  <c r="C67" i="7"/>
  <c r="D253" i="61"/>
  <c r="AR73" i="6"/>
  <c r="D189" i="61"/>
  <c r="C51" i="7"/>
  <c r="AR57" i="6"/>
  <c r="D125" i="61"/>
  <c r="C35" i="7"/>
  <c r="AR41" i="6"/>
  <c r="E27" i="7"/>
  <c r="E33" i="6"/>
  <c r="E49" i="61"/>
  <c r="D16" i="7"/>
  <c r="B199" i="7"/>
  <c r="C14" i="61"/>
  <c r="E163" i="6"/>
  <c r="E157" i="7"/>
  <c r="D298" i="61"/>
  <c r="C270" i="7"/>
  <c r="AR34" i="6"/>
  <c r="C292" i="7"/>
  <c r="D386" i="61"/>
  <c r="D258" i="61"/>
  <c r="C260" i="7"/>
  <c r="C228" i="7"/>
  <c r="D130" i="61"/>
  <c r="E11" i="61"/>
  <c r="D393" i="7"/>
  <c r="D38" i="61"/>
  <c r="C205" i="7"/>
  <c r="E76" i="7"/>
  <c r="E82" i="6"/>
  <c r="D275" i="61"/>
  <c r="C459" i="7"/>
  <c r="C34" i="7"/>
  <c r="D121" i="61"/>
  <c r="E35" i="61"/>
  <c r="D399" i="7"/>
  <c r="AR126" i="6"/>
  <c r="AR110" i="6"/>
  <c r="C250" i="7"/>
  <c r="D218" i="61"/>
  <c r="D77" i="61"/>
  <c r="C23" i="7"/>
  <c r="E20" i="6"/>
  <c r="E14" i="7"/>
  <c r="E41" i="61"/>
  <c r="D14" i="7"/>
  <c r="D458" i="61"/>
  <c r="C310" i="7"/>
  <c r="D394" i="61"/>
  <c r="C294" i="7"/>
  <c r="C252" i="7"/>
  <c r="D226" i="61"/>
  <c r="D107" i="61"/>
  <c r="C417" i="7"/>
  <c r="D250" i="61"/>
  <c r="C258" i="7"/>
  <c r="D502" i="61"/>
  <c r="C321" i="7"/>
  <c r="D438" i="61"/>
  <c r="C305" i="7"/>
  <c r="C289" i="7"/>
  <c r="D374" i="61"/>
  <c r="AR74" i="6"/>
  <c r="C30" i="7"/>
  <c r="D105" i="61"/>
  <c r="E30" i="7"/>
  <c r="E36" i="6"/>
  <c r="D234" i="61"/>
  <c r="C254" i="7"/>
  <c r="C59" i="61"/>
  <c r="B405" i="7"/>
  <c r="E59" i="61"/>
  <c r="D405" i="7"/>
  <c r="C27" i="61"/>
  <c r="B397" i="7"/>
  <c r="E138" i="6"/>
  <c r="E132" i="7"/>
  <c r="E100" i="7"/>
  <c r="E106" i="6"/>
  <c r="D378" i="61"/>
  <c r="C290" i="7"/>
  <c r="E65" i="61"/>
  <c r="D20" i="7"/>
  <c r="C65" i="61"/>
  <c r="B20" i="7"/>
  <c r="E33" i="61"/>
  <c r="D12" i="7"/>
  <c r="B12" i="7"/>
  <c r="A18" i="6"/>
  <c r="C33" i="61"/>
  <c r="E72" i="7"/>
  <c r="E78" i="6"/>
  <c r="AR195" i="6"/>
  <c r="E44" i="7"/>
  <c r="E50" i="6"/>
  <c r="AR50" i="6"/>
  <c r="C286" i="7"/>
  <c r="D362" i="61"/>
  <c r="E36" i="7"/>
  <c r="E42" i="6"/>
  <c r="AR42" i="6"/>
  <c r="D486" i="61"/>
  <c r="C317" i="7"/>
  <c r="D422" i="61"/>
  <c r="C301" i="7"/>
  <c r="D358" i="61"/>
  <c r="C285" i="7"/>
  <c r="E54" i="61"/>
  <c r="D209" i="7"/>
  <c r="D51" i="61"/>
  <c r="C403" i="7"/>
  <c r="D19" i="61"/>
  <c r="C395" i="7"/>
  <c r="AR114" i="6"/>
  <c r="E24" i="6"/>
  <c r="E18" i="7"/>
  <c r="E57" i="61"/>
  <c r="D18" i="7"/>
  <c r="E16" i="6"/>
  <c r="E10" i="7"/>
  <c r="E25" i="61"/>
  <c r="D10" i="7"/>
  <c r="A12" i="6"/>
  <c r="C9" i="61"/>
  <c r="B6" i="7"/>
  <c r="E56" i="7"/>
  <c r="E62" i="6"/>
  <c r="C409" i="7"/>
  <c r="D75" i="61"/>
  <c r="E6" i="61"/>
  <c r="D197" i="7"/>
  <c r="C52" i="7"/>
  <c r="D193" i="61"/>
  <c r="C43" i="61"/>
  <c r="B401" i="7"/>
  <c r="AR130" i="6"/>
  <c r="AR98" i="6"/>
  <c r="C319" i="7"/>
  <c r="D494" i="61"/>
  <c r="C303" i="7"/>
  <c r="D430" i="61"/>
  <c r="C287" i="7"/>
  <c r="D366" i="61"/>
  <c r="D302" i="61"/>
  <c r="C271" i="7"/>
  <c r="E200" i="6"/>
  <c r="E194" i="7"/>
  <c r="D503" i="61"/>
  <c r="C516" i="7"/>
  <c r="C500" i="7"/>
  <c r="D439" i="61"/>
  <c r="C484" i="7"/>
  <c r="D375" i="61"/>
  <c r="D311" i="61"/>
  <c r="C468" i="7"/>
  <c r="E161" i="6"/>
  <c r="E155" i="7"/>
  <c r="E198" i="6"/>
  <c r="E192" i="7"/>
  <c r="AR182" i="6"/>
  <c r="C129" i="7"/>
  <c r="D501" i="61"/>
  <c r="E135" i="6"/>
  <c r="E129" i="7"/>
  <c r="D437" i="61"/>
  <c r="C113" i="7"/>
  <c r="E113" i="7"/>
  <c r="E119" i="6"/>
  <c r="D373" i="61"/>
  <c r="C97" i="7"/>
  <c r="E97" i="7"/>
  <c r="E103" i="6"/>
  <c r="C81" i="7"/>
  <c r="D309" i="61"/>
  <c r="E87" i="6"/>
  <c r="E81" i="7"/>
  <c r="AR71" i="6"/>
  <c r="E71" i="6"/>
  <c r="E65" i="7"/>
  <c r="D181" i="61"/>
  <c r="C49" i="7"/>
  <c r="E49" i="7"/>
  <c r="E55" i="6"/>
  <c r="D117" i="61"/>
  <c r="C33" i="7"/>
  <c r="E39" i="6"/>
  <c r="E33" i="7"/>
  <c r="C61" i="61"/>
  <c r="B19" i="7"/>
  <c r="A25" i="6"/>
  <c r="E25" i="6"/>
  <c r="E19" i="7"/>
  <c r="E29" i="61"/>
  <c r="D11" i="7"/>
  <c r="E11" i="7"/>
  <c r="E17" i="6"/>
  <c r="AR128" i="6"/>
  <c r="E58" i="7"/>
  <c r="E64" i="6"/>
  <c r="D210" i="61"/>
  <c r="C248" i="7"/>
  <c r="D208" i="7"/>
  <c r="E50" i="61"/>
  <c r="D18" i="61"/>
  <c r="C200" i="7"/>
  <c r="E180" i="6"/>
  <c r="E174" i="7"/>
  <c r="AR164" i="6"/>
  <c r="E143" i="7"/>
  <c r="E149" i="6"/>
  <c r="D487" i="61"/>
  <c r="C512" i="7"/>
  <c r="D423" i="61"/>
  <c r="C496" i="7"/>
  <c r="D359" i="61"/>
  <c r="C480" i="7"/>
  <c r="D231" i="61"/>
  <c r="C448" i="7"/>
  <c r="D167" i="61"/>
  <c r="C432" i="7"/>
  <c r="D55" i="61"/>
  <c r="C404" i="7"/>
  <c r="B404" i="7"/>
  <c r="C55" i="61"/>
  <c r="C23" i="61"/>
  <c r="B396" i="7"/>
  <c r="D267" i="61"/>
  <c r="C457" i="7"/>
  <c r="AR178" i="6"/>
  <c r="D229" i="61"/>
  <c r="C61" i="7"/>
  <c r="D53" i="61"/>
  <c r="C17" i="7"/>
  <c r="E134" i="7"/>
  <c r="E140" i="6"/>
  <c r="E102" i="7"/>
  <c r="E108" i="6"/>
  <c r="E86" i="7"/>
  <c r="E92" i="6"/>
  <c r="C70" i="7"/>
  <c r="D265" i="61"/>
  <c r="C54" i="7"/>
  <c r="D201" i="61"/>
  <c r="D137" i="61"/>
  <c r="C38" i="7"/>
  <c r="D74" i="61"/>
  <c r="C214" i="7"/>
  <c r="E123" i="7"/>
  <c r="E129" i="6"/>
  <c r="E107" i="7"/>
  <c r="E113" i="6"/>
  <c r="E91" i="7"/>
  <c r="E97" i="6"/>
  <c r="E75" i="7"/>
  <c r="E81" i="6"/>
  <c r="E59" i="7"/>
  <c r="E65" i="6"/>
  <c r="E49" i="6"/>
  <c r="E43" i="7"/>
  <c r="D462" i="61"/>
  <c r="C311" i="7"/>
  <c r="D398" i="61"/>
  <c r="C295" i="7"/>
  <c r="D334" i="61"/>
  <c r="C279" i="7"/>
  <c r="D270" i="61"/>
  <c r="C263" i="7"/>
  <c r="C247" i="7"/>
  <c r="D206" i="61"/>
  <c r="E192" i="6"/>
  <c r="E186" i="7"/>
  <c r="AR176" i="6"/>
  <c r="AR169" i="6"/>
  <c r="E153" i="6"/>
  <c r="E147" i="7"/>
  <c r="AR174" i="6"/>
  <c r="E168" i="7"/>
  <c r="E174" i="6"/>
  <c r="AR143" i="6"/>
  <c r="D469" i="61"/>
  <c r="C121" i="7"/>
  <c r="D405" i="61"/>
  <c r="C105" i="7"/>
  <c r="D341" i="61"/>
  <c r="C89" i="7"/>
  <c r="D277" i="61"/>
  <c r="C73" i="7"/>
  <c r="C57" i="7"/>
  <c r="D213" i="61"/>
  <c r="D149" i="61"/>
  <c r="C41" i="7"/>
  <c r="AR47" i="6"/>
  <c r="D85" i="61"/>
  <c r="C25" i="7"/>
  <c r="E15" i="7"/>
  <c r="E21" i="6"/>
  <c r="B7" i="7"/>
  <c r="A13" i="6"/>
  <c r="C13" i="61"/>
  <c r="E7" i="7"/>
  <c r="E13" i="6"/>
  <c r="AR167" i="6"/>
  <c r="E82" i="7"/>
  <c r="E88" i="6"/>
  <c r="E66" i="7"/>
  <c r="E72" i="6"/>
  <c r="D185" i="61"/>
  <c r="C50" i="7"/>
  <c r="E50" i="7"/>
  <c r="E56" i="6"/>
  <c r="D195" i="61"/>
  <c r="C439" i="7"/>
  <c r="D402" i="61"/>
  <c r="C296" i="7"/>
  <c r="D274" i="61"/>
  <c r="C264" i="7"/>
  <c r="D146" i="61"/>
  <c r="C232" i="7"/>
  <c r="D17" i="61"/>
  <c r="C8" i="7"/>
  <c r="AR125" i="6"/>
  <c r="AR109" i="6"/>
  <c r="AR93" i="6"/>
  <c r="AR77" i="6"/>
  <c r="AR61" i="6"/>
  <c r="AR45" i="6"/>
  <c r="C66" i="61"/>
  <c r="B212" i="7"/>
  <c r="C212" i="7"/>
  <c r="D66" i="61"/>
  <c r="C34" i="61"/>
  <c r="B204" i="7"/>
  <c r="D34" i="61"/>
  <c r="C204" i="7"/>
  <c r="AR86" i="6"/>
  <c r="E188" i="6"/>
  <c r="E182" i="7"/>
  <c r="D400" i="7"/>
  <c r="E39" i="61"/>
  <c r="E7" i="61"/>
  <c r="D392" i="7"/>
  <c r="D7" i="61"/>
  <c r="C392" i="7"/>
  <c r="E181" i="6"/>
  <c r="E175" i="7"/>
  <c r="AR202" i="6"/>
  <c r="E148" i="7"/>
  <c r="E154" i="6"/>
  <c r="C85" i="7"/>
  <c r="D325" i="61"/>
  <c r="D133" i="61"/>
  <c r="C37" i="7"/>
  <c r="AR27" i="6"/>
  <c r="E32" i="7"/>
  <c r="E38" i="6"/>
  <c r="AR151" i="6"/>
  <c r="E78" i="7"/>
  <c r="E84" i="6"/>
  <c r="E62" i="7"/>
  <c r="E68" i="6"/>
  <c r="D169" i="61"/>
  <c r="C46" i="7"/>
  <c r="D370" i="61"/>
  <c r="C288" i="7"/>
  <c r="D337" i="61"/>
  <c r="C88" i="7"/>
  <c r="E137" i="6"/>
  <c r="E131" i="7"/>
  <c r="E115" i="7"/>
  <c r="E121" i="6"/>
  <c r="E99" i="7"/>
  <c r="E105" i="6"/>
  <c r="E83" i="7"/>
  <c r="E89" i="6"/>
  <c r="E73" i="6"/>
  <c r="E67" i="7"/>
  <c r="E51" i="7"/>
  <c r="E57" i="6"/>
  <c r="E41" i="6"/>
  <c r="E35" i="7"/>
  <c r="D93" i="61"/>
  <c r="C27" i="7"/>
  <c r="AR33" i="6"/>
  <c r="E16" i="7"/>
  <c r="E22" i="6"/>
  <c r="A22" i="6"/>
  <c r="C49" i="61"/>
  <c r="B16" i="7"/>
  <c r="E14" i="61"/>
  <c r="D199" i="7"/>
  <c r="C11" i="61"/>
  <c r="B393" i="7"/>
  <c r="D454" i="61"/>
  <c r="C309" i="7"/>
  <c r="C293" i="7"/>
  <c r="D390" i="61"/>
  <c r="D326" i="61"/>
  <c r="C277" i="7"/>
  <c r="D262" i="61"/>
  <c r="C261" i="7"/>
  <c r="D198" i="61"/>
  <c r="C245" i="7"/>
  <c r="D70" i="61"/>
  <c r="C213" i="7"/>
  <c r="D205" i="7"/>
  <c r="E38" i="61"/>
  <c r="AR82" i="6"/>
  <c r="AR40" i="6"/>
  <c r="D255" i="61"/>
  <c r="C454" i="7"/>
  <c r="D191" i="61"/>
  <c r="C438" i="7"/>
  <c r="D67" i="61"/>
  <c r="C407" i="7"/>
  <c r="D35" i="61"/>
  <c r="C399" i="7"/>
  <c r="E120" i="7"/>
  <c r="E126" i="6"/>
  <c r="E104" i="7"/>
  <c r="E110" i="6"/>
  <c r="D115" i="61"/>
  <c r="C419" i="7"/>
  <c r="E116" i="7"/>
  <c r="E122" i="6"/>
  <c r="A20" i="6"/>
  <c r="C41" i="61"/>
  <c r="B14" i="7"/>
  <c r="E62" i="61"/>
  <c r="D211" i="7"/>
  <c r="E30" i="61"/>
  <c r="D203" i="7"/>
  <c r="C487" i="7"/>
  <c r="D387" i="61"/>
  <c r="C222" i="7"/>
  <c r="D106" i="61"/>
  <c r="C514" i="7"/>
  <c r="D495" i="61"/>
  <c r="D431" i="61"/>
  <c r="C498" i="7"/>
  <c r="D367" i="61"/>
  <c r="C482" i="7"/>
  <c r="D303" i="61"/>
  <c r="C466" i="7"/>
  <c r="E27" i="61"/>
  <c r="D397" i="7"/>
  <c r="D513" i="61"/>
  <c r="C132" i="7"/>
  <c r="D385" i="61"/>
  <c r="C100" i="7"/>
  <c r="E26" i="6"/>
  <c r="E20" i="7"/>
  <c r="E12" i="7"/>
  <c r="E18" i="6"/>
  <c r="D273" i="61"/>
  <c r="C72" i="7"/>
  <c r="C44" i="7"/>
  <c r="D161" i="61"/>
  <c r="D154" i="61"/>
  <c r="C234" i="7"/>
  <c r="D322" i="61"/>
  <c r="C276" i="7"/>
  <c r="D194" i="61"/>
  <c r="C244" i="7"/>
  <c r="D91" i="61"/>
  <c r="C413" i="7"/>
  <c r="E22" i="61"/>
  <c r="D201" i="7"/>
  <c r="E171" i="6"/>
  <c r="E165" i="7"/>
  <c r="D371" i="61"/>
  <c r="C483" i="7"/>
  <c r="D243" i="61"/>
  <c r="C451" i="7"/>
  <c r="E26" i="7"/>
  <c r="E32" i="6"/>
  <c r="D89" i="61"/>
  <c r="C26" i="7"/>
  <c r="E51" i="61"/>
  <c r="D403" i="7"/>
  <c r="E19" i="61"/>
  <c r="D395" i="7"/>
  <c r="C128" i="7"/>
  <c r="D497" i="61"/>
  <c r="E128" i="7"/>
  <c r="E134" i="6"/>
  <c r="D433" i="61"/>
  <c r="C112" i="7"/>
  <c r="E118" i="6"/>
  <c r="E112" i="7"/>
  <c r="D369" i="61"/>
  <c r="C96" i="7"/>
  <c r="E96" i="7"/>
  <c r="E102" i="6"/>
  <c r="D170" i="61"/>
  <c r="C238" i="7"/>
  <c r="D83" i="61"/>
  <c r="C411" i="7"/>
  <c r="E179" i="6"/>
  <c r="E173" i="7"/>
  <c r="D82" i="61"/>
  <c r="C216" i="7"/>
  <c r="E9" i="61"/>
  <c r="D6" i="7"/>
  <c r="E6" i="7"/>
  <c r="E12" i="6"/>
  <c r="D145" i="61"/>
  <c r="C40" i="7"/>
  <c r="D209" i="61"/>
  <c r="C56" i="7"/>
  <c r="D470" i="61"/>
  <c r="C313" i="7"/>
  <c r="D406" i="61"/>
  <c r="C297" i="7"/>
  <c r="D342" i="61"/>
  <c r="C281" i="7"/>
  <c r="D278" i="61"/>
  <c r="C265" i="7"/>
  <c r="D214" i="61"/>
  <c r="C249" i="7"/>
  <c r="C233" i="7"/>
  <c r="D150" i="61"/>
  <c r="D86" i="61"/>
  <c r="C217" i="7"/>
  <c r="D46" i="61"/>
  <c r="C207" i="7"/>
  <c r="C197" i="7"/>
  <c r="D6" i="61"/>
  <c r="D138" i="61"/>
  <c r="C230" i="7"/>
  <c r="E155" i="6"/>
  <c r="E149" i="7"/>
  <c r="E22" i="7"/>
  <c r="E28" i="6"/>
  <c r="D463" i="61"/>
  <c r="C506" i="7"/>
  <c r="C490" i="7"/>
  <c r="D399" i="61"/>
  <c r="D335" i="61"/>
  <c r="C474" i="7"/>
  <c r="C458" i="7"/>
  <c r="D271" i="61"/>
  <c r="D207" i="61"/>
  <c r="C442" i="7"/>
  <c r="D143" i="61"/>
  <c r="C426" i="7"/>
  <c r="D79" i="61"/>
  <c r="C410" i="7"/>
  <c r="C401" i="7"/>
  <c r="D43" i="61"/>
  <c r="D131" i="61"/>
  <c r="C423" i="7"/>
  <c r="E64" i="7"/>
  <c r="E70" i="6"/>
  <c r="D241" i="61"/>
  <c r="C64" i="7"/>
  <c r="E152" i="6"/>
  <c r="E146" i="7"/>
  <c r="C63" i="61"/>
  <c r="B406" i="7"/>
  <c r="C31" i="61"/>
  <c r="B398" i="7"/>
  <c r="D475" i="61"/>
  <c r="C509" i="7"/>
  <c r="D411" i="61"/>
  <c r="C493" i="7"/>
  <c r="D347" i="61"/>
  <c r="C477" i="7"/>
  <c r="D283" i="61"/>
  <c r="C461" i="7"/>
  <c r="D219" i="61"/>
  <c r="C445" i="7"/>
  <c r="D155" i="61"/>
  <c r="C429" i="7"/>
  <c r="E177" i="6"/>
  <c r="E171" i="7"/>
  <c r="AR161" i="6"/>
  <c r="AR198" i="6"/>
  <c r="E150" i="6"/>
  <c r="E144" i="7"/>
  <c r="AR25" i="6"/>
  <c r="D473" i="61"/>
  <c r="C122" i="7"/>
  <c r="AR112" i="6"/>
  <c r="AR96" i="6"/>
  <c r="E80" i="6"/>
  <c r="E74" i="7"/>
  <c r="C58" i="7"/>
  <c r="D217" i="61"/>
  <c r="D338" i="61"/>
  <c r="C280" i="7"/>
  <c r="D478" i="61"/>
  <c r="C315" i="7"/>
  <c r="D414" i="61"/>
  <c r="C299" i="7"/>
  <c r="C283" i="7"/>
  <c r="D350" i="61"/>
  <c r="C50" i="61"/>
  <c r="B208" i="7"/>
  <c r="D50" i="61"/>
  <c r="C208" i="7"/>
  <c r="E18" i="61"/>
  <c r="D200" i="7"/>
  <c r="B200" i="7"/>
  <c r="C18" i="61"/>
  <c r="AR175" i="6"/>
  <c r="C327" i="7"/>
  <c r="D514" i="61"/>
  <c r="C308" i="7"/>
  <c r="D450" i="61"/>
  <c r="E196" i="6"/>
  <c r="E190" i="7"/>
  <c r="AR180" i="6"/>
  <c r="D404" i="7"/>
  <c r="E55" i="61"/>
  <c r="D23" i="61"/>
  <c r="C396" i="7"/>
  <c r="E66" i="6"/>
  <c r="E60" i="7"/>
  <c r="D225" i="61"/>
  <c r="C60" i="7"/>
  <c r="E157" i="6"/>
  <c r="E151" i="7"/>
  <c r="AR194" i="6"/>
  <c r="E156" i="7"/>
  <c r="E162" i="6"/>
  <c r="E53" i="61"/>
  <c r="D17" i="7"/>
  <c r="D21" i="61"/>
  <c r="C9" i="7"/>
  <c r="E21" i="61"/>
  <c r="D9" i="7"/>
  <c r="E118" i="7"/>
  <c r="E124" i="6"/>
  <c r="D393" i="61"/>
  <c r="C102" i="7"/>
  <c r="E60" i="6"/>
  <c r="E54" i="7"/>
  <c r="AR44" i="6"/>
  <c r="D477" i="61"/>
  <c r="C123" i="7"/>
  <c r="AR129" i="6"/>
  <c r="C107" i="7"/>
  <c r="D413" i="61"/>
  <c r="AR113" i="6"/>
  <c r="D349" i="61"/>
  <c r="C91" i="7"/>
  <c r="AR97" i="6"/>
  <c r="C75" i="7"/>
  <c r="D285" i="61"/>
  <c r="AR81" i="6"/>
  <c r="D221" i="61"/>
  <c r="C59" i="7"/>
  <c r="AR65" i="6"/>
  <c r="D157" i="61"/>
  <c r="C43" i="7"/>
  <c r="AR49" i="6"/>
  <c r="D78" i="61"/>
  <c r="C215" i="7"/>
  <c r="D206" i="7"/>
  <c r="E42" i="61"/>
  <c r="C10" i="61"/>
  <c r="B198" i="7"/>
  <c r="E10" i="61"/>
  <c r="D198" i="7"/>
  <c r="D498" i="61"/>
  <c r="C320" i="7"/>
  <c r="C304" i="7"/>
  <c r="D434" i="61"/>
  <c r="AR192" i="6"/>
  <c r="C412" i="7"/>
  <c r="D87" i="61"/>
  <c r="D47" i="61"/>
  <c r="C402" i="7"/>
  <c r="C47" i="61"/>
  <c r="B402" i="7"/>
  <c r="E15" i="61"/>
  <c r="D394" i="7"/>
  <c r="D15" i="61"/>
  <c r="C394" i="7"/>
  <c r="AR185" i="6"/>
  <c r="E169" i="6"/>
  <c r="E163" i="7"/>
  <c r="AR190" i="6"/>
  <c r="E184" i="7"/>
  <c r="E190" i="6"/>
  <c r="E137" i="7"/>
  <c r="E143" i="6"/>
  <c r="AR95" i="6"/>
  <c r="D15" i="7"/>
  <c r="E45" i="61"/>
  <c r="E161" i="7"/>
  <c r="E167" i="6"/>
  <c r="C130" i="7"/>
  <c r="D505" i="61"/>
  <c r="E114" i="7"/>
  <c r="E120" i="6"/>
  <c r="E98" i="7"/>
  <c r="E104" i="6"/>
  <c r="C82" i="7"/>
  <c r="D313" i="61"/>
  <c r="AR72" i="6"/>
  <c r="AR56" i="6"/>
  <c r="E17" i="61"/>
  <c r="D8" i="7"/>
  <c r="E135" i="7"/>
  <c r="E141" i="6"/>
  <c r="D461" i="61"/>
  <c r="C119" i="7"/>
  <c r="D397" i="61"/>
  <c r="C103" i="7"/>
  <c r="D333" i="61"/>
  <c r="C87" i="7"/>
  <c r="C71" i="7"/>
  <c r="D269" i="61"/>
  <c r="D205" i="61"/>
  <c r="C55" i="7"/>
  <c r="C39" i="7"/>
  <c r="D141" i="61"/>
  <c r="AR145" i="6"/>
  <c r="D318" i="61"/>
  <c r="C275" i="7"/>
  <c r="D190" i="61"/>
  <c r="C243" i="7"/>
  <c r="E80" i="7"/>
  <c r="E86" i="6"/>
  <c r="AR30" i="6"/>
  <c r="D482" i="61"/>
  <c r="C316" i="7"/>
  <c r="C300" i="7"/>
  <c r="D418" i="61"/>
  <c r="D455" i="61"/>
  <c r="C504" i="7"/>
  <c r="D391" i="61"/>
  <c r="C488" i="7"/>
  <c r="D199" i="61"/>
  <c r="C440" i="7"/>
  <c r="C424" i="7"/>
  <c r="D135" i="61"/>
  <c r="C400" i="7"/>
  <c r="D39" i="61"/>
  <c r="C39" i="61"/>
  <c r="B400" i="7"/>
  <c r="B392" i="7"/>
  <c r="C7" i="61"/>
  <c r="E191" i="7"/>
  <c r="E197" i="6"/>
  <c r="E164" i="7"/>
  <c r="E170" i="6"/>
  <c r="AR154" i="6"/>
  <c r="E139" i="6"/>
  <c r="E133" i="7"/>
  <c r="C117" i="7"/>
  <c r="D453" i="61"/>
  <c r="AR123" i="6"/>
  <c r="D389" i="61"/>
  <c r="C101" i="7"/>
  <c r="AR107" i="6"/>
  <c r="AR91" i="6"/>
  <c r="C69" i="7"/>
  <c r="D261" i="61"/>
  <c r="AR75" i="6"/>
  <c r="D197" i="61"/>
  <c r="C53" i="7"/>
  <c r="AR59" i="6"/>
  <c r="AR43" i="6"/>
  <c r="E27" i="6"/>
  <c r="E21" i="7"/>
  <c r="AR19" i="6"/>
  <c r="E19" i="6"/>
  <c r="E13" i="7"/>
  <c r="F3" i="7"/>
  <c r="F1" i="7" s="1"/>
  <c r="S1" i="6" s="1"/>
  <c r="E5" i="7"/>
  <c r="E11" i="6"/>
  <c r="D113" i="61"/>
  <c r="C32" i="7"/>
  <c r="D489" i="61"/>
  <c r="C126" i="7"/>
  <c r="C256" i="7"/>
  <c r="D242" i="61"/>
  <c r="AR94" i="6"/>
  <c r="AR22" i="6"/>
  <c r="AR163" i="6"/>
  <c r="D97" i="61"/>
  <c r="C28" i="7"/>
  <c r="D474" i="61"/>
  <c r="C314" i="7"/>
  <c r="D410" i="61"/>
  <c r="C298" i="7"/>
  <c r="D11" i="61"/>
  <c r="C393" i="7"/>
  <c r="D134" i="61"/>
  <c r="C229" i="7"/>
  <c r="C38" i="61"/>
  <c r="B205" i="7"/>
  <c r="D511" i="61"/>
  <c r="C518" i="7"/>
  <c r="D447" i="61"/>
  <c r="C502" i="7"/>
  <c r="C486" i="7"/>
  <c r="D383" i="61"/>
  <c r="D319" i="61"/>
  <c r="C470" i="7"/>
  <c r="D127" i="61"/>
  <c r="C422" i="7"/>
  <c r="E136" i="7"/>
  <c r="E142" i="6"/>
  <c r="AR142" i="6"/>
  <c r="D465" i="61"/>
  <c r="C120" i="7"/>
  <c r="C104" i="7"/>
  <c r="D401" i="61"/>
  <c r="D323" i="61"/>
  <c r="C471" i="7"/>
  <c r="D449" i="61"/>
  <c r="C116" i="7"/>
  <c r="E23" i="7"/>
  <c r="E29" i="6"/>
  <c r="C14" i="7"/>
  <c r="D41" i="61"/>
  <c r="AR20" i="6"/>
  <c r="D114" i="61"/>
  <c r="C224" i="7"/>
  <c r="D310" i="61"/>
  <c r="C273" i="7"/>
  <c r="D246" i="61"/>
  <c r="C257" i="7"/>
  <c r="D182" i="61"/>
  <c r="C241" i="7"/>
  <c r="C225" i="7"/>
  <c r="D118" i="61"/>
  <c r="D62" i="61"/>
  <c r="C211" i="7"/>
  <c r="D30" i="61"/>
  <c r="C203" i="7"/>
  <c r="D257" i="61"/>
  <c r="C68" i="7"/>
  <c r="E68" i="7"/>
  <c r="E74" i="6"/>
  <c r="E187" i="6"/>
  <c r="E181" i="7"/>
  <c r="D515" i="61"/>
  <c r="C519" i="7"/>
  <c r="D451" i="61"/>
  <c r="C503" i="7"/>
  <c r="AR138" i="6"/>
  <c r="AR106" i="6"/>
  <c r="D65" i="61"/>
  <c r="C20" i="7"/>
  <c r="D33" i="61"/>
  <c r="C12" i="7"/>
  <c r="D294" i="61"/>
  <c r="C269" i="7"/>
  <c r="D230" i="61"/>
  <c r="C253" i="7"/>
  <c r="C237" i="7"/>
  <c r="D166" i="61"/>
  <c r="D102" i="61"/>
  <c r="C221" i="7"/>
  <c r="C54" i="61"/>
  <c r="B209" i="7"/>
  <c r="C22" i="61"/>
  <c r="B201" i="7"/>
  <c r="AR171" i="6"/>
  <c r="D499" i="61"/>
  <c r="C515" i="7"/>
  <c r="D435" i="61"/>
  <c r="C499" i="7"/>
  <c r="C282" i="7"/>
  <c r="D346" i="61"/>
  <c r="AR32" i="6"/>
  <c r="C462" i="7"/>
  <c r="D287" i="61"/>
  <c r="D223" i="61"/>
  <c r="C446" i="7"/>
  <c r="D159" i="61"/>
  <c r="C430" i="7"/>
  <c r="D95" i="61"/>
  <c r="C414" i="7"/>
  <c r="C51" i="61"/>
  <c r="B403" i="7"/>
  <c r="C19" i="61"/>
  <c r="B395" i="7"/>
  <c r="C435" i="7"/>
  <c r="D179" i="61"/>
  <c r="E108" i="7"/>
  <c r="E114" i="6"/>
  <c r="D57" i="61"/>
  <c r="C18" i="7"/>
  <c r="AR24" i="6"/>
  <c r="D25" i="61"/>
  <c r="C10" i="7"/>
  <c r="AR16" i="6"/>
  <c r="AR179" i="6"/>
  <c r="C262" i="7"/>
  <c r="D266" i="61"/>
  <c r="D9" i="61"/>
  <c r="C6" i="7"/>
  <c r="E40" i="7"/>
  <c r="E46" i="6"/>
  <c r="D490" i="61"/>
  <c r="C318" i="7"/>
  <c r="D426" i="61"/>
  <c r="C302" i="7"/>
  <c r="AR62" i="6"/>
  <c r="D290" i="61"/>
  <c r="C268" i="7"/>
  <c r="D162" i="61"/>
  <c r="C236" i="7"/>
  <c r="C6" i="61"/>
  <c r="B197" i="7"/>
  <c r="D355" i="61"/>
  <c r="C479" i="7"/>
  <c r="E52" i="7"/>
  <c r="E58" i="6"/>
  <c r="E124" i="7"/>
  <c r="E130" i="6"/>
  <c r="E98" i="6"/>
  <c r="E92" i="7"/>
  <c r="D238" i="61"/>
  <c r="C255" i="7"/>
  <c r="C58" i="61"/>
  <c r="B210" i="7"/>
  <c r="C210" i="7"/>
  <c r="D58" i="61"/>
  <c r="D26" i="61"/>
  <c r="C202" i="7"/>
  <c r="AR191" i="6"/>
  <c r="E168" i="6"/>
  <c r="E162" i="7"/>
  <c r="C452" i="7"/>
  <c r="D247" i="61"/>
  <c r="C436" i="7"/>
  <c r="D183" i="61"/>
  <c r="D119" i="61"/>
  <c r="C420" i="7"/>
  <c r="E63" i="61"/>
  <c r="D406" i="7"/>
  <c r="D398" i="7"/>
  <c r="E31" i="61"/>
  <c r="C463" i="7"/>
  <c r="D291" i="61"/>
  <c r="E193" i="6"/>
  <c r="E187" i="7"/>
  <c r="AR177" i="6"/>
  <c r="E160" i="7"/>
  <c r="E166" i="6"/>
  <c r="AR150" i="6"/>
  <c r="D61" i="61"/>
  <c r="C19" i="7"/>
  <c r="C11" i="7"/>
  <c r="D29" i="61"/>
  <c r="C29" i="61"/>
  <c r="B11" i="7"/>
  <c r="A17" i="6"/>
  <c r="G17" i="6" s="1"/>
  <c r="B17" i="6" s="1"/>
  <c r="D259" i="61"/>
  <c r="C455" i="7"/>
  <c r="AR199" i="6"/>
  <c r="E106" i="7"/>
  <c r="E112" i="6"/>
  <c r="E90" i="7"/>
  <c r="E96" i="6"/>
  <c r="AR80" i="6"/>
  <c r="AR64" i="6"/>
  <c r="E48" i="6"/>
  <c r="E42" i="7"/>
  <c r="D153" i="61"/>
  <c r="C42" i="7"/>
  <c r="AR133" i="6"/>
  <c r="E127" i="7"/>
  <c r="E133" i="6"/>
  <c r="AR117" i="6"/>
  <c r="E117" i="6"/>
  <c r="E111" i="7"/>
  <c r="AR101" i="6"/>
  <c r="E95" i="7"/>
  <c r="E101" i="6"/>
  <c r="AR85" i="6"/>
  <c r="E85" i="6"/>
  <c r="E79" i="7"/>
  <c r="AR69" i="6"/>
  <c r="E63" i="7"/>
  <c r="E69" i="6"/>
  <c r="AR53" i="6"/>
  <c r="E47" i="7"/>
  <c r="E53" i="6"/>
  <c r="AR37" i="6"/>
  <c r="E31" i="7"/>
  <c r="E37" i="6"/>
  <c r="C84" i="7"/>
  <c r="D321" i="61"/>
  <c r="D222" i="61"/>
  <c r="C251" i="7"/>
  <c r="D158" i="61"/>
  <c r="C235" i="7"/>
  <c r="C219" i="7"/>
  <c r="D94" i="61"/>
  <c r="AR196" i="6"/>
  <c r="E148" i="6"/>
  <c r="E142" i="7"/>
  <c r="D396" i="7"/>
  <c r="E23" i="61"/>
  <c r="E167" i="7"/>
  <c r="E173" i="6"/>
  <c r="E178" i="6"/>
  <c r="E172" i="7"/>
  <c r="E147" i="6"/>
  <c r="E141" i="7"/>
  <c r="E131" i="6"/>
  <c r="E125" i="7"/>
  <c r="E115" i="6"/>
  <c r="E109" i="7"/>
  <c r="E93" i="7"/>
  <c r="E99" i="6"/>
  <c r="E83" i="6"/>
  <c r="E77" i="7"/>
  <c r="E61" i="7"/>
  <c r="E67" i="6"/>
  <c r="E45" i="7"/>
  <c r="E51" i="6"/>
  <c r="E35" i="6"/>
  <c r="E29" i="7"/>
  <c r="E17" i="7"/>
  <c r="E23" i="6"/>
  <c r="E9" i="7"/>
  <c r="E15" i="6"/>
  <c r="E177" i="7"/>
  <c r="E183" i="6"/>
  <c r="D457" i="61"/>
  <c r="C118" i="7"/>
  <c r="D306" i="61"/>
  <c r="C272" i="7"/>
  <c r="C240" i="7"/>
  <c r="D178" i="61"/>
  <c r="C42" i="61"/>
  <c r="B206" i="7"/>
  <c r="D42" i="61"/>
  <c r="C206" i="7"/>
  <c r="D10" i="61"/>
  <c r="C198" i="7"/>
  <c r="E153" i="7"/>
  <c r="E159" i="6"/>
  <c r="AR159" i="6"/>
  <c r="E160" i="6"/>
  <c r="E154" i="7"/>
  <c r="C508" i="7"/>
  <c r="D471" i="61"/>
  <c r="D407" i="61"/>
  <c r="C492" i="7"/>
  <c r="C476" i="7"/>
  <c r="D343" i="61"/>
  <c r="C460" i="7"/>
  <c r="D279" i="61"/>
  <c r="D215" i="61"/>
  <c r="C444" i="7"/>
  <c r="D402" i="7"/>
  <c r="E47" i="61"/>
  <c r="AR54" i="6"/>
  <c r="D177" i="61"/>
  <c r="C48" i="7"/>
  <c r="AR201" i="6"/>
  <c r="E185" i="6"/>
  <c r="E179" i="7"/>
  <c r="E121" i="7"/>
  <c r="E127" i="6"/>
  <c r="E111" i="6"/>
  <c r="E105" i="7"/>
  <c r="E95" i="6"/>
  <c r="E89" i="7"/>
  <c r="E79" i="6"/>
  <c r="E73" i="7"/>
  <c r="E63" i="6"/>
  <c r="E57" i="7"/>
  <c r="E47" i="6"/>
  <c r="E41" i="7"/>
  <c r="C45" i="61"/>
  <c r="B15" i="7"/>
  <c r="A21" i="6"/>
  <c r="G21" i="6" s="1"/>
  <c r="B21" i="6" s="1"/>
  <c r="C15" i="7"/>
  <c r="D45" i="61"/>
  <c r="AR13" i="6"/>
  <c r="D13" i="61"/>
  <c r="C7" i="7"/>
  <c r="D163" i="61"/>
  <c r="C431" i="7"/>
  <c r="E130" i="7"/>
  <c r="E136" i="6"/>
  <c r="A14" i="6"/>
  <c r="G14" i="6" s="1"/>
  <c r="B14" i="6" s="1"/>
  <c r="C17" i="61"/>
  <c r="B8" i="7"/>
  <c r="E8" i="7"/>
  <c r="E14" i="6"/>
  <c r="AR141" i="6"/>
  <c r="D254" i="61"/>
  <c r="C259" i="7"/>
  <c r="D305" i="61"/>
  <c r="C80" i="7"/>
  <c r="E30" i="6"/>
  <c r="E24" i="7"/>
  <c r="D81" i="61"/>
  <c r="C24" i="7"/>
  <c r="E150" i="7"/>
  <c r="E156" i="6"/>
  <c r="D327" i="61"/>
  <c r="C472" i="7"/>
  <c r="C456" i="7"/>
  <c r="D263" i="61"/>
  <c r="D71" i="61"/>
  <c r="C408" i="7"/>
  <c r="D491" i="61"/>
  <c r="C513" i="7"/>
  <c r="D427" i="61"/>
  <c r="C497" i="7"/>
  <c r="D363" i="61"/>
  <c r="C481" i="7"/>
  <c r="D299" i="61"/>
  <c r="C465" i="7"/>
  <c r="D235" i="61"/>
  <c r="C449" i="7"/>
  <c r="D171" i="61"/>
  <c r="C433" i="7"/>
  <c r="E186" i="6"/>
  <c r="E180" i="7"/>
  <c r="AR170" i="6"/>
  <c r="E123" i="6"/>
  <c r="E117" i="7"/>
  <c r="E107" i="6"/>
  <c r="E101" i="7"/>
  <c r="E91" i="6"/>
  <c r="E85" i="7"/>
  <c r="E69" i="7"/>
  <c r="E75" i="6"/>
  <c r="E53" i="7"/>
  <c r="E59" i="6"/>
  <c r="E37" i="7"/>
  <c r="E43" i="6"/>
  <c r="C21" i="7"/>
  <c r="D69" i="61"/>
  <c r="E37" i="61"/>
  <c r="D13" i="7"/>
  <c r="E5" i="61"/>
  <c r="D5" i="7"/>
  <c r="C5" i="61"/>
  <c r="B5" i="7"/>
  <c r="A11" i="6"/>
  <c r="G11" i="6" s="1"/>
  <c r="B11" i="6" s="1"/>
  <c r="E126" i="7"/>
  <c r="E132" i="6"/>
  <c r="C110" i="7"/>
  <c r="D425" i="61"/>
  <c r="D361" i="61"/>
  <c r="C94" i="7"/>
  <c r="E46" i="7"/>
  <c r="E52" i="6"/>
  <c r="D49" i="61"/>
  <c r="C16" i="7"/>
  <c r="D14" i="61"/>
  <c r="C199" i="7"/>
  <c r="E28" i="7"/>
  <c r="E34" i="6"/>
  <c r="D99" i="61"/>
  <c r="C415" i="7"/>
  <c r="D289" i="61"/>
  <c r="C76" i="7"/>
  <c r="D90" i="61"/>
  <c r="C218" i="7"/>
  <c r="C507" i="7"/>
  <c r="D467" i="61"/>
  <c r="D403" i="61"/>
  <c r="C491" i="7"/>
  <c r="D330" i="61"/>
  <c r="C278" i="7"/>
  <c r="C226" i="7"/>
  <c r="D122" i="61"/>
  <c r="E34" i="7"/>
  <c r="E40" i="6"/>
  <c r="C35" i="61"/>
  <c r="B399" i="7"/>
  <c r="AR122" i="6"/>
  <c r="D282" i="61"/>
  <c r="C266" i="7"/>
  <c r="AR29" i="6"/>
  <c r="D314" i="61"/>
  <c r="C274" i="7"/>
  <c r="D354" i="61"/>
  <c r="C284" i="7"/>
  <c r="C62" i="61"/>
  <c r="B211" i="7"/>
  <c r="B203" i="7"/>
  <c r="C30" i="61"/>
  <c r="AR187" i="6"/>
  <c r="AR36" i="6"/>
  <c r="C450" i="7"/>
  <c r="D239" i="61"/>
  <c r="D175" i="61"/>
  <c r="C434" i="7"/>
  <c r="D111" i="61"/>
  <c r="C418" i="7"/>
  <c r="D59" i="61"/>
  <c r="C405" i="7"/>
  <c r="D27" i="61"/>
  <c r="C397" i="7"/>
  <c r="C447" i="7"/>
  <c r="D227" i="61"/>
  <c r="AR26" i="6"/>
  <c r="AR18" i="6"/>
  <c r="AR78" i="6"/>
  <c r="E189" i="7"/>
  <c r="E195" i="6"/>
  <c r="D98" i="61"/>
  <c r="C220" i="7"/>
  <c r="D506" i="61"/>
  <c r="C322" i="7"/>
  <c r="C306" i="7"/>
  <c r="D442" i="61"/>
  <c r="D129" i="61"/>
  <c r="C36" i="7"/>
  <c r="D54" i="61"/>
  <c r="C209" i="7"/>
  <c r="D22" i="61"/>
  <c r="C201" i="7"/>
  <c r="D186" i="61"/>
  <c r="C242" i="7"/>
  <c r="D479" i="61"/>
  <c r="C510" i="7"/>
  <c r="C494" i="7"/>
  <c r="D415" i="61"/>
  <c r="D351" i="61"/>
  <c r="C478" i="7"/>
  <c r="AR134" i="6"/>
  <c r="AR118" i="6"/>
  <c r="AR102" i="6"/>
  <c r="D307" i="61"/>
  <c r="C467" i="7"/>
  <c r="D417" i="61"/>
  <c r="C108" i="7"/>
  <c r="A24" i="6"/>
  <c r="G24" i="6" s="1"/>
  <c r="B24" i="6" s="1"/>
  <c r="C57" i="61"/>
  <c r="B18" i="7"/>
  <c r="A16" i="6"/>
  <c r="G16" i="6" s="1"/>
  <c r="B16" i="6" s="1"/>
  <c r="C25" i="61"/>
  <c r="B10" i="7"/>
  <c r="AR12" i="6"/>
  <c r="AR46" i="6"/>
  <c r="C46" i="61"/>
  <c r="B207" i="7"/>
  <c r="E46" i="61"/>
  <c r="D207" i="7"/>
  <c r="AR155" i="6"/>
  <c r="C511" i="7"/>
  <c r="D483" i="61"/>
  <c r="D419" i="61"/>
  <c r="C495" i="7"/>
  <c r="AR58" i="6"/>
  <c r="D147" i="61"/>
  <c r="C427" i="7"/>
  <c r="D73" i="61"/>
  <c r="C22" i="7"/>
  <c r="E43" i="61"/>
  <c r="D401" i="7"/>
  <c r="D339" i="61"/>
  <c r="C475" i="7"/>
  <c r="C124" i="7"/>
  <c r="D481" i="61"/>
  <c r="D353" i="61"/>
  <c r="C92" i="7"/>
  <c r="G100" i="6"/>
  <c r="B100" i="6" s="1"/>
  <c r="G120" i="6"/>
  <c r="B120" i="6" s="1"/>
  <c r="G76" i="6"/>
  <c r="B76" i="6" s="1"/>
  <c r="G28" i="6"/>
  <c r="B28" i="6" s="1"/>
  <c r="G79" i="6"/>
  <c r="B79" i="6" s="1"/>
  <c r="G83" i="6"/>
  <c r="B83" i="6" s="1"/>
  <c r="G165" i="6"/>
  <c r="B165" i="6" s="1"/>
  <c r="G99" i="6"/>
  <c r="B99" i="6" s="1"/>
  <c r="G68" i="6"/>
  <c r="B68" i="6" s="1"/>
  <c r="G104" i="6"/>
  <c r="B104" i="6" s="1"/>
  <c r="G132" i="6"/>
  <c r="B132" i="6" s="1"/>
  <c r="G189" i="6"/>
  <c r="B189" i="6" s="1"/>
  <c r="G148" i="6"/>
  <c r="B148" i="6" s="1"/>
  <c r="G116" i="6"/>
  <c r="B116" i="6" s="1"/>
  <c r="G35" i="6"/>
  <c r="B35" i="6" s="1"/>
  <c r="G131" i="6"/>
  <c r="B131" i="6" s="1"/>
  <c r="G63" i="6"/>
  <c r="B63" i="6" s="1"/>
  <c r="G111" i="6"/>
  <c r="B111" i="6" s="1"/>
  <c r="G136" i="6"/>
  <c r="B136" i="6" s="1"/>
  <c r="G146" i="6"/>
  <c r="B146" i="6" s="1"/>
  <c r="G157" i="6"/>
  <c r="B157" i="6" s="1"/>
  <c r="G84" i="6"/>
  <c r="B84" i="6" s="1"/>
  <c r="G197" i="6"/>
  <c r="B197" i="6" s="1"/>
  <c r="G31" i="6"/>
  <c r="B31" i="6" s="1"/>
  <c r="G67" i="6"/>
  <c r="B67" i="6" s="1"/>
  <c r="G173" i="6"/>
  <c r="B173" i="6" s="1"/>
  <c r="G156" i="6"/>
  <c r="B156" i="6" s="1"/>
  <c r="G172" i="6"/>
  <c r="B172" i="6" s="1"/>
  <c r="G88" i="6"/>
  <c r="B88" i="6" s="1"/>
  <c r="G92" i="6"/>
  <c r="B92" i="6" s="1"/>
  <c r="G140" i="6"/>
  <c r="B140" i="6" s="1"/>
  <c r="G147" i="6"/>
  <c r="B147" i="6" s="1"/>
  <c r="G139" i="6"/>
  <c r="B139" i="6" s="1"/>
  <c r="G181" i="6"/>
  <c r="B181" i="6" s="1"/>
  <c r="G51" i="6"/>
  <c r="B51" i="6" s="1"/>
  <c r="G115" i="6"/>
  <c r="B115" i="6" s="1"/>
  <c r="G127" i="6"/>
  <c r="B127" i="6" s="1"/>
  <c r="AY49" i="25"/>
  <c r="BG49" i="25"/>
  <c r="BG52" i="12"/>
  <c r="AY52" i="12"/>
  <c r="BB31" i="23"/>
  <c r="BJ31" i="23"/>
  <c r="BK42" i="11"/>
  <c r="BC42" i="11"/>
  <c r="BC40" i="38"/>
  <c r="BK40" i="38"/>
  <c r="BB32" i="20"/>
  <c r="BJ32" i="20"/>
  <c r="BC32" i="29"/>
  <c r="BK32" i="29"/>
  <c r="AY25" i="12"/>
  <c r="BG25" i="12"/>
  <c r="BC24" i="36"/>
  <c r="BK24" i="36"/>
  <c r="AY31" i="25"/>
  <c r="BG31" i="25"/>
  <c r="C52" i="6"/>
  <c r="AM52" i="6" s="1"/>
  <c r="D52" i="6"/>
  <c r="J53" i="41"/>
  <c r="J49" i="41"/>
  <c r="J52" i="41"/>
  <c r="J51" i="41"/>
  <c r="J54" i="41"/>
  <c r="J50" i="41"/>
  <c r="S42" i="32"/>
  <c r="S45" i="32"/>
  <c r="S41" i="32"/>
  <c r="S44" i="32"/>
  <c r="S40" i="32"/>
  <c r="S43" i="32"/>
  <c r="R42" i="29"/>
  <c r="R45" i="29"/>
  <c r="R41" i="29"/>
  <c r="R44" i="29"/>
  <c r="R40" i="29"/>
  <c r="R43" i="29"/>
  <c r="F45" i="22"/>
  <c r="F41" i="22"/>
  <c r="F44" i="22"/>
  <c r="F40" i="22"/>
  <c r="F43" i="22"/>
  <c r="F42" i="22"/>
  <c r="F36" i="34"/>
  <c r="F32" i="34"/>
  <c r="F35" i="34"/>
  <c r="F31" i="34"/>
  <c r="F34" i="34"/>
  <c r="F33" i="34"/>
  <c r="F45" i="16"/>
  <c r="F41" i="16"/>
  <c r="F44" i="16"/>
  <c r="F40" i="16"/>
  <c r="F43" i="16"/>
  <c r="F42" i="16"/>
  <c r="F51" i="39"/>
  <c r="F54" i="39"/>
  <c r="F50" i="39"/>
  <c r="F53" i="39"/>
  <c r="F49" i="39"/>
  <c r="F52" i="39"/>
  <c r="J44" i="37"/>
  <c r="J40" i="37"/>
  <c r="J43" i="37"/>
  <c r="J42" i="37"/>
  <c r="J45" i="37"/>
  <c r="J41" i="37"/>
  <c r="K24" i="28"/>
  <c r="K27" i="28"/>
  <c r="K23" i="28"/>
  <c r="K26" i="28"/>
  <c r="K22" i="28"/>
  <c r="K25" i="28"/>
  <c r="S51" i="40"/>
  <c r="S54" i="40"/>
  <c r="S50" i="40"/>
  <c r="S53" i="40"/>
  <c r="S49" i="40"/>
  <c r="S52" i="40"/>
  <c r="S33" i="34"/>
  <c r="S36" i="34"/>
  <c r="S32" i="34"/>
  <c r="S35" i="34"/>
  <c r="S31" i="34"/>
  <c r="S34" i="34"/>
  <c r="N24" i="19"/>
  <c r="N27" i="19"/>
  <c r="N23" i="19"/>
  <c r="N26" i="19"/>
  <c r="N22" i="19"/>
  <c r="N25" i="19"/>
  <c r="R24" i="39"/>
  <c r="R27" i="39"/>
  <c r="R23" i="39"/>
  <c r="R26" i="39"/>
  <c r="R22" i="39"/>
  <c r="R25" i="39"/>
  <c r="N27" i="38"/>
  <c r="N23" i="38"/>
  <c r="N26" i="38"/>
  <c r="N22" i="38"/>
  <c r="N25" i="38"/>
  <c r="N24" i="38"/>
  <c r="V27" i="22"/>
  <c r="V23" i="22"/>
  <c r="V26" i="22"/>
  <c r="V22" i="22"/>
  <c r="V25" i="22"/>
  <c r="V24" i="22"/>
  <c r="N35" i="21"/>
  <c r="N31" i="21"/>
  <c r="N34" i="21"/>
  <c r="N33" i="21"/>
  <c r="N36" i="21"/>
  <c r="N32" i="21"/>
  <c r="R35" i="17"/>
  <c r="R31" i="17"/>
  <c r="R34" i="17"/>
  <c r="R33" i="17"/>
  <c r="R36" i="17"/>
  <c r="R32" i="17"/>
  <c r="BB52" i="17"/>
  <c r="BJ52" i="17"/>
  <c r="BJ54" i="17"/>
  <c r="BB54" i="17"/>
  <c r="F36" i="36"/>
  <c r="F32" i="36"/>
  <c r="F35" i="36"/>
  <c r="F31" i="36"/>
  <c r="F34" i="36"/>
  <c r="F33" i="36"/>
  <c r="R27" i="25"/>
  <c r="R23" i="25"/>
  <c r="R26" i="25"/>
  <c r="R22" i="25"/>
  <c r="R25" i="25"/>
  <c r="R24" i="25"/>
  <c r="K52" i="19"/>
  <c r="K51" i="19"/>
  <c r="K54" i="19"/>
  <c r="K50" i="19"/>
  <c r="K53" i="19"/>
  <c r="K49" i="19"/>
  <c r="K35" i="10"/>
  <c r="K31" i="10"/>
  <c r="K36" i="10"/>
  <c r="K32" i="10"/>
  <c r="K33" i="10"/>
  <c r="K34" i="10"/>
  <c r="BC35" i="12"/>
  <c r="BK35" i="12"/>
  <c r="W36" i="42"/>
  <c r="W35" i="42"/>
  <c r="W31" i="42"/>
  <c r="W34" i="42"/>
  <c r="W33" i="42"/>
  <c r="W32" i="42"/>
  <c r="W43" i="41"/>
  <c r="W42" i="41"/>
  <c r="W45" i="41"/>
  <c r="W41" i="41"/>
  <c r="W44" i="41"/>
  <c r="W40" i="41"/>
  <c r="BC41" i="41"/>
  <c r="BK41" i="41"/>
  <c r="Z34" i="40"/>
  <c r="Z33" i="40"/>
  <c r="Z36" i="40"/>
  <c r="Z32" i="40"/>
  <c r="Z35" i="40"/>
  <c r="Z31" i="40"/>
  <c r="W35" i="36"/>
  <c r="W31" i="36"/>
  <c r="W34" i="36"/>
  <c r="W33" i="36"/>
  <c r="W36" i="36"/>
  <c r="W32" i="36"/>
  <c r="R30" i="36"/>
  <c r="S30" i="36"/>
  <c r="O30" i="33"/>
  <c r="N30" i="33"/>
  <c r="V36" i="30"/>
  <c r="V32" i="30"/>
  <c r="V35" i="30"/>
  <c r="V31" i="30"/>
  <c r="V34" i="30"/>
  <c r="V33" i="30"/>
  <c r="F54" i="30"/>
  <c r="F50" i="30"/>
  <c r="F53" i="30"/>
  <c r="F49" i="30"/>
  <c r="F52" i="30"/>
  <c r="F51" i="30"/>
  <c r="O21" i="24"/>
  <c r="N21" i="24"/>
  <c r="BA24" i="30"/>
  <c r="BI24" i="30"/>
  <c r="BA23" i="30"/>
  <c r="BI23" i="30"/>
  <c r="J36" i="22"/>
  <c r="J32" i="22"/>
  <c r="J35" i="22"/>
  <c r="J31" i="22"/>
  <c r="J34" i="22"/>
  <c r="J33" i="22"/>
  <c r="J26" i="26"/>
  <c r="J22" i="26"/>
  <c r="J25" i="26"/>
  <c r="J24" i="26"/>
  <c r="J27" i="26"/>
  <c r="J23" i="26"/>
  <c r="R33" i="21"/>
  <c r="R36" i="21"/>
  <c r="R32" i="21"/>
  <c r="R35" i="21"/>
  <c r="R31" i="21"/>
  <c r="R34" i="21"/>
  <c r="Z42" i="33"/>
  <c r="Z45" i="33"/>
  <c r="Z41" i="33"/>
  <c r="Z44" i="33"/>
  <c r="Z40" i="33"/>
  <c r="Z43" i="33"/>
  <c r="Z26" i="26"/>
  <c r="Z22" i="26"/>
  <c r="Z25" i="26"/>
  <c r="Z24" i="26"/>
  <c r="Z27" i="26"/>
  <c r="Z23" i="26"/>
  <c r="S33" i="20"/>
  <c r="S36" i="20"/>
  <c r="S32" i="20"/>
  <c r="S35" i="20"/>
  <c r="S31" i="20"/>
  <c r="S34" i="20"/>
  <c r="K42" i="16"/>
  <c r="K45" i="16"/>
  <c r="K41" i="16"/>
  <c r="K44" i="16"/>
  <c r="K40" i="16"/>
  <c r="K43" i="16"/>
  <c r="R33" i="19"/>
  <c r="R36" i="19"/>
  <c r="R32" i="19"/>
  <c r="R35" i="19"/>
  <c r="R31" i="19"/>
  <c r="R34" i="19"/>
  <c r="J33" i="15"/>
  <c r="J36" i="15"/>
  <c r="J32" i="15"/>
  <c r="J35" i="15"/>
  <c r="J31" i="15"/>
  <c r="J34" i="15"/>
  <c r="BC51" i="19"/>
  <c r="BK51" i="19"/>
  <c r="V54" i="12"/>
  <c r="V50" i="12"/>
  <c r="V53" i="12"/>
  <c r="V49" i="12"/>
  <c r="V52" i="12"/>
  <c r="V51" i="12"/>
  <c r="R44" i="35"/>
  <c r="R40" i="35"/>
  <c r="R43" i="35"/>
  <c r="R42" i="35"/>
  <c r="R45" i="35"/>
  <c r="R41" i="35"/>
  <c r="BC43" i="29"/>
  <c r="BK43" i="29"/>
  <c r="BC45" i="29"/>
  <c r="BK45" i="29"/>
  <c r="N54" i="25"/>
  <c r="N50" i="25"/>
  <c r="N53" i="25"/>
  <c r="N49" i="25"/>
  <c r="N52" i="25"/>
  <c r="N51" i="25"/>
  <c r="V45" i="16"/>
  <c r="V41" i="16"/>
  <c r="V44" i="16"/>
  <c r="V40" i="16"/>
  <c r="V43" i="16"/>
  <c r="V42" i="16"/>
  <c r="W42" i="14"/>
  <c r="W45" i="14"/>
  <c r="W41" i="14"/>
  <c r="W44" i="14"/>
  <c r="W40" i="14"/>
  <c r="W43" i="14"/>
  <c r="F44" i="11"/>
  <c r="F40" i="11"/>
  <c r="F43" i="11"/>
  <c r="F42" i="11"/>
  <c r="F45" i="11"/>
  <c r="F41" i="11"/>
  <c r="J42" i="39"/>
  <c r="J45" i="39"/>
  <c r="J41" i="39"/>
  <c r="J44" i="39"/>
  <c r="J40" i="39"/>
  <c r="J43" i="39"/>
  <c r="BK35" i="41"/>
  <c r="BC35" i="41"/>
  <c r="V36" i="40"/>
  <c r="V32" i="40"/>
  <c r="V35" i="40"/>
  <c r="V31" i="40"/>
  <c r="V34" i="40"/>
  <c r="V33" i="40"/>
  <c r="J36" i="38"/>
  <c r="J32" i="38"/>
  <c r="J35" i="38"/>
  <c r="J31" i="38"/>
  <c r="J34" i="38"/>
  <c r="J33" i="38"/>
  <c r="V45" i="32"/>
  <c r="V41" i="32"/>
  <c r="V44" i="32"/>
  <c r="V40" i="32"/>
  <c r="V43" i="32"/>
  <c r="V42" i="32"/>
  <c r="BC51" i="29"/>
  <c r="BK51" i="29"/>
  <c r="V53" i="27"/>
  <c r="V49" i="27"/>
  <c r="V51" i="27"/>
  <c r="V54" i="27"/>
  <c r="V52" i="27"/>
  <c r="V50" i="27"/>
  <c r="BB35" i="29"/>
  <c r="BJ35" i="29"/>
  <c r="N26" i="29"/>
  <c r="N22" i="29"/>
  <c r="N25" i="29"/>
  <c r="N24" i="29"/>
  <c r="N27" i="29"/>
  <c r="N23" i="29"/>
  <c r="BB23" i="24"/>
  <c r="BJ23" i="24"/>
  <c r="BB22" i="24"/>
  <c r="BJ22" i="24"/>
  <c r="Z36" i="22"/>
  <c r="Z32" i="22"/>
  <c r="Z35" i="22"/>
  <c r="Z31" i="22"/>
  <c r="Z34" i="22"/>
  <c r="Z33" i="22"/>
  <c r="Z51" i="27"/>
  <c r="Z54" i="27"/>
  <c r="Z53" i="27"/>
  <c r="Z49" i="27"/>
  <c r="Z52" i="27"/>
  <c r="Z50" i="27"/>
  <c r="BB50" i="23"/>
  <c r="BJ50" i="23"/>
  <c r="F53" i="21"/>
  <c r="F49" i="21"/>
  <c r="F52" i="21"/>
  <c r="F51" i="21"/>
  <c r="F54" i="21"/>
  <c r="F50" i="21"/>
  <c r="R54" i="16"/>
  <c r="R50" i="16"/>
  <c r="R53" i="16"/>
  <c r="R49" i="16"/>
  <c r="R52" i="16"/>
  <c r="R51" i="16"/>
  <c r="BB23" i="20"/>
  <c r="BJ23" i="20"/>
  <c r="N26" i="17"/>
  <c r="N22" i="17"/>
  <c r="N25" i="17"/>
  <c r="N24" i="17"/>
  <c r="N27" i="17"/>
  <c r="N23" i="17"/>
  <c r="BC34" i="10"/>
  <c r="BK34" i="10"/>
  <c r="AA26" i="14"/>
  <c r="AA22" i="14"/>
  <c r="AA25" i="14"/>
  <c r="AA24" i="14"/>
  <c r="AA27" i="14"/>
  <c r="AA23" i="14"/>
  <c r="G35" i="12"/>
  <c r="G31" i="12"/>
  <c r="G34" i="12"/>
  <c r="G33" i="12"/>
  <c r="G36" i="12"/>
  <c r="G32" i="12"/>
  <c r="BC25" i="13"/>
  <c r="BK25" i="13"/>
  <c r="W43" i="11"/>
  <c r="W42" i="11"/>
  <c r="W45" i="11"/>
  <c r="W41" i="11"/>
  <c r="W44" i="11"/>
  <c r="W40" i="11"/>
  <c r="BB26" i="10"/>
  <c r="BJ26" i="10"/>
  <c r="BC49" i="20"/>
  <c r="BK49" i="20"/>
  <c r="BC51" i="20"/>
  <c r="BK51" i="20"/>
  <c r="AY40" i="18"/>
  <c r="BG40" i="18"/>
  <c r="K51" i="34"/>
  <c r="K54" i="34"/>
  <c r="K50" i="34"/>
  <c r="K53" i="34"/>
  <c r="K49" i="34"/>
  <c r="K52" i="34"/>
  <c r="K21" i="29"/>
  <c r="J21" i="29"/>
  <c r="Z36" i="32"/>
  <c r="Z32" i="32"/>
  <c r="Z35" i="32"/>
  <c r="Z31" i="32"/>
  <c r="Z34" i="32"/>
  <c r="Z33" i="32"/>
  <c r="S24" i="22"/>
  <c r="S27" i="22"/>
  <c r="S23" i="22"/>
  <c r="S26" i="22"/>
  <c r="S22" i="22"/>
  <c r="S25" i="22"/>
  <c r="AX35" i="29"/>
  <c r="BF35" i="29"/>
  <c r="AA24" i="16"/>
  <c r="AA27" i="16"/>
  <c r="AA23" i="16"/>
  <c r="AA26" i="16"/>
  <c r="AA22" i="16"/>
  <c r="AA25" i="16"/>
  <c r="BC26" i="17"/>
  <c r="BK26" i="17"/>
  <c r="BC25" i="11"/>
  <c r="BK25" i="11"/>
  <c r="BC27" i="11"/>
  <c r="BK27" i="11"/>
  <c r="J45" i="40"/>
  <c r="J41" i="40"/>
  <c r="J44" i="40"/>
  <c r="J40" i="40"/>
  <c r="J43" i="40"/>
  <c r="J42" i="40"/>
  <c r="V45" i="38"/>
  <c r="V41" i="38"/>
  <c r="V44" i="38"/>
  <c r="V40" i="38"/>
  <c r="V43" i="38"/>
  <c r="V42" i="38"/>
  <c r="Z27" i="34"/>
  <c r="Z23" i="34"/>
  <c r="Z26" i="34"/>
  <c r="Z22" i="34"/>
  <c r="Z25" i="34"/>
  <c r="Z24" i="34"/>
  <c r="BB32" i="35"/>
  <c r="BJ32" i="35"/>
  <c r="BB31" i="35"/>
  <c r="BJ31" i="35"/>
  <c r="R35" i="33"/>
  <c r="R31" i="33"/>
  <c r="R34" i="33"/>
  <c r="R33" i="33"/>
  <c r="R36" i="33"/>
  <c r="R32" i="33"/>
  <c r="AX35" i="33"/>
  <c r="BF35" i="33"/>
  <c r="N42" i="31"/>
  <c r="N45" i="31"/>
  <c r="N41" i="31"/>
  <c r="N44" i="31"/>
  <c r="N40" i="31"/>
  <c r="N43" i="31"/>
  <c r="R35" i="24"/>
  <c r="R31" i="24"/>
  <c r="R34" i="24"/>
  <c r="R33" i="24"/>
  <c r="R36" i="24"/>
  <c r="R32" i="24"/>
  <c r="V27" i="28"/>
  <c r="V23" i="28"/>
  <c r="V26" i="28"/>
  <c r="V22" i="28"/>
  <c r="V25" i="28"/>
  <c r="V24" i="28"/>
  <c r="BC24" i="30"/>
  <c r="BK24" i="30"/>
  <c r="BK23" i="30"/>
  <c r="BC23" i="30"/>
  <c r="BB53" i="29"/>
  <c r="BJ53" i="29"/>
  <c r="N33" i="23"/>
  <c r="N36" i="23"/>
  <c r="N32" i="23"/>
  <c r="N35" i="23"/>
  <c r="N31" i="23"/>
  <c r="N34" i="23"/>
  <c r="F54" i="20"/>
  <c r="F50" i="20"/>
  <c r="F53" i="20"/>
  <c r="F49" i="20"/>
  <c r="F52" i="20"/>
  <c r="F51" i="20"/>
  <c r="V54" i="18"/>
  <c r="V50" i="18"/>
  <c r="V53" i="18"/>
  <c r="V49" i="18"/>
  <c r="V52" i="18"/>
  <c r="V51" i="18"/>
  <c r="R51" i="13"/>
  <c r="R54" i="13"/>
  <c r="R50" i="13"/>
  <c r="R53" i="13"/>
  <c r="R49" i="13"/>
  <c r="R52" i="13"/>
  <c r="BA22" i="10"/>
  <c r="BI22" i="10"/>
  <c r="G27" i="10"/>
  <c r="G26" i="10"/>
  <c r="G25" i="10"/>
  <c r="G24" i="10"/>
  <c r="G23" i="10"/>
  <c r="G22" i="10"/>
  <c r="G34" i="13"/>
  <c r="G33" i="13"/>
  <c r="G36" i="13"/>
  <c r="G32" i="13"/>
  <c r="G35" i="13"/>
  <c r="G31" i="13"/>
  <c r="BC54" i="11"/>
  <c r="BK54" i="11"/>
  <c r="BK53" i="11"/>
  <c r="BC53" i="11"/>
  <c r="K45" i="41"/>
  <c r="K41" i="41"/>
  <c r="K44" i="41"/>
  <c r="K40" i="41"/>
  <c r="K43" i="41"/>
  <c r="K42" i="41"/>
  <c r="R25" i="32"/>
  <c r="R24" i="32"/>
  <c r="R27" i="32"/>
  <c r="R23" i="32"/>
  <c r="R26" i="32"/>
  <c r="R22" i="32"/>
  <c r="S27" i="29"/>
  <c r="S23" i="29"/>
  <c r="S26" i="29"/>
  <c r="S22" i="29"/>
  <c r="S25" i="29"/>
  <c r="S24" i="29"/>
  <c r="G26" i="22"/>
  <c r="G22" i="22"/>
  <c r="G25" i="22"/>
  <c r="G24" i="22"/>
  <c r="G27" i="22"/>
  <c r="G23" i="22"/>
  <c r="F43" i="34"/>
  <c r="F42" i="34"/>
  <c r="F45" i="34"/>
  <c r="F41" i="34"/>
  <c r="F44" i="34"/>
  <c r="F40" i="34"/>
  <c r="G26" i="16"/>
  <c r="G22" i="16"/>
  <c r="G25" i="16"/>
  <c r="G24" i="16"/>
  <c r="G27" i="16"/>
  <c r="G23" i="16"/>
  <c r="G36" i="39"/>
  <c r="G32" i="39"/>
  <c r="G35" i="39"/>
  <c r="G31" i="39"/>
  <c r="G34" i="39"/>
  <c r="G33" i="39"/>
  <c r="K25" i="37"/>
  <c r="K24" i="37"/>
  <c r="K27" i="37"/>
  <c r="K23" i="37"/>
  <c r="K26" i="37"/>
  <c r="K22" i="37"/>
  <c r="J43" i="28"/>
  <c r="J42" i="28"/>
  <c r="J45" i="28"/>
  <c r="J41" i="28"/>
  <c r="J44" i="28"/>
  <c r="J40" i="28"/>
  <c r="R34" i="40"/>
  <c r="R33" i="40"/>
  <c r="R36" i="40"/>
  <c r="R32" i="40"/>
  <c r="R35" i="40"/>
  <c r="R31" i="40"/>
  <c r="S44" i="34"/>
  <c r="S40" i="34"/>
  <c r="S43" i="34"/>
  <c r="S42" i="34"/>
  <c r="S45" i="34"/>
  <c r="S41" i="34"/>
  <c r="O43" i="19"/>
  <c r="O42" i="19"/>
  <c r="O45" i="19"/>
  <c r="O44" i="19"/>
  <c r="O41" i="19"/>
  <c r="O40" i="19"/>
  <c r="S52" i="39"/>
  <c r="S51" i="39"/>
  <c r="S54" i="39"/>
  <c r="S50" i="39"/>
  <c r="S53" i="39"/>
  <c r="S49" i="39"/>
  <c r="N52" i="38"/>
  <c r="N51" i="38"/>
  <c r="N54" i="38"/>
  <c r="N50" i="38"/>
  <c r="N53" i="38"/>
  <c r="N49" i="38"/>
  <c r="BC54" i="36"/>
  <c r="BK54" i="36"/>
  <c r="BI54" i="30"/>
  <c r="BA54" i="30"/>
  <c r="V52" i="22"/>
  <c r="V51" i="22"/>
  <c r="V54" i="22"/>
  <c r="V50" i="22"/>
  <c r="V53" i="22"/>
  <c r="V49" i="22"/>
  <c r="O45" i="21"/>
  <c r="O41" i="21"/>
  <c r="O44" i="21"/>
  <c r="O40" i="21"/>
  <c r="O43" i="21"/>
  <c r="O42" i="21"/>
  <c r="S45" i="17"/>
  <c r="S41" i="17"/>
  <c r="S44" i="17"/>
  <c r="S40" i="17"/>
  <c r="S43" i="17"/>
  <c r="S42" i="17"/>
  <c r="S39" i="12"/>
  <c r="R39" i="12"/>
  <c r="D17" i="6"/>
  <c r="C17" i="6"/>
  <c r="AM17" i="6" s="1"/>
  <c r="F43" i="36"/>
  <c r="F42" i="36"/>
  <c r="F45" i="36"/>
  <c r="F41" i="36"/>
  <c r="F44" i="36"/>
  <c r="F40" i="36"/>
  <c r="S53" i="23"/>
  <c r="S49" i="23"/>
  <c r="S52" i="23"/>
  <c r="S51" i="23"/>
  <c r="S54" i="23"/>
  <c r="S50" i="23"/>
  <c r="K25" i="19"/>
  <c r="K24" i="19"/>
  <c r="K27" i="19"/>
  <c r="K23" i="19"/>
  <c r="K26" i="19"/>
  <c r="K22" i="19"/>
  <c r="BC41" i="10"/>
  <c r="BK41" i="10"/>
  <c r="J45" i="10"/>
  <c r="J44" i="10"/>
  <c r="J43" i="10"/>
  <c r="J42" i="10"/>
  <c r="J41" i="10"/>
  <c r="J40" i="10"/>
  <c r="F33" i="17"/>
  <c r="F36" i="17"/>
  <c r="F32" i="17"/>
  <c r="F35" i="17"/>
  <c r="F31" i="17"/>
  <c r="F34" i="17"/>
  <c r="BC42" i="15"/>
  <c r="BK42" i="15"/>
  <c r="N24" i="13"/>
  <c r="N27" i="13"/>
  <c r="N23" i="13"/>
  <c r="N26" i="13"/>
  <c r="N22" i="13"/>
  <c r="N25" i="13"/>
  <c r="BC24" i="42"/>
  <c r="BK24" i="42"/>
  <c r="BK23" i="42"/>
  <c r="BC23" i="42"/>
  <c r="N36" i="42"/>
  <c r="N32" i="42"/>
  <c r="N35" i="42"/>
  <c r="N31" i="42"/>
  <c r="N34" i="42"/>
  <c r="N33" i="42"/>
  <c r="J39" i="42"/>
  <c r="K39" i="42"/>
  <c r="Z45" i="40"/>
  <c r="Z41" i="40"/>
  <c r="Z44" i="40"/>
  <c r="Z40" i="40"/>
  <c r="Z43" i="40"/>
  <c r="Z42" i="40"/>
  <c r="W42" i="36"/>
  <c r="W45" i="36"/>
  <c r="W41" i="36"/>
  <c r="W44" i="36"/>
  <c r="W40" i="36"/>
  <c r="W43" i="36"/>
  <c r="W48" i="34"/>
  <c r="V48" i="34"/>
  <c r="BC41" i="35"/>
  <c r="BK41" i="35"/>
  <c r="O53" i="30"/>
  <c r="O49" i="30"/>
  <c r="O52" i="30"/>
  <c r="O51" i="30"/>
  <c r="O54" i="30"/>
  <c r="O50" i="30"/>
  <c r="BF23" i="33"/>
  <c r="AX23" i="33"/>
  <c r="AX26" i="33"/>
  <c r="BF26" i="33"/>
  <c r="BC34" i="29"/>
  <c r="BK34" i="29"/>
  <c r="AA45" i="24"/>
  <c r="AA41" i="24"/>
  <c r="AA44" i="24"/>
  <c r="AA40" i="24"/>
  <c r="AA43" i="24"/>
  <c r="AA42" i="24"/>
  <c r="N45" i="22"/>
  <c r="N41" i="22"/>
  <c r="N44" i="22"/>
  <c r="N40" i="22"/>
  <c r="N43" i="22"/>
  <c r="N42" i="22"/>
  <c r="V53" i="21"/>
  <c r="V49" i="21"/>
  <c r="V52" i="21"/>
  <c r="V51" i="21"/>
  <c r="V54" i="21"/>
  <c r="V50" i="21"/>
  <c r="AA51" i="25"/>
  <c r="AA54" i="25"/>
  <c r="AA50" i="25"/>
  <c r="AA53" i="25"/>
  <c r="AA49" i="25"/>
  <c r="AA52" i="25"/>
  <c r="N54" i="20"/>
  <c r="N50" i="20"/>
  <c r="N53" i="20"/>
  <c r="N49" i="20"/>
  <c r="N52" i="20"/>
  <c r="N51" i="20"/>
  <c r="AX52" i="29"/>
  <c r="BF52" i="29"/>
  <c r="BF54" i="29"/>
  <c r="AX54" i="29"/>
  <c r="BB34" i="24"/>
  <c r="BJ34" i="24"/>
  <c r="BJ36" i="24"/>
  <c r="BB36" i="24"/>
  <c r="R27" i="20"/>
  <c r="R23" i="20"/>
  <c r="R26" i="20"/>
  <c r="R22" i="20"/>
  <c r="R25" i="20"/>
  <c r="R24" i="20"/>
  <c r="BB51" i="20"/>
  <c r="BJ51" i="20"/>
  <c r="BB50" i="20"/>
  <c r="BJ50" i="20"/>
  <c r="R51" i="15"/>
  <c r="R54" i="15"/>
  <c r="R50" i="15"/>
  <c r="R53" i="15"/>
  <c r="R49" i="15"/>
  <c r="R52" i="15"/>
  <c r="V36" i="12"/>
  <c r="V32" i="12"/>
  <c r="V35" i="12"/>
  <c r="V31" i="12"/>
  <c r="V34" i="12"/>
  <c r="V33" i="12"/>
  <c r="O30" i="11"/>
  <c r="N30" i="11"/>
  <c r="BC43" i="11"/>
  <c r="BK43" i="11"/>
  <c r="BC45" i="11"/>
  <c r="BK45" i="11"/>
  <c r="BC40" i="20"/>
  <c r="BK40" i="20"/>
  <c r="BC34" i="15"/>
  <c r="BK34" i="15"/>
  <c r="BC36" i="15"/>
  <c r="BK36" i="15"/>
  <c r="BC22" i="12"/>
  <c r="BK22" i="12"/>
  <c r="BC32" i="37"/>
  <c r="BK32" i="37"/>
  <c r="F34" i="28"/>
  <c r="F33" i="28"/>
  <c r="F36" i="28"/>
  <c r="F32" i="28"/>
  <c r="F35" i="28"/>
  <c r="F31" i="28"/>
  <c r="S25" i="31"/>
  <c r="S24" i="31"/>
  <c r="S27" i="31"/>
  <c r="S23" i="31"/>
  <c r="S26" i="31"/>
  <c r="S22" i="31"/>
  <c r="O35" i="25"/>
  <c r="O31" i="25"/>
  <c r="O34" i="25"/>
  <c r="O33" i="25"/>
  <c r="O36" i="25"/>
  <c r="O32" i="25"/>
  <c r="W26" i="16"/>
  <c r="W22" i="16"/>
  <c r="W25" i="16"/>
  <c r="W24" i="16"/>
  <c r="W27" i="16"/>
  <c r="W23" i="16"/>
  <c r="V25" i="14"/>
  <c r="V24" i="14"/>
  <c r="V27" i="14"/>
  <c r="V23" i="14"/>
  <c r="V26" i="14"/>
  <c r="V22" i="14"/>
  <c r="BC44" i="19"/>
  <c r="BK44" i="19"/>
  <c r="G25" i="11"/>
  <c r="G24" i="11"/>
  <c r="G27" i="11"/>
  <c r="G23" i="11"/>
  <c r="G26" i="11"/>
  <c r="G22" i="11"/>
  <c r="K27" i="39"/>
  <c r="K23" i="39"/>
  <c r="K26" i="39"/>
  <c r="K22" i="39"/>
  <c r="K25" i="39"/>
  <c r="K24" i="39"/>
  <c r="V43" i="40"/>
  <c r="V42" i="40"/>
  <c r="V45" i="40"/>
  <c r="V41" i="40"/>
  <c r="V44" i="40"/>
  <c r="V40" i="40"/>
  <c r="J44" i="38"/>
  <c r="J43" i="38"/>
  <c r="J42" i="38"/>
  <c r="J45" i="38"/>
  <c r="J41" i="38"/>
  <c r="J40" i="38"/>
  <c r="K25" i="31"/>
  <c r="K24" i="31"/>
  <c r="K27" i="31"/>
  <c r="K23" i="31"/>
  <c r="K26" i="31"/>
  <c r="K22" i="31"/>
  <c r="J43" i="27"/>
  <c r="J42" i="27"/>
  <c r="J45" i="27"/>
  <c r="J41" i="27"/>
  <c r="J44" i="27"/>
  <c r="J40" i="27"/>
  <c r="Z43" i="22"/>
  <c r="Z42" i="22"/>
  <c r="Z45" i="22"/>
  <c r="Z41" i="22"/>
  <c r="Z44" i="22"/>
  <c r="Z40" i="22"/>
  <c r="G34" i="21"/>
  <c r="G33" i="21"/>
  <c r="G36" i="21"/>
  <c r="G32" i="21"/>
  <c r="G35" i="21"/>
  <c r="G31" i="21"/>
  <c r="S35" i="16"/>
  <c r="S31" i="16"/>
  <c r="S34" i="16"/>
  <c r="S33" i="16"/>
  <c r="S36" i="16"/>
  <c r="S32" i="16"/>
  <c r="O54" i="17"/>
  <c r="O50" i="17"/>
  <c r="O53" i="17"/>
  <c r="O49" i="17"/>
  <c r="O52" i="17"/>
  <c r="O51" i="17"/>
  <c r="F48" i="23"/>
  <c r="G48" i="23"/>
  <c r="BC32" i="19"/>
  <c r="BK32" i="19"/>
  <c r="K39" i="11"/>
  <c r="J39" i="11"/>
  <c r="BB43" i="10"/>
  <c r="BJ43" i="10"/>
  <c r="BC32" i="17"/>
  <c r="BK32" i="17"/>
  <c r="BK31" i="17"/>
  <c r="BC31" i="17"/>
  <c r="J44" i="13"/>
  <c r="J40" i="13"/>
  <c r="J43" i="13"/>
  <c r="J42" i="13"/>
  <c r="J45" i="13"/>
  <c r="J41" i="13"/>
  <c r="V26" i="11"/>
  <c r="V22" i="11"/>
  <c r="V25" i="11"/>
  <c r="V24" i="11"/>
  <c r="V27" i="11"/>
  <c r="V23" i="11"/>
  <c r="BC36" i="11"/>
  <c r="BK36" i="11"/>
  <c r="BK35" i="11"/>
  <c r="BC35" i="11"/>
  <c r="AA43" i="12"/>
  <c r="BK22" i="41"/>
  <c r="BC22" i="41"/>
  <c r="BC34" i="38"/>
  <c r="BK34" i="38"/>
  <c r="BK36" i="38"/>
  <c r="BC36" i="38"/>
  <c r="K33" i="34"/>
  <c r="K36" i="34"/>
  <c r="K32" i="34"/>
  <c r="K35" i="34"/>
  <c r="K31" i="34"/>
  <c r="K34" i="34"/>
  <c r="AA42" i="32"/>
  <c r="AA45" i="32"/>
  <c r="AA41" i="32"/>
  <c r="AA44" i="32"/>
  <c r="AA40" i="32"/>
  <c r="AA43" i="32"/>
  <c r="R54" i="22"/>
  <c r="R50" i="22"/>
  <c r="R53" i="22"/>
  <c r="R49" i="22"/>
  <c r="R52" i="22"/>
  <c r="R51" i="22"/>
  <c r="Z54" i="16"/>
  <c r="Z50" i="16"/>
  <c r="Z53" i="16"/>
  <c r="Z49" i="16"/>
  <c r="Z52" i="16"/>
  <c r="Z51" i="16"/>
  <c r="F44" i="41"/>
  <c r="F40" i="41"/>
  <c r="F43" i="41"/>
  <c r="F42" i="41"/>
  <c r="F45" i="41"/>
  <c r="F41" i="41"/>
  <c r="BC51" i="41"/>
  <c r="BK51" i="41"/>
  <c r="G24" i="40"/>
  <c r="G27" i="40"/>
  <c r="G23" i="40"/>
  <c r="G26" i="40"/>
  <c r="G22" i="40"/>
  <c r="G25" i="40"/>
  <c r="N26" i="39"/>
  <c r="N22" i="39"/>
  <c r="N25" i="39"/>
  <c r="N24" i="39"/>
  <c r="N27" i="39"/>
  <c r="N23" i="39"/>
  <c r="S24" i="38"/>
  <c r="S27" i="38"/>
  <c r="S23" i="38"/>
  <c r="S26" i="38"/>
  <c r="S22" i="38"/>
  <c r="S25" i="38"/>
  <c r="BC53" i="37"/>
  <c r="BK53" i="37"/>
  <c r="O30" i="36"/>
  <c r="N30" i="36"/>
  <c r="F35" i="35"/>
  <c r="F31" i="35"/>
  <c r="F34" i="35"/>
  <c r="F33" i="35"/>
  <c r="F36" i="35"/>
  <c r="F32" i="35"/>
  <c r="N45" i="28"/>
  <c r="N41" i="28"/>
  <c r="N44" i="28"/>
  <c r="N40" i="28"/>
  <c r="N43" i="28"/>
  <c r="N42" i="28"/>
  <c r="R42" i="33"/>
  <c r="R45" i="33"/>
  <c r="R41" i="33"/>
  <c r="R44" i="33"/>
  <c r="R40" i="33"/>
  <c r="R43" i="33"/>
  <c r="AA23" i="29"/>
  <c r="R42" i="24"/>
  <c r="R45" i="24"/>
  <c r="R41" i="24"/>
  <c r="R44" i="24"/>
  <c r="R40" i="24"/>
  <c r="R43" i="24"/>
  <c r="W51" i="28"/>
  <c r="W54" i="28"/>
  <c r="W50" i="28"/>
  <c r="W53" i="28"/>
  <c r="W49" i="28"/>
  <c r="W52" i="28"/>
  <c r="O51" i="23"/>
  <c r="O54" i="23"/>
  <c r="O50" i="23"/>
  <c r="O53" i="23"/>
  <c r="O49" i="23"/>
  <c r="O52" i="23"/>
  <c r="F36" i="20"/>
  <c r="F32" i="20"/>
  <c r="F35" i="20"/>
  <c r="F31" i="20"/>
  <c r="F34" i="20"/>
  <c r="F33" i="20"/>
  <c r="AY42" i="25"/>
  <c r="BG42" i="25"/>
  <c r="BG41" i="25"/>
  <c r="AY41" i="25"/>
  <c r="O24" i="18"/>
  <c r="O27" i="18"/>
  <c r="O23" i="18"/>
  <c r="O26" i="18"/>
  <c r="O22" i="18"/>
  <c r="O25" i="18"/>
  <c r="BB35" i="17"/>
  <c r="BJ35" i="17"/>
  <c r="G42" i="14"/>
  <c r="G45" i="14"/>
  <c r="G41" i="14"/>
  <c r="G44" i="14"/>
  <c r="G40" i="14"/>
  <c r="G43" i="14"/>
  <c r="BB31" i="10"/>
  <c r="BJ31" i="10"/>
  <c r="BC45" i="13"/>
  <c r="BK45" i="13"/>
  <c r="BK44" i="13"/>
  <c r="BC44" i="13"/>
  <c r="W34" i="13"/>
  <c r="W33" i="13"/>
  <c r="W36" i="13"/>
  <c r="W32" i="13"/>
  <c r="W35" i="13"/>
  <c r="W31" i="13"/>
  <c r="BC36" i="20"/>
  <c r="BK36" i="20"/>
  <c r="BC25" i="15"/>
  <c r="BK25" i="15"/>
  <c r="BG27" i="12"/>
  <c r="AY27" i="12"/>
  <c r="G24" i="42"/>
  <c r="G27" i="42"/>
  <c r="G23" i="42"/>
  <c r="G26" i="42"/>
  <c r="G22" i="42"/>
  <c r="G25" i="42"/>
  <c r="R44" i="37"/>
  <c r="R40" i="37"/>
  <c r="R43" i="37"/>
  <c r="R42" i="37"/>
  <c r="R45" i="37"/>
  <c r="R41" i="37"/>
  <c r="V35" i="31"/>
  <c r="V31" i="31"/>
  <c r="V34" i="31"/>
  <c r="V33" i="31"/>
  <c r="V36" i="31"/>
  <c r="V32" i="31"/>
  <c r="J42" i="24"/>
  <c r="J45" i="24"/>
  <c r="J41" i="24"/>
  <c r="J44" i="24"/>
  <c r="J40" i="24"/>
  <c r="J43" i="24"/>
  <c r="F24" i="19"/>
  <c r="F27" i="19"/>
  <c r="F23" i="19"/>
  <c r="F26" i="19"/>
  <c r="F22" i="19"/>
  <c r="F25" i="19"/>
  <c r="J42" i="23"/>
  <c r="J45" i="23"/>
  <c r="J44" i="23"/>
  <c r="J41" i="23"/>
  <c r="J40" i="23"/>
  <c r="J43" i="23"/>
  <c r="N54" i="40"/>
  <c r="N50" i="40"/>
  <c r="N53" i="40"/>
  <c r="N49" i="40"/>
  <c r="N52" i="40"/>
  <c r="N51" i="40"/>
  <c r="K51" i="36"/>
  <c r="K54" i="36"/>
  <c r="K50" i="36"/>
  <c r="K53" i="36"/>
  <c r="K49" i="36"/>
  <c r="K52" i="36"/>
  <c r="S24" i="28"/>
  <c r="S27" i="28"/>
  <c r="S23" i="28"/>
  <c r="S26" i="28"/>
  <c r="S22" i="28"/>
  <c r="S25" i="28"/>
  <c r="F53" i="15"/>
  <c r="F49" i="15"/>
  <c r="F52" i="15"/>
  <c r="F51" i="15"/>
  <c r="F54" i="15"/>
  <c r="F50" i="15"/>
  <c r="N53" i="37"/>
  <c r="N49" i="37"/>
  <c r="N52" i="37"/>
  <c r="N51" i="37"/>
  <c r="N54" i="37"/>
  <c r="N50" i="37"/>
  <c r="V44" i="19"/>
  <c r="V43" i="19"/>
  <c r="V42" i="19"/>
  <c r="V41" i="19"/>
  <c r="V40" i="19"/>
  <c r="V45" i="19"/>
  <c r="K33" i="14"/>
  <c r="K36" i="14"/>
  <c r="K32" i="14"/>
  <c r="K35" i="14"/>
  <c r="K31" i="14"/>
  <c r="K34" i="14"/>
  <c r="N24" i="41"/>
  <c r="N27" i="41"/>
  <c r="N23" i="41"/>
  <c r="N25" i="41"/>
  <c r="N22" i="41"/>
  <c r="N26" i="41"/>
  <c r="AX53" i="33"/>
  <c r="BF53" i="33"/>
  <c r="K33" i="30"/>
  <c r="K36" i="30"/>
  <c r="K32" i="30"/>
  <c r="K35" i="30"/>
  <c r="K31" i="30"/>
  <c r="K34" i="30"/>
  <c r="BC40" i="30"/>
  <c r="BK40" i="30"/>
  <c r="V35" i="26"/>
  <c r="V31" i="26"/>
  <c r="V34" i="26"/>
  <c r="V33" i="26"/>
  <c r="V36" i="26"/>
  <c r="V32" i="26"/>
  <c r="F53" i="26"/>
  <c r="F49" i="26"/>
  <c r="F52" i="26"/>
  <c r="F51" i="26"/>
  <c r="F54" i="26"/>
  <c r="F50" i="26"/>
  <c r="N42" i="15"/>
  <c r="N45" i="15"/>
  <c r="N41" i="15"/>
  <c r="N44" i="15"/>
  <c r="N40" i="15"/>
  <c r="N43" i="15"/>
  <c r="F25" i="36"/>
  <c r="F24" i="36"/>
  <c r="F27" i="36"/>
  <c r="F23" i="36"/>
  <c r="F26" i="36"/>
  <c r="F22" i="36"/>
  <c r="BJ52" i="35"/>
  <c r="BB52" i="35"/>
  <c r="S45" i="23"/>
  <c r="S41" i="23"/>
  <c r="S40" i="23"/>
  <c r="S44" i="23"/>
  <c r="S43" i="23"/>
  <c r="S42" i="23"/>
  <c r="K45" i="19"/>
  <c r="K44" i="19"/>
  <c r="K43" i="19"/>
  <c r="K42" i="19"/>
  <c r="K41" i="19"/>
  <c r="K40" i="19"/>
  <c r="BA50" i="10"/>
  <c r="BI50" i="10"/>
  <c r="J54" i="10"/>
  <c r="J53" i="10"/>
  <c r="J52" i="10"/>
  <c r="J51" i="10"/>
  <c r="J50" i="10"/>
  <c r="J49" i="10"/>
  <c r="O39" i="10"/>
  <c r="N39" i="10"/>
  <c r="T42" i="10"/>
  <c r="W42" i="10"/>
  <c r="Y42" i="10"/>
  <c r="R42" i="10"/>
  <c r="AA42" i="10"/>
  <c r="AY49" i="18"/>
  <c r="BG49" i="18"/>
  <c r="AY51" i="18"/>
  <c r="BG51" i="18"/>
  <c r="N53" i="13"/>
  <c r="N49" i="13"/>
  <c r="N52" i="13"/>
  <c r="N51" i="13"/>
  <c r="N54" i="13"/>
  <c r="N50" i="13"/>
  <c r="N51" i="42"/>
  <c r="N54" i="42"/>
  <c r="N50" i="42"/>
  <c r="N52" i="42"/>
  <c r="N53" i="42"/>
  <c r="N49" i="42"/>
  <c r="V36" i="41"/>
  <c r="V35" i="41"/>
  <c r="V31" i="41"/>
  <c r="V34" i="41"/>
  <c r="V32" i="41"/>
  <c r="V33" i="41"/>
  <c r="F30" i="38"/>
  <c r="G30" i="38"/>
  <c r="BK23" i="36"/>
  <c r="BC23" i="36"/>
  <c r="BC31" i="36"/>
  <c r="BK31" i="36"/>
  <c r="Z33" i="36"/>
  <c r="BC23" i="35"/>
  <c r="BK23" i="35"/>
  <c r="BK22" i="35"/>
  <c r="BC22" i="35"/>
  <c r="N21" i="34"/>
  <c r="O21" i="34"/>
  <c r="N36" i="30"/>
  <c r="N32" i="30"/>
  <c r="N35" i="30"/>
  <c r="N31" i="30"/>
  <c r="N34" i="30"/>
  <c r="N33" i="30"/>
  <c r="O21" i="32"/>
  <c r="N21" i="32"/>
  <c r="Z24" i="24"/>
  <c r="Z27" i="24"/>
  <c r="Z23" i="24"/>
  <c r="Z26" i="24"/>
  <c r="Z22" i="24"/>
  <c r="Z25" i="24"/>
  <c r="G54" i="24"/>
  <c r="G50" i="24"/>
  <c r="G53" i="24"/>
  <c r="G49" i="24"/>
  <c r="G52" i="24"/>
  <c r="G51" i="24"/>
  <c r="O30" i="26"/>
  <c r="N30" i="26"/>
  <c r="K24" i="22"/>
  <c r="K27" i="22"/>
  <c r="K23" i="22"/>
  <c r="K26" i="22"/>
  <c r="K22" i="22"/>
  <c r="K25" i="22"/>
  <c r="J33" i="26"/>
  <c r="J36" i="26"/>
  <c r="J32" i="26"/>
  <c r="J35" i="26"/>
  <c r="J31" i="26"/>
  <c r="J34" i="26"/>
  <c r="R26" i="21"/>
  <c r="R22" i="21"/>
  <c r="R25" i="21"/>
  <c r="R24" i="21"/>
  <c r="R27" i="21"/>
  <c r="R23" i="21"/>
  <c r="Z53" i="33"/>
  <c r="Z49" i="33"/>
  <c r="Z52" i="33"/>
  <c r="Z51" i="33"/>
  <c r="Z54" i="33"/>
  <c r="Z50" i="33"/>
  <c r="BB34" i="23"/>
  <c r="BJ34" i="23"/>
  <c r="BJ36" i="23"/>
  <c r="BB36" i="23"/>
  <c r="O21" i="16"/>
  <c r="N21" i="16"/>
  <c r="J54" i="16"/>
  <c r="J50" i="16"/>
  <c r="J53" i="16"/>
  <c r="J49" i="16"/>
  <c r="J52" i="16"/>
  <c r="J51" i="16"/>
  <c r="W48" i="15"/>
  <c r="V48" i="15"/>
  <c r="S45" i="19"/>
  <c r="S41" i="19"/>
  <c r="S44" i="19"/>
  <c r="S43" i="19"/>
  <c r="S42" i="19"/>
  <c r="S40" i="19"/>
  <c r="K25" i="15"/>
  <c r="K24" i="15"/>
  <c r="K27" i="15"/>
  <c r="K23" i="15"/>
  <c r="K26" i="15"/>
  <c r="K22" i="15"/>
  <c r="O53" i="12"/>
  <c r="O49" i="12"/>
  <c r="O52" i="12"/>
  <c r="O51" i="12"/>
  <c r="O54" i="12"/>
  <c r="O50" i="12"/>
  <c r="G44" i="28"/>
  <c r="G40" i="28"/>
  <c r="G43" i="28"/>
  <c r="G42" i="28"/>
  <c r="G45" i="28"/>
  <c r="G41" i="28"/>
  <c r="S54" i="31"/>
  <c r="S50" i="31"/>
  <c r="S53" i="31"/>
  <c r="S49" i="31"/>
  <c r="S52" i="31"/>
  <c r="S51" i="31"/>
  <c r="N43" i="25"/>
  <c r="N42" i="25"/>
  <c r="N45" i="25"/>
  <c r="N41" i="25"/>
  <c r="N44" i="25"/>
  <c r="N40" i="25"/>
  <c r="V52" i="16"/>
  <c r="V51" i="16"/>
  <c r="V54" i="16"/>
  <c r="V50" i="16"/>
  <c r="V53" i="16"/>
  <c r="V49" i="16"/>
  <c r="W53" i="14"/>
  <c r="W49" i="14"/>
  <c r="W52" i="14"/>
  <c r="W51" i="14"/>
  <c r="W54" i="14"/>
  <c r="W50" i="14"/>
  <c r="BC36" i="18"/>
  <c r="BK36" i="18"/>
  <c r="G54" i="11"/>
  <c r="G50" i="11"/>
  <c r="G53" i="11"/>
  <c r="G49" i="11"/>
  <c r="G52" i="11"/>
  <c r="G51" i="11"/>
  <c r="K43" i="12"/>
  <c r="AA52" i="39"/>
  <c r="AA51" i="39"/>
  <c r="AA54" i="39"/>
  <c r="AA50" i="39"/>
  <c r="AA53" i="39"/>
  <c r="AA49" i="39"/>
  <c r="V25" i="40"/>
  <c r="V24" i="40"/>
  <c r="V27" i="40"/>
  <c r="V23" i="40"/>
  <c r="V26" i="40"/>
  <c r="V22" i="40"/>
  <c r="BC27" i="37"/>
  <c r="BK27" i="37"/>
  <c r="BK26" i="37"/>
  <c r="BC26" i="37"/>
  <c r="BC53" i="38"/>
  <c r="BK53" i="38"/>
  <c r="J25" i="38"/>
  <c r="J24" i="38"/>
  <c r="J27" i="38"/>
  <c r="J23" i="38"/>
  <c r="J26" i="38"/>
  <c r="J22" i="38"/>
  <c r="BC31" i="35"/>
  <c r="BK31" i="35"/>
  <c r="BK33" i="35"/>
  <c r="BC33" i="35"/>
  <c r="BJ41" i="35"/>
  <c r="BB41" i="35"/>
  <c r="K54" i="31"/>
  <c r="K50" i="31"/>
  <c r="K53" i="31"/>
  <c r="K49" i="31"/>
  <c r="K52" i="31"/>
  <c r="K51" i="31"/>
  <c r="V52" i="32"/>
  <c r="V51" i="32"/>
  <c r="V54" i="32"/>
  <c r="V50" i="32"/>
  <c r="V53" i="32"/>
  <c r="V49" i="32"/>
  <c r="BJ43" i="29"/>
  <c r="BB43" i="29"/>
  <c r="W26" i="27"/>
  <c r="W22" i="27"/>
  <c r="W25" i="27"/>
  <c r="W24" i="27"/>
  <c r="W27" i="27"/>
  <c r="W23" i="27"/>
  <c r="G39" i="32"/>
  <c r="F39" i="32"/>
  <c r="K48" i="33"/>
  <c r="J48" i="33"/>
  <c r="BA44" i="30"/>
  <c r="BI44" i="30"/>
  <c r="O36" i="29"/>
  <c r="O32" i="29"/>
  <c r="O35" i="29"/>
  <c r="O31" i="29"/>
  <c r="O34" i="29"/>
  <c r="O33" i="29"/>
  <c r="AA45" i="23"/>
  <c r="AA44" i="23"/>
  <c r="AA41" i="23"/>
  <c r="AA40" i="23"/>
  <c r="AA43" i="23"/>
  <c r="AA42" i="23"/>
  <c r="AA43" i="21"/>
  <c r="AA42" i="21"/>
  <c r="AA45" i="21"/>
  <c r="AA41" i="21"/>
  <c r="AA44" i="21"/>
  <c r="AA40" i="21"/>
  <c r="BF25" i="29"/>
  <c r="AX25" i="29"/>
  <c r="Z25" i="27"/>
  <c r="Z24" i="27"/>
  <c r="Z27" i="27"/>
  <c r="Z23" i="27"/>
  <c r="Z26" i="27"/>
  <c r="Z22" i="27"/>
  <c r="BJ50" i="24"/>
  <c r="BB50" i="24"/>
  <c r="G45" i="21"/>
  <c r="G41" i="21"/>
  <c r="G44" i="21"/>
  <c r="G40" i="21"/>
  <c r="G43" i="21"/>
  <c r="G42" i="21"/>
  <c r="O36" i="17"/>
  <c r="O32" i="17"/>
  <c r="O35" i="17"/>
  <c r="O31" i="17"/>
  <c r="O34" i="17"/>
  <c r="O33" i="17"/>
  <c r="O48" i="14"/>
  <c r="N48" i="14"/>
  <c r="BJ52" i="10"/>
  <c r="BB52" i="10"/>
  <c r="AA33" i="14"/>
  <c r="AA36" i="14"/>
  <c r="AA32" i="14"/>
  <c r="AA35" i="14"/>
  <c r="AA31" i="14"/>
  <c r="AA34" i="14"/>
  <c r="G24" i="12"/>
  <c r="G27" i="12"/>
  <c r="G23" i="12"/>
  <c r="G26" i="12"/>
  <c r="G22" i="12"/>
  <c r="G25" i="12"/>
  <c r="V51" i="11"/>
  <c r="V54" i="11"/>
  <c r="V50" i="11"/>
  <c r="V53" i="11"/>
  <c r="V49" i="11"/>
  <c r="V52" i="11"/>
  <c r="BB44" i="10"/>
  <c r="BJ44" i="10"/>
  <c r="K21" i="20"/>
  <c r="J21" i="20"/>
  <c r="Z53" i="15"/>
  <c r="BC42" i="12"/>
  <c r="BK42" i="12"/>
  <c r="BK41" i="12"/>
  <c r="BC41" i="12"/>
  <c r="BC44" i="42"/>
  <c r="BK44" i="42"/>
  <c r="F42" i="37"/>
  <c r="F45" i="37"/>
  <c r="F41" i="37"/>
  <c r="F44" i="37"/>
  <c r="F40" i="37"/>
  <c r="F43" i="37"/>
  <c r="N53" i="35"/>
  <c r="N49" i="35"/>
  <c r="N52" i="35"/>
  <c r="N51" i="35"/>
  <c r="N54" i="35"/>
  <c r="N50" i="35"/>
  <c r="Z44" i="31"/>
  <c r="Z40" i="31"/>
  <c r="Z43" i="31"/>
  <c r="Z42" i="31"/>
  <c r="Z45" i="31"/>
  <c r="Z41" i="31"/>
  <c r="W24" i="25"/>
  <c r="W27" i="25"/>
  <c r="W23" i="25"/>
  <c r="W26" i="25"/>
  <c r="W22" i="25"/>
  <c r="W25" i="25"/>
  <c r="BB41" i="24"/>
  <c r="BJ41" i="24"/>
  <c r="BB40" i="24"/>
  <c r="BJ40" i="24"/>
  <c r="BB24" i="23"/>
  <c r="BJ24" i="23"/>
  <c r="S33" i="18"/>
  <c r="S36" i="18"/>
  <c r="S32" i="18"/>
  <c r="S35" i="18"/>
  <c r="S31" i="18"/>
  <c r="S34" i="18"/>
  <c r="BC34" i="13"/>
  <c r="BK34" i="13"/>
  <c r="BC36" i="13"/>
  <c r="BK36" i="13"/>
  <c r="BK35" i="42"/>
  <c r="BC35" i="42"/>
  <c r="BK34" i="42"/>
  <c r="BC34" i="42"/>
  <c r="G53" i="40"/>
  <c r="G49" i="40"/>
  <c r="G52" i="40"/>
  <c r="G51" i="40"/>
  <c r="G54" i="40"/>
  <c r="G50" i="40"/>
  <c r="O54" i="39"/>
  <c r="O50" i="39"/>
  <c r="O53" i="39"/>
  <c r="O49" i="39"/>
  <c r="O52" i="39"/>
  <c r="O51" i="39"/>
  <c r="R44" i="38"/>
  <c r="R45" i="38"/>
  <c r="R43" i="38"/>
  <c r="R42" i="38"/>
  <c r="R41" i="38"/>
  <c r="R40" i="38"/>
  <c r="Z34" i="34"/>
  <c r="Z33" i="34"/>
  <c r="Z36" i="34"/>
  <c r="Z32" i="34"/>
  <c r="Z35" i="34"/>
  <c r="Z31" i="34"/>
  <c r="K25" i="35"/>
  <c r="K24" i="35"/>
  <c r="K27" i="35"/>
  <c r="K23" i="35"/>
  <c r="K26" i="35"/>
  <c r="K22" i="35"/>
  <c r="O34" i="31"/>
  <c r="O33" i="31"/>
  <c r="O36" i="31"/>
  <c r="O32" i="31"/>
  <c r="O35" i="31"/>
  <c r="O31" i="31"/>
  <c r="Z23" i="29"/>
  <c r="O52" i="27"/>
  <c r="O54" i="27"/>
  <c r="O50" i="27"/>
  <c r="O53" i="27"/>
  <c r="O49" i="27"/>
  <c r="O51" i="27"/>
  <c r="Z43" i="28"/>
  <c r="Z42" i="28"/>
  <c r="Z45" i="28"/>
  <c r="Z41" i="28"/>
  <c r="Z44" i="28"/>
  <c r="Z40" i="28"/>
  <c r="J25" i="32"/>
  <c r="J24" i="32"/>
  <c r="J27" i="32"/>
  <c r="J23" i="32"/>
  <c r="J26" i="32"/>
  <c r="J22" i="32"/>
  <c r="BJ25" i="29"/>
  <c r="BB25" i="29"/>
  <c r="S35" i="27"/>
  <c r="S31" i="27"/>
  <c r="S34" i="27"/>
  <c r="S33" i="27"/>
  <c r="S36" i="27"/>
  <c r="S32" i="27"/>
  <c r="K36" i="21"/>
  <c r="K32" i="21"/>
  <c r="K35" i="21"/>
  <c r="K31" i="21"/>
  <c r="K34" i="21"/>
  <c r="K33" i="21"/>
  <c r="BF43" i="29"/>
  <c r="AX43" i="29"/>
  <c r="BB42" i="23"/>
  <c r="BJ42" i="23"/>
  <c r="BB45" i="23"/>
  <c r="BJ45" i="23"/>
  <c r="BB45" i="20"/>
  <c r="BJ45" i="20"/>
  <c r="V43" i="18"/>
  <c r="V42" i="18"/>
  <c r="V45" i="18"/>
  <c r="V41" i="18"/>
  <c r="V44" i="18"/>
  <c r="V40" i="18"/>
  <c r="BC53" i="18"/>
  <c r="BK53" i="18"/>
  <c r="BK52" i="18"/>
  <c r="BC52" i="18"/>
  <c r="F25" i="14"/>
  <c r="F24" i="14"/>
  <c r="F27" i="14"/>
  <c r="F23" i="14"/>
  <c r="F26" i="14"/>
  <c r="F22" i="14"/>
  <c r="S43" i="13"/>
  <c r="S42" i="13"/>
  <c r="S45" i="13"/>
  <c r="S41" i="13"/>
  <c r="S44" i="13"/>
  <c r="S40" i="13"/>
  <c r="BC40" i="10"/>
  <c r="BK40" i="10"/>
  <c r="F42" i="13"/>
  <c r="F45" i="13"/>
  <c r="F41" i="13"/>
  <c r="F44" i="13"/>
  <c r="F40" i="13"/>
  <c r="F43" i="13"/>
  <c r="AY31" i="18"/>
  <c r="BG31" i="18"/>
  <c r="AY33" i="18"/>
  <c r="BG33" i="18"/>
  <c r="BC50" i="12"/>
  <c r="BK50" i="12"/>
  <c r="D144" i="6"/>
  <c r="C144" i="6"/>
  <c r="AM144" i="6" s="1"/>
  <c r="K36" i="41"/>
  <c r="K32" i="41"/>
  <c r="K35" i="41"/>
  <c r="K31" i="41"/>
  <c r="K33" i="41"/>
  <c r="K34" i="41"/>
  <c r="R36" i="32"/>
  <c r="R32" i="32"/>
  <c r="R35" i="32"/>
  <c r="R31" i="32"/>
  <c r="R34" i="32"/>
  <c r="R33" i="32"/>
  <c r="R35" i="29"/>
  <c r="R31" i="29"/>
  <c r="R34" i="29"/>
  <c r="R33" i="29"/>
  <c r="R36" i="29"/>
  <c r="R32" i="29"/>
  <c r="G33" i="22"/>
  <c r="G36" i="22"/>
  <c r="G32" i="22"/>
  <c r="G35" i="22"/>
  <c r="G31" i="22"/>
  <c r="G34" i="22"/>
  <c r="F54" i="34"/>
  <c r="F50" i="34"/>
  <c r="F53" i="34"/>
  <c r="F49" i="34"/>
  <c r="F52" i="34"/>
  <c r="F51" i="34"/>
  <c r="G33" i="16"/>
  <c r="G36" i="16"/>
  <c r="G32" i="16"/>
  <c r="G35" i="16"/>
  <c r="G31" i="16"/>
  <c r="G34" i="16"/>
  <c r="F26" i="39"/>
  <c r="F22" i="39"/>
  <c r="F25" i="39"/>
  <c r="F24" i="39"/>
  <c r="F27" i="39"/>
  <c r="F23" i="39"/>
  <c r="J33" i="37"/>
  <c r="J36" i="37"/>
  <c r="J32" i="37"/>
  <c r="J35" i="37"/>
  <c r="J31" i="37"/>
  <c r="J34" i="37"/>
  <c r="J36" i="28"/>
  <c r="J32" i="28"/>
  <c r="J35" i="28"/>
  <c r="J31" i="28"/>
  <c r="J34" i="28"/>
  <c r="J33" i="28"/>
  <c r="R27" i="40"/>
  <c r="R23" i="40"/>
  <c r="R26" i="40"/>
  <c r="R22" i="40"/>
  <c r="R25" i="40"/>
  <c r="R24" i="40"/>
  <c r="S51" i="34"/>
  <c r="S54" i="34"/>
  <c r="S50" i="34"/>
  <c r="S53" i="34"/>
  <c r="S49" i="34"/>
  <c r="S52" i="34"/>
  <c r="N51" i="19"/>
  <c r="N54" i="19"/>
  <c r="N50" i="19"/>
  <c r="N53" i="19"/>
  <c r="N49" i="19"/>
  <c r="N52" i="19"/>
  <c r="R42" i="39"/>
  <c r="R45" i="39"/>
  <c r="R41" i="39"/>
  <c r="R44" i="39"/>
  <c r="R40" i="39"/>
  <c r="R43" i="39"/>
  <c r="N45" i="38"/>
  <c r="N41" i="38"/>
  <c r="N40" i="38"/>
  <c r="N43" i="38"/>
  <c r="N44" i="38"/>
  <c r="N42" i="38"/>
  <c r="V45" i="22"/>
  <c r="V41" i="22"/>
  <c r="V44" i="22"/>
  <c r="V40" i="22"/>
  <c r="V43" i="22"/>
  <c r="V42" i="22"/>
  <c r="N53" i="21"/>
  <c r="N49" i="21"/>
  <c r="N52" i="21"/>
  <c r="N51" i="21"/>
  <c r="N54" i="21"/>
  <c r="N50" i="21"/>
  <c r="R53" i="17"/>
  <c r="R49" i="17"/>
  <c r="R52" i="17"/>
  <c r="R51" i="17"/>
  <c r="R54" i="17"/>
  <c r="R50" i="17"/>
  <c r="BC22" i="20"/>
  <c r="BK22" i="20"/>
  <c r="F54" i="36"/>
  <c r="F50" i="36"/>
  <c r="F53" i="36"/>
  <c r="F49" i="36"/>
  <c r="F52" i="36"/>
  <c r="F51" i="36"/>
  <c r="R45" i="25"/>
  <c r="R41" i="25"/>
  <c r="R44" i="25"/>
  <c r="R40" i="25"/>
  <c r="R43" i="25"/>
  <c r="R42" i="25"/>
  <c r="BC22" i="18"/>
  <c r="BK22" i="18"/>
  <c r="BB33" i="20"/>
  <c r="BJ33" i="20"/>
  <c r="R24" i="11"/>
  <c r="R27" i="11"/>
  <c r="R23" i="11"/>
  <c r="R26" i="11"/>
  <c r="R22" i="11"/>
  <c r="R25" i="11"/>
  <c r="K27" i="10"/>
  <c r="K26" i="10"/>
  <c r="K25" i="10"/>
  <c r="K24" i="10"/>
  <c r="K23" i="10"/>
  <c r="K22" i="10"/>
  <c r="O34" i="13"/>
  <c r="O33" i="13"/>
  <c r="O36" i="13"/>
  <c r="O32" i="13"/>
  <c r="O35" i="13"/>
  <c r="O31" i="13"/>
  <c r="N44" i="42"/>
  <c r="N45" i="42"/>
  <c r="N42" i="42"/>
  <c r="N40" i="42"/>
  <c r="N41" i="42"/>
  <c r="N43" i="42"/>
  <c r="BC52" i="42"/>
  <c r="BK52" i="42"/>
  <c r="W54" i="41"/>
  <c r="W50" i="41"/>
  <c r="W53" i="41"/>
  <c r="W49" i="41"/>
  <c r="W52" i="41"/>
  <c r="W51" i="41"/>
  <c r="Z52" i="40"/>
  <c r="Z51" i="40"/>
  <c r="Z54" i="40"/>
  <c r="Z50" i="40"/>
  <c r="Z53" i="40"/>
  <c r="Z49" i="40"/>
  <c r="BC42" i="38"/>
  <c r="BK42" i="38"/>
  <c r="S30" i="41"/>
  <c r="R30" i="41"/>
  <c r="W53" i="36"/>
  <c r="W49" i="36"/>
  <c r="W52" i="36"/>
  <c r="W51" i="36"/>
  <c r="W54" i="36"/>
  <c r="W50" i="36"/>
  <c r="BC49" i="35"/>
  <c r="BK49" i="35"/>
  <c r="BK51" i="35"/>
  <c r="BC51" i="35"/>
  <c r="BB22" i="35"/>
  <c r="BJ22" i="35"/>
  <c r="BB24" i="35"/>
  <c r="BJ24" i="35"/>
  <c r="N43" i="30"/>
  <c r="N42" i="30"/>
  <c r="N45" i="30"/>
  <c r="N41" i="30"/>
  <c r="N44" i="30"/>
  <c r="N40" i="30"/>
  <c r="AA52" i="24"/>
  <c r="AA51" i="24"/>
  <c r="AA54" i="24"/>
  <c r="AA50" i="24"/>
  <c r="AA53" i="24"/>
  <c r="AA49" i="24"/>
  <c r="BC54" i="30"/>
  <c r="BK54" i="30"/>
  <c r="G30" i="31"/>
  <c r="F30" i="31"/>
  <c r="F21" i="25"/>
  <c r="G21" i="25"/>
  <c r="F33" i="24"/>
  <c r="F36" i="24"/>
  <c r="F32" i="24"/>
  <c r="F35" i="24"/>
  <c r="F31" i="24"/>
  <c r="F34" i="24"/>
  <c r="O51" i="22"/>
  <c r="O54" i="22"/>
  <c r="O50" i="22"/>
  <c r="O53" i="22"/>
  <c r="O49" i="22"/>
  <c r="O52" i="22"/>
  <c r="V42" i="21"/>
  <c r="V45" i="21"/>
  <c r="V41" i="21"/>
  <c r="V44" i="21"/>
  <c r="V40" i="21"/>
  <c r="V43" i="21"/>
  <c r="Z45" i="25"/>
  <c r="Z41" i="25"/>
  <c r="Z44" i="25"/>
  <c r="Z40" i="25"/>
  <c r="Z43" i="25"/>
  <c r="Z42" i="25"/>
  <c r="O42" i="20"/>
  <c r="O45" i="20"/>
  <c r="O41" i="20"/>
  <c r="O44" i="20"/>
  <c r="O40" i="20"/>
  <c r="O43" i="20"/>
  <c r="Z44" i="26"/>
  <c r="Z40" i="26"/>
  <c r="Z43" i="26"/>
  <c r="Z42" i="26"/>
  <c r="Z45" i="26"/>
  <c r="Z41" i="26"/>
  <c r="AY51" i="25"/>
  <c r="BG51" i="25"/>
  <c r="R53" i="19"/>
  <c r="R49" i="19"/>
  <c r="R52" i="19"/>
  <c r="R51" i="19"/>
  <c r="R54" i="19"/>
  <c r="R50" i="19"/>
  <c r="J51" i="15"/>
  <c r="J54" i="15"/>
  <c r="J50" i="15"/>
  <c r="J53" i="15"/>
  <c r="J49" i="15"/>
  <c r="J52" i="15"/>
  <c r="BB23" i="17"/>
  <c r="BJ23" i="17"/>
  <c r="BB22" i="17"/>
  <c r="BJ22" i="17"/>
  <c r="BC44" i="17"/>
  <c r="BK44" i="17"/>
  <c r="W24" i="12"/>
  <c r="W27" i="12"/>
  <c r="W23" i="12"/>
  <c r="W26" i="12"/>
  <c r="W22" i="12"/>
  <c r="W25" i="12"/>
  <c r="BC52" i="13"/>
  <c r="BK52" i="13"/>
  <c r="BC54" i="13"/>
  <c r="BK54" i="13"/>
  <c r="AY22" i="18"/>
  <c r="BG22" i="18"/>
  <c r="AY49" i="12"/>
  <c r="BG49" i="12"/>
  <c r="AY51" i="12"/>
  <c r="BG51" i="12"/>
  <c r="G26" i="28"/>
  <c r="G22" i="28"/>
  <c r="G25" i="28"/>
  <c r="G24" i="28"/>
  <c r="G27" i="28"/>
  <c r="G23" i="28"/>
  <c r="S36" i="31"/>
  <c r="S32" i="31"/>
  <c r="S35" i="31"/>
  <c r="S31" i="31"/>
  <c r="S34" i="31"/>
  <c r="S33" i="31"/>
  <c r="G26" i="27"/>
  <c r="G22" i="27"/>
  <c r="G25" i="27"/>
  <c r="G24" i="27"/>
  <c r="G27" i="27"/>
  <c r="G23" i="27"/>
  <c r="S54" i="26"/>
  <c r="S50" i="26"/>
  <c r="S53" i="26"/>
  <c r="S49" i="26"/>
  <c r="S52" i="26"/>
  <c r="S51" i="26"/>
  <c r="G35" i="18"/>
  <c r="G31" i="18"/>
  <c r="G34" i="18"/>
  <c r="G33" i="18"/>
  <c r="G36" i="18"/>
  <c r="G32" i="18"/>
  <c r="J43" i="12"/>
  <c r="BG45" i="12"/>
  <c r="AY45" i="12"/>
  <c r="K34" i="39"/>
  <c r="K33" i="39"/>
  <c r="K36" i="39"/>
  <c r="K32" i="39"/>
  <c r="K35" i="39"/>
  <c r="K31" i="39"/>
  <c r="W36" i="39"/>
  <c r="W32" i="39"/>
  <c r="W35" i="39"/>
  <c r="W31" i="39"/>
  <c r="W34" i="39"/>
  <c r="W33" i="39"/>
  <c r="W45" i="37"/>
  <c r="W41" i="37"/>
  <c r="W44" i="37"/>
  <c r="W40" i="37"/>
  <c r="W43" i="37"/>
  <c r="W42" i="37"/>
  <c r="AX45" i="33"/>
  <c r="BF45" i="33"/>
  <c r="AX44" i="33"/>
  <c r="BF44" i="33"/>
  <c r="K54" i="27"/>
  <c r="K50" i="27"/>
  <c r="K52" i="27"/>
  <c r="K53" i="27"/>
  <c r="K49" i="27"/>
  <c r="K51" i="27"/>
  <c r="AA34" i="23"/>
  <c r="AA33" i="23"/>
  <c r="AA36" i="23"/>
  <c r="AA32" i="23"/>
  <c r="AA35" i="23"/>
  <c r="AA31" i="23"/>
  <c r="AA25" i="21"/>
  <c r="AA24" i="21"/>
  <c r="AA27" i="21"/>
  <c r="AA23" i="21"/>
  <c r="AA26" i="21"/>
  <c r="AA22" i="21"/>
  <c r="G27" i="21"/>
  <c r="G23" i="21"/>
  <c r="G26" i="21"/>
  <c r="G22" i="21"/>
  <c r="G25" i="21"/>
  <c r="G24" i="21"/>
  <c r="AY25" i="25"/>
  <c r="BG25" i="25"/>
  <c r="BG27" i="25"/>
  <c r="AY27" i="25"/>
  <c r="O43" i="17"/>
  <c r="O42" i="17"/>
  <c r="O45" i="17"/>
  <c r="O41" i="17"/>
  <c r="O44" i="17"/>
  <c r="O40" i="17"/>
  <c r="BJ43" i="17"/>
  <c r="BB43" i="17"/>
  <c r="Z45" i="14"/>
  <c r="Z41" i="14"/>
  <c r="Z44" i="14"/>
  <c r="Z40" i="14"/>
  <c r="Z43" i="14"/>
  <c r="Z42" i="14"/>
  <c r="F54" i="12"/>
  <c r="F50" i="12"/>
  <c r="F53" i="12"/>
  <c r="F49" i="12"/>
  <c r="F52" i="12"/>
  <c r="F51" i="12"/>
  <c r="V33" i="11"/>
  <c r="V36" i="11"/>
  <c r="V32" i="11"/>
  <c r="V35" i="11"/>
  <c r="V31" i="11"/>
  <c r="V34" i="11"/>
  <c r="BA53" i="10"/>
  <c r="BI53" i="10"/>
  <c r="AY36" i="12"/>
  <c r="BG36" i="12"/>
  <c r="AA41" i="42"/>
  <c r="J27" i="34"/>
  <c r="J23" i="34"/>
  <c r="J26" i="34"/>
  <c r="J22" i="34"/>
  <c r="J25" i="34"/>
  <c r="J24" i="34"/>
  <c r="Z54" i="32"/>
  <c r="Z50" i="32"/>
  <c r="Z53" i="32"/>
  <c r="Z49" i="32"/>
  <c r="Z52" i="32"/>
  <c r="Z51" i="32"/>
  <c r="S42" i="22"/>
  <c r="S45" i="22"/>
  <c r="S41" i="22"/>
  <c r="S44" i="22"/>
  <c r="S40" i="22"/>
  <c r="S43" i="22"/>
  <c r="AY33" i="25"/>
  <c r="BG33" i="25"/>
  <c r="AA42" i="16"/>
  <c r="AA45" i="16"/>
  <c r="AA41" i="16"/>
  <c r="AA44" i="16"/>
  <c r="AA40" i="16"/>
  <c r="AA43" i="16"/>
  <c r="F35" i="41"/>
  <c r="F31" i="41"/>
  <c r="F34" i="41"/>
  <c r="F36" i="41"/>
  <c r="F32" i="41"/>
  <c r="F33" i="41"/>
  <c r="K33" i="40"/>
  <c r="K36" i="40"/>
  <c r="K32" i="40"/>
  <c r="K35" i="40"/>
  <c r="K31" i="40"/>
  <c r="K34" i="40"/>
  <c r="W33" i="38"/>
  <c r="W36" i="38"/>
  <c r="W32" i="38"/>
  <c r="W35" i="38"/>
  <c r="W31" i="38"/>
  <c r="W34" i="38"/>
  <c r="F24" i="35"/>
  <c r="F27" i="35"/>
  <c r="F23" i="35"/>
  <c r="F26" i="35"/>
  <c r="F22" i="35"/>
  <c r="F25" i="35"/>
  <c r="O51" i="28"/>
  <c r="O54" i="28"/>
  <c r="O50" i="28"/>
  <c r="O53" i="28"/>
  <c r="O49" i="28"/>
  <c r="O52" i="28"/>
  <c r="J51" i="35"/>
  <c r="J54" i="35"/>
  <c r="J50" i="35"/>
  <c r="J53" i="35"/>
  <c r="J49" i="35"/>
  <c r="J52" i="35"/>
  <c r="G33" i="33"/>
  <c r="N41" i="27"/>
  <c r="N45" i="27"/>
  <c r="N44" i="27"/>
  <c r="N40" i="27"/>
  <c r="N43" i="27"/>
  <c r="N42" i="27"/>
  <c r="Z54" i="28"/>
  <c r="Z50" i="28"/>
  <c r="Z53" i="28"/>
  <c r="Z49" i="28"/>
  <c r="Z52" i="28"/>
  <c r="Z51" i="28"/>
  <c r="J54" i="32"/>
  <c r="J50" i="32"/>
  <c r="J53" i="32"/>
  <c r="J49" i="32"/>
  <c r="J52" i="32"/>
  <c r="J51" i="32"/>
  <c r="W50" i="29"/>
  <c r="BI32" i="30"/>
  <c r="BA32" i="30"/>
  <c r="R51" i="27"/>
  <c r="R54" i="27"/>
  <c r="R53" i="27"/>
  <c r="R49" i="27"/>
  <c r="R50" i="27"/>
  <c r="R52" i="27"/>
  <c r="J44" i="21"/>
  <c r="J40" i="21"/>
  <c r="J43" i="21"/>
  <c r="J42" i="21"/>
  <c r="J45" i="21"/>
  <c r="J41" i="21"/>
  <c r="N36" i="18"/>
  <c r="N32" i="18"/>
  <c r="N35" i="18"/>
  <c r="N31" i="18"/>
  <c r="N34" i="18"/>
  <c r="N33" i="18"/>
  <c r="BC23" i="19"/>
  <c r="BK23" i="19"/>
  <c r="BK22" i="19"/>
  <c r="BC22" i="19"/>
  <c r="BC50" i="17"/>
  <c r="BK50" i="17"/>
  <c r="BK49" i="17"/>
  <c r="BC49" i="17"/>
  <c r="BJ49" i="10"/>
  <c r="BB49" i="10"/>
  <c r="G27" i="13"/>
  <c r="G23" i="13"/>
  <c r="G26" i="13"/>
  <c r="G22" i="13"/>
  <c r="G25" i="13"/>
  <c r="G24" i="13"/>
  <c r="BK42" i="35"/>
  <c r="K52" i="41"/>
  <c r="K51" i="41"/>
  <c r="K54" i="41"/>
  <c r="K50" i="41"/>
  <c r="K53" i="41"/>
  <c r="K49" i="41"/>
  <c r="R43" i="32"/>
  <c r="R42" i="32"/>
  <c r="R45" i="32"/>
  <c r="R41" i="32"/>
  <c r="R44" i="32"/>
  <c r="R40" i="32"/>
  <c r="S45" i="29"/>
  <c r="S41" i="29"/>
  <c r="S44" i="29"/>
  <c r="S40" i="29"/>
  <c r="S43" i="29"/>
  <c r="S42" i="29"/>
  <c r="G44" i="22"/>
  <c r="G40" i="22"/>
  <c r="G43" i="22"/>
  <c r="G42" i="22"/>
  <c r="G45" i="22"/>
  <c r="G41" i="22"/>
  <c r="G35" i="34"/>
  <c r="G31" i="34"/>
  <c r="G34" i="34"/>
  <c r="G33" i="34"/>
  <c r="G36" i="34"/>
  <c r="G32" i="34"/>
  <c r="G44" i="16"/>
  <c r="G40" i="16"/>
  <c r="G43" i="16"/>
  <c r="G42" i="16"/>
  <c r="G45" i="16"/>
  <c r="G41" i="16"/>
  <c r="G54" i="39"/>
  <c r="G50" i="39"/>
  <c r="G53" i="39"/>
  <c r="G49" i="39"/>
  <c r="G52" i="39"/>
  <c r="G51" i="39"/>
  <c r="K43" i="37"/>
  <c r="K42" i="37"/>
  <c r="K45" i="37"/>
  <c r="K41" i="37"/>
  <c r="K44" i="37"/>
  <c r="K40" i="37"/>
  <c r="J25" i="28"/>
  <c r="J24" i="28"/>
  <c r="J27" i="28"/>
  <c r="J23" i="28"/>
  <c r="J26" i="28"/>
  <c r="J22" i="28"/>
  <c r="R52" i="40"/>
  <c r="R51" i="40"/>
  <c r="R54" i="40"/>
  <c r="R50" i="40"/>
  <c r="R53" i="40"/>
  <c r="R49" i="40"/>
  <c r="R34" i="34"/>
  <c r="R33" i="34"/>
  <c r="R36" i="34"/>
  <c r="R32" i="34"/>
  <c r="R35" i="34"/>
  <c r="R31" i="34"/>
  <c r="O27" i="19"/>
  <c r="O23" i="19"/>
  <c r="O26" i="19"/>
  <c r="O22" i="19"/>
  <c r="O25" i="19"/>
  <c r="O24" i="19"/>
  <c r="S27" i="39"/>
  <c r="S23" i="39"/>
  <c r="S26" i="39"/>
  <c r="S22" i="39"/>
  <c r="S25" i="39"/>
  <c r="S24" i="39"/>
  <c r="O26" i="38"/>
  <c r="O22" i="38"/>
  <c r="O25" i="38"/>
  <c r="O24" i="38"/>
  <c r="O27" i="38"/>
  <c r="O23" i="38"/>
  <c r="W26" i="22"/>
  <c r="W22" i="22"/>
  <c r="W25" i="22"/>
  <c r="W24" i="22"/>
  <c r="W27" i="22"/>
  <c r="W23" i="22"/>
  <c r="O34" i="21"/>
  <c r="O33" i="21"/>
  <c r="O36" i="21"/>
  <c r="O32" i="21"/>
  <c r="O35" i="21"/>
  <c r="O31" i="21"/>
  <c r="S34" i="17"/>
  <c r="S33" i="17"/>
  <c r="S36" i="17"/>
  <c r="S32" i="17"/>
  <c r="S35" i="17"/>
  <c r="S31" i="17"/>
  <c r="BB49" i="17"/>
  <c r="BJ49" i="17"/>
  <c r="BB51" i="17"/>
  <c r="BJ51" i="17"/>
  <c r="G35" i="36"/>
  <c r="G31" i="36"/>
  <c r="G34" i="36"/>
  <c r="G33" i="36"/>
  <c r="G36" i="36"/>
  <c r="G32" i="36"/>
  <c r="S26" i="25"/>
  <c r="S22" i="25"/>
  <c r="S25" i="25"/>
  <c r="S24" i="25"/>
  <c r="S27" i="25"/>
  <c r="S23" i="25"/>
  <c r="R53" i="11"/>
  <c r="R49" i="11"/>
  <c r="R52" i="11"/>
  <c r="R51" i="11"/>
  <c r="R54" i="11"/>
  <c r="R50" i="11"/>
  <c r="J36" i="10"/>
  <c r="J35" i="10"/>
  <c r="J34" i="10"/>
  <c r="J33" i="10"/>
  <c r="J32" i="10"/>
  <c r="J31" i="10"/>
  <c r="F51" i="17"/>
  <c r="F54" i="17"/>
  <c r="F50" i="17"/>
  <c r="F53" i="17"/>
  <c r="F49" i="17"/>
  <c r="F52" i="17"/>
  <c r="N42" i="13"/>
  <c r="N45" i="13"/>
  <c r="N41" i="13"/>
  <c r="N44" i="13"/>
  <c r="N40" i="13"/>
  <c r="N43" i="13"/>
  <c r="BC32" i="12"/>
  <c r="BK32" i="12"/>
  <c r="O24" i="42"/>
  <c r="O27" i="42"/>
  <c r="O23" i="42"/>
  <c r="O26" i="42"/>
  <c r="O22" i="42"/>
  <c r="O25" i="42"/>
  <c r="BC43" i="41"/>
  <c r="BK43" i="41"/>
  <c r="BC45" i="41"/>
  <c r="BK45" i="41"/>
  <c r="R48" i="36"/>
  <c r="S48" i="36"/>
  <c r="O48" i="33"/>
  <c r="N48" i="33"/>
  <c r="W35" i="30"/>
  <c r="W31" i="30"/>
  <c r="W34" i="30"/>
  <c r="W33" i="30"/>
  <c r="W36" i="30"/>
  <c r="W32" i="30"/>
  <c r="G53" i="30"/>
  <c r="G49" i="30"/>
  <c r="G52" i="30"/>
  <c r="G51" i="30"/>
  <c r="G54" i="30"/>
  <c r="G50" i="30"/>
  <c r="O39" i="24"/>
  <c r="N39" i="24"/>
  <c r="BI25" i="30"/>
  <c r="BA25" i="30"/>
  <c r="BA27" i="30"/>
  <c r="BI27" i="30"/>
  <c r="K35" i="22"/>
  <c r="K31" i="22"/>
  <c r="K34" i="22"/>
  <c r="K33" i="22"/>
  <c r="K36" i="22"/>
  <c r="K32" i="22"/>
  <c r="K25" i="26"/>
  <c r="K24" i="26"/>
  <c r="K27" i="26"/>
  <c r="K23" i="26"/>
  <c r="K26" i="26"/>
  <c r="K22" i="26"/>
  <c r="S36" i="21"/>
  <c r="S32" i="21"/>
  <c r="S35" i="21"/>
  <c r="S31" i="21"/>
  <c r="S34" i="21"/>
  <c r="S33" i="21"/>
  <c r="AA45" i="33"/>
  <c r="AA41" i="33"/>
  <c r="AA44" i="33"/>
  <c r="AA40" i="33"/>
  <c r="AA43" i="33"/>
  <c r="AA42" i="33"/>
  <c r="AA25" i="26"/>
  <c r="AA24" i="26"/>
  <c r="AA27" i="26"/>
  <c r="AA23" i="26"/>
  <c r="AA26" i="26"/>
  <c r="AA22" i="26"/>
  <c r="R34" i="20"/>
  <c r="R33" i="20"/>
  <c r="R36" i="20"/>
  <c r="R32" i="20"/>
  <c r="R35" i="20"/>
  <c r="R31" i="20"/>
  <c r="J43" i="16"/>
  <c r="J42" i="16"/>
  <c r="J45" i="16"/>
  <c r="J41" i="16"/>
  <c r="J44" i="16"/>
  <c r="J40" i="16"/>
  <c r="S36" i="19"/>
  <c r="S32" i="19"/>
  <c r="S35" i="19"/>
  <c r="S31" i="19"/>
  <c r="S34" i="19"/>
  <c r="S33" i="19"/>
  <c r="K36" i="15"/>
  <c r="K32" i="15"/>
  <c r="K35" i="15"/>
  <c r="K31" i="15"/>
  <c r="K34" i="15"/>
  <c r="K33" i="15"/>
  <c r="BC52" i="19"/>
  <c r="BK52" i="19"/>
  <c r="W53" i="12"/>
  <c r="W49" i="12"/>
  <c r="W52" i="12"/>
  <c r="W51" i="12"/>
  <c r="W54" i="12"/>
  <c r="W50" i="12"/>
  <c r="S43" i="35"/>
  <c r="S42" i="35"/>
  <c r="S45" i="35"/>
  <c r="S41" i="35"/>
  <c r="S44" i="35"/>
  <c r="S40" i="35"/>
  <c r="BC40" i="29"/>
  <c r="BK40" i="29"/>
  <c r="BK42" i="29"/>
  <c r="BC42" i="29"/>
  <c r="O53" i="25"/>
  <c r="O49" i="25"/>
  <c r="O52" i="25"/>
  <c r="O51" i="25"/>
  <c r="O54" i="25"/>
  <c r="O50" i="25"/>
  <c r="W44" i="16"/>
  <c r="W40" i="16"/>
  <c r="W43" i="16"/>
  <c r="W42" i="16"/>
  <c r="W45" i="16"/>
  <c r="W41" i="16"/>
  <c r="V43" i="14"/>
  <c r="V42" i="14"/>
  <c r="V45" i="14"/>
  <c r="V41" i="14"/>
  <c r="V44" i="14"/>
  <c r="V40" i="14"/>
  <c r="G43" i="11"/>
  <c r="G42" i="11"/>
  <c r="G45" i="11"/>
  <c r="G41" i="11"/>
  <c r="G44" i="11"/>
  <c r="G40" i="11"/>
  <c r="K45" i="39"/>
  <c r="K41" i="39"/>
  <c r="K44" i="39"/>
  <c r="K40" i="39"/>
  <c r="K43" i="39"/>
  <c r="K42" i="39"/>
  <c r="BC32" i="41"/>
  <c r="BK32" i="41"/>
  <c r="W35" i="40"/>
  <c r="W31" i="40"/>
  <c r="W34" i="40"/>
  <c r="W33" i="40"/>
  <c r="W36" i="40"/>
  <c r="W32" i="40"/>
  <c r="K35" i="38"/>
  <c r="K31" i="38"/>
  <c r="K34" i="38"/>
  <c r="K33" i="38"/>
  <c r="K36" i="38"/>
  <c r="K32" i="38"/>
  <c r="W44" i="32"/>
  <c r="W40" i="32"/>
  <c r="W43" i="32"/>
  <c r="W42" i="32"/>
  <c r="W45" i="32"/>
  <c r="W41" i="32"/>
  <c r="BC52" i="29"/>
  <c r="BK52" i="29"/>
  <c r="W52" i="27"/>
  <c r="W54" i="27"/>
  <c r="W50" i="27"/>
  <c r="W51" i="27"/>
  <c r="W53" i="27"/>
  <c r="W49" i="27"/>
  <c r="O25" i="29"/>
  <c r="O24" i="29"/>
  <c r="O27" i="29"/>
  <c r="O23" i="29"/>
  <c r="O26" i="29"/>
  <c r="O22" i="29"/>
  <c r="BB27" i="24"/>
  <c r="BJ27" i="24"/>
  <c r="BB26" i="24"/>
  <c r="BJ26" i="24"/>
  <c r="AA35" i="22"/>
  <c r="AA31" i="22"/>
  <c r="AA34" i="22"/>
  <c r="AA33" i="22"/>
  <c r="AA36" i="22"/>
  <c r="AA32" i="22"/>
  <c r="AA54" i="27"/>
  <c r="AA50" i="27"/>
  <c r="AA52" i="27"/>
  <c r="AA53" i="27"/>
  <c r="AA49" i="27"/>
  <c r="AA51" i="27"/>
  <c r="BB54" i="23"/>
  <c r="BJ54" i="23"/>
  <c r="G52" i="21"/>
  <c r="G51" i="21"/>
  <c r="G54" i="21"/>
  <c r="G50" i="21"/>
  <c r="G53" i="21"/>
  <c r="G49" i="21"/>
  <c r="S53" i="16"/>
  <c r="S49" i="16"/>
  <c r="S52" i="16"/>
  <c r="S51" i="16"/>
  <c r="S54" i="16"/>
  <c r="S50" i="16"/>
  <c r="BB27" i="20"/>
  <c r="BJ27" i="20"/>
  <c r="O25" i="17"/>
  <c r="O24" i="17"/>
  <c r="O27" i="17"/>
  <c r="O23" i="17"/>
  <c r="O26" i="17"/>
  <c r="O22" i="17"/>
  <c r="BA34" i="10"/>
  <c r="BI34" i="10"/>
  <c r="J33" i="13"/>
  <c r="J36" i="13"/>
  <c r="J32" i="13"/>
  <c r="J35" i="13"/>
  <c r="J31" i="13"/>
  <c r="J34" i="13"/>
  <c r="BC23" i="13"/>
  <c r="BK23" i="13"/>
  <c r="BK22" i="13"/>
  <c r="BC22" i="13"/>
  <c r="BK26" i="10"/>
  <c r="BC26" i="10"/>
  <c r="BC53" i="20"/>
  <c r="BK53" i="20"/>
  <c r="BK52" i="20"/>
  <c r="BC52" i="20"/>
  <c r="AY44" i="18"/>
  <c r="BG44" i="18"/>
  <c r="J52" i="34"/>
  <c r="J51" i="34"/>
  <c r="J54" i="34"/>
  <c r="J50" i="34"/>
  <c r="J53" i="34"/>
  <c r="J49" i="34"/>
  <c r="K39" i="29"/>
  <c r="J39" i="29"/>
  <c r="AA35" i="32"/>
  <c r="AA31" i="32"/>
  <c r="AA34" i="32"/>
  <c r="AA33" i="32"/>
  <c r="AA36" i="32"/>
  <c r="AA32" i="32"/>
  <c r="R25" i="22"/>
  <c r="R24" i="22"/>
  <c r="R27" i="22"/>
  <c r="R23" i="22"/>
  <c r="R26" i="22"/>
  <c r="R22" i="22"/>
  <c r="F32" i="29"/>
  <c r="Z25" i="16"/>
  <c r="Z24" i="16"/>
  <c r="Z27" i="16"/>
  <c r="Z23" i="16"/>
  <c r="Z26" i="16"/>
  <c r="Z22" i="16"/>
  <c r="BC23" i="17"/>
  <c r="BK23" i="17"/>
  <c r="BC22" i="11"/>
  <c r="BK22" i="11"/>
  <c r="BK24" i="11"/>
  <c r="BC24" i="11"/>
  <c r="K44" i="40"/>
  <c r="K40" i="40"/>
  <c r="K43" i="40"/>
  <c r="K42" i="40"/>
  <c r="K45" i="40"/>
  <c r="K41" i="40"/>
  <c r="W44" i="38"/>
  <c r="W45" i="38"/>
  <c r="W40" i="38"/>
  <c r="W43" i="38"/>
  <c r="W42" i="38"/>
  <c r="W41" i="38"/>
  <c r="AA26" i="34"/>
  <c r="AA22" i="34"/>
  <c r="AA25" i="34"/>
  <c r="AA24" i="34"/>
  <c r="AA27" i="34"/>
  <c r="AA23" i="34"/>
  <c r="BB36" i="35"/>
  <c r="BJ36" i="35"/>
  <c r="BB35" i="35"/>
  <c r="BJ35" i="35"/>
  <c r="S34" i="33"/>
  <c r="S33" i="33"/>
  <c r="S36" i="33"/>
  <c r="S32" i="33"/>
  <c r="S35" i="33"/>
  <c r="S31" i="33"/>
  <c r="BF32" i="33"/>
  <c r="AX32" i="33"/>
  <c r="O45" i="31"/>
  <c r="O41" i="31"/>
  <c r="O44" i="31"/>
  <c r="O40" i="31"/>
  <c r="O43" i="31"/>
  <c r="O42" i="31"/>
  <c r="S34" i="24"/>
  <c r="S33" i="24"/>
  <c r="S36" i="24"/>
  <c r="S32" i="24"/>
  <c r="S35" i="24"/>
  <c r="S31" i="24"/>
  <c r="W26" i="28"/>
  <c r="W22" i="28"/>
  <c r="W25" i="28"/>
  <c r="W24" i="28"/>
  <c r="W27" i="28"/>
  <c r="W23" i="28"/>
  <c r="BC25" i="30"/>
  <c r="BK25" i="30"/>
  <c r="BK27" i="30"/>
  <c r="BC27" i="30"/>
  <c r="V50" i="29"/>
  <c r="O36" i="23"/>
  <c r="O32" i="23"/>
  <c r="O35" i="23"/>
  <c r="O31" i="23"/>
  <c r="O34" i="23"/>
  <c r="O33" i="23"/>
  <c r="G53" i="20"/>
  <c r="G49" i="20"/>
  <c r="G52" i="20"/>
  <c r="G51" i="20"/>
  <c r="G54" i="20"/>
  <c r="G50" i="20"/>
  <c r="W53" i="18"/>
  <c r="W49" i="18"/>
  <c r="W52" i="18"/>
  <c r="W51" i="18"/>
  <c r="W54" i="18"/>
  <c r="W50" i="18"/>
  <c r="S54" i="13"/>
  <c r="S50" i="13"/>
  <c r="S53" i="13"/>
  <c r="S49" i="13"/>
  <c r="S52" i="13"/>
  <c r="S51" i="13"/>
  <c r="BB22" i="10"/>
  <c r="BJ22" i="10"/>
  <c r="V24" i="13"/>
  <c r="V27" i="13"/>
  <c r="V23" i="13"/>
  <c r="V26" i="13"/>
  <c r="V22" i="13"/>
  <c r="V25" i="13"/>
  <c r="F36" i="42"/>
  <c r="F32" i="42"/>
  <c r="F35" i="42"/>
  <c r="F31" i="42"/>
  <c r="F34" i="42"/>
  <c r="F33" i="42"/>
  <c r="R33" i="37"/>
  <c r="R36" i="37"/>
  <c r="R32" i="37"/>
  <c r="R35" i="37"/>
  <c r="R31" i="37"/>
  <c r="R34" i="37"/>
  <c r="V24" i="31"/>
  <c r="V27" i="31"/>
  <c r="V23" i="31"/>
  <c r="V26" i="31"/>
  <c r="V22" i="31"/>
  <c r="V25" i="31"/>
  <c r="J35" i="24"/>
  <c r="J31" i="24"/>
  <c r="J34" i="24"/>
  <c r="J33" i="24"/>
  <c r="J36" i="24"/>
  <c r="J32" i="24"/>
  <c r="F44" i="19"/>
  <c r="F43" i="19"/>
  <c r="F42" i="19"/>
  <c r="F45" i="19"/>
  <c r="F41" i="19"/>
  <c r="F40" i="19"/>
  <c r="J35" i="23"/>
  <c r="J31" i="23"/>
  <c r="J34" i="23"/>
  <c r="J33" i="23"/>
  <c r="J36" i="23"/>
  <c r="J32" i="23"/>
  <c r="O24" i="40"/>
  <c r="O27" i="40"/>
  <c r="O23" i="40"/>
  <c r="O26" i="40"/>
  <c r="O22" i="40"/>
  <c r="O25" i="40"/>
  <c r="J27" i="36"/>
  <c r="J23" i="36"/>
  <c r="J26" i="36"/>
  <c r="J22" i="36"/>
  <c r="J25" i="36"/>
  <c r="J24" i="36"/>
  <c r="S42" i="28"/>
  <c r="S45" i="28"/>
  <c r="S41" i="28"/>
  <c r="S44" i="28"/>
  <c r="S40" i="28"/>
  <c r="S43" i="28"/>
  <c r="F24" i="15"/>
  <c r="F27" i="15"/>
  <c r="F23" i="15"/>
  <c r="F26" i="15"/>
  <c r="F22" i="15"/>
  <c r="F25" i="15"/>
  <c r="N24" i="37"/>
  <c r="N27" i="37"/>
  <c r="N23" i="37"/>
  <c r="N26" i="37"/>
  <c r="N22" i="37"/>
  <c r="N25" i="37"/>
  <c r="V24" i="19"/>
  <c r="V27" i="19"/>
  <c r="V23" i="19"/>
  <c r="V26" i="19"/>
  <c r="V22" i="19"/>
  <c r="V25" i="19"/>
  <c r="K51" i="14"/>
  <c r="K54" i="14"/>
  <c r="K50" i="14"/>
  <c r="K53" i="14"/>
  <c r="K49" i="14"/>
  <c r="K52" i="14"/>
  <c r="N36" i="41"/>
  <c r="N35" i="41"/>
  <c r="N31" i="41"/>
  <c r="N34" i="41"/>
  <c r="N32" i="41"/>
  <c r="N33" i="41"/>
  <c r="BC49" i="36"/>
  <c r="BK49" i="36"/>
  <c r="K51" i="30"/>
  <c r="K54" i="30"/>
  <c r="K50" i="30"/>
  <c r="K53" i="30"/>
  <c r="K49" i="30"/>
  <c r="K52" i="30"/>
  <c r="BA49" i="30"/>
  <c r="BI49" i="30"/>
  <c r="BA51" i="30"/>
  <c r="BI51" i="30"/>
  <c r="V53" i="26"/>
  <c r="V49" i="26"/>
  <c r="V52" i="26"/>
  <c r="V51" i="26"/>
  <c r="V54" i="26"/>
  <c r="V50" i="26"/>
  <c r="F24" i="26"/>
  <c r="F27" i="26"/>
  <c r="F23" i="26"/>
  <c r="F26" i="26"/>
  <c r="F22" i="26"/>
  <c r="F25" i="26"/>
  <c r="N35" i="15"/>
  <c r="N31" i="15"/>
  <c r="N34" i="15"/>
  <c r="N33" i="15"/>
  <c r="N36" i="15"/>
  <c r="N32" i="15"/>
  <c r="S21" i="12"/>
  <c r="R21" i="12"/>
  <c r="R53" i="42"/>
  <c r="R49" i="42"/>
  <c r="R52" i="42"/>
  <c r="R54" i="42"/>
  <c r="R51" i="42"/>
  <c r="R50" i="42"/>
  <c r="S51" i="25"/>
  <c r="S54" i="25"/>
  <c r="S50" i="25"/>
  <c r="S53" i="25"/>
  <c r="S49" i="25"/>
  <c r="S52" i="25"/>
  <c r="R35" i="11"/>
  <c r="R31" i="11"/>
  <c r="R34" i="11"/>
  <c r="R33" i="11"/>
  <c r="R36" i="11"/>
  <c r="R32" i="11"/>
  <c r="K45" i="10"/>
  <c r="K44" i="10"/>
  <c r="K43" i="10"/>
  <c r="K42" i="10"/>
  <c r="K41" i="10"/>
  <c r="K40" i="10"/>
  <c r="G36" i="17"/>
  <c r="G32" i="17"/>
  <c r="G35" i="17"/>
  <c r="G31" i="17"/>
  <c r="G34" i="17"/>
  <c r="G33" i="17"/>
  <c r="BC43" i="15"/>
  <c r="BK43" i="15"/>
  <c r="O27" i="13"/>
  <c r="O23" i="13"/>
  <c r="O26" i="13"/>
  <c r="O22" i="13"/>
  <c r="O25" i="13"/>
  <c r="O24" i="13"/>
  <c r="BC25" i="42"/>
  <c r="BK25" i="42"/>
  <c r="BK27" i="42"/>
  <c r="BC27" i="42"/>
  <c r="O36" i="42"/>
  <c r="O35" i="42"/>
  <c r="O31" i="42"/>
  <c r="O34" i="42"/>
  <c r="O33" i="42"/>
  <c r="O32" i="42"/>
  <c r="K48" i="42"/>
  <c r="J48" i="42"/>
  <c r="AA44" i="40"/>
  <c r="AA40" i="40"/>
  <c r="AA43" i="40"/>
  <c r="AA42" i="40"/>
  <c r="AA45" i="40"/>
  <c r="AA41" i="40"/>
  <c r="AA25" i="36"/>
  <c r="BC25" i="36" s="1"/>
  <c r="V43" i="36"/>
  <c r="V42" i="36"/>
  <c r="V45" i="36"/>
  <c r="V41" i="36"/>
  <c r="V44" i="36"/>
  <c r="V40" i="36"/>
  <c r="V21" i="34"/>
  <c r="W21" i="34"/>
  <c r="V51" i="33"/>
  <c r="V54" i="33"/>
  <c r="V50" i="33"/>
  <c r="V53" i="33"/>
  <c r="V49" i="33"/>
  <c r="V52" i="33"/>
  <c r="W42" i="30"/>
  <c r="W45" i="30"/>
  <c r="W41" i="30"/>
  <c r="W44" i="30"/>
  <c r="W40" i="30"/>
  <c r="W43" i="30"/>
  <c r="F36" i="30"/>
  <c r="F32" i="30"/>
  <c r="F35" i="30"/>
  <c r="F31" i="30"/>
  <c r="F34" i="30"/>
  <c r="F33" i="30"/>
  <c r="AX27" i="33"/>
  <c r="BF27" i="33"/>
  <c r="BK31" i="29"/>
  <c r="BC31" i="29"/>
  <c r="O44" i="22"/>
  <c r="O40" i="22"/>
  <c r="O43" i="22"/>
  <c r="O42" i="22"/>
  <c r="O45" i="22"/>
  <c r="O41" i="22"/>
  <c r="W52" i="21"/>
  <c r="W51" i="21"/>
  <c r="W54" i="21"/>
  <c r="W50" i="21"/>
  <c r="W53" i="21"/>
  <c r="W49" i="21"/>
  <c r="Z52" i="25"/>
  <c r="Z51" i="25"/>
  <c r="Z54" i="25"/>
  <c r="Z50" i="25"/>
  <c r="Z53" i="25"/>
  <c r="Z49" i="25"/>
  <c r="O53" i="20"/>
  <c r="O49" i="20"/>
  <c r="O52" i="20"/>
  <c r="O51" i="20"/>
  <c r="O54" i="20"/>
  <c r="O50" i="20"/>
  <c r="AX49" i="29"/>
  <c r="BF49" i="29"/>
  <c r="AX51" i="29"/>
  <c r="BF51" i="29"/>
  <c r="BB31" i="24"/>
  <c r="BJ31" i="24"/>
  <c r="V33" i="24"/>
  <c r="S26" i="20"/>
  <c r="S22" i="20"/>
  <c r="S25" i="20"/>
  <c r="S24" i="20"/>
  <c r="S27" i="20"/>
  <c r="S23" i="20"/>
  <c r="BB52" i="20"/>
  <c r="BJ52" i="20"/>
  <c r="BB54" i="20"/>
  <c r="BJ54" i="20"/>
  <c r="S54" i="15"/>
  <c r="S50" i="15"/>
  <c r="S53" i="15"/>
  <c r="S49" i="15"/>
  <c r="S52" i="15"/>
  <c r="S51" i="15"/>
  <c r="W35" i="12"/>
  <c r="W31" i="12"/>
  <c r="W34" i="12"/>
  <c r="W33" i="12"/>
  <c r="W36" i="12"/>
  <c r="W32" i="12"/>
  <c r="O48" i="11"/>
  <c r="N48" i="11"/>
  <c r="BC40" i="11"/>
  <c r="BK40" i="11"/>
  <c r="BC44" i="20"/>
  <c r="BK44" i="20"/>
  <c r="BC31" i="15"/>
  <c r="BK31" i="15"/>
  <c r="BK33" i="15"/>
  <c r="BC33" i="15"/>
  <c r="BC26" i="12"/>
  <c r="BK26" i="12"/>
  <c r="BC34" i="37"/>
  <c r="BK34" i="37"/>
  <c r="BC36" i="37"/>
  <c r="BK36" i="37"/>
  <c r="R26" i="35"/>
  <c r="R22" i="35"/>
  <c r="R25" i="35"/>
  <c r="R24" i="35"/>
  <c r="R27" i="35"/>
  <c r="R23" i="35"/>
  <c r="F53" i="27"/>
  <c r="F49" i="27"/>
  <c r="F51" i="27"/>
  <c r="F52" i="27"/>
  <c r="F54" i="27"/>
  <c r="F50" i="27"/>
  <c r="R44" i="26"/>
  <c r="R40" i="26"/>
  <c r="R43" i="26"/>
  <c r="R42" i="26"/>
  <c r="R45" i="26"/>
  <c r="R41" i="26"/>
  <c r="G24" i="18"/>
  <c r="G27" i="18"/>
  <c r="G23" i="18"/>
  <c r="G26" i="18"/>
  <c r="G22" i="18"/>
  <c r="G25" i="18"/>
  <c r="BC43" i="19"/>
  <c r="BK43" i="19"/>
  <c r="BC45" i="19"/>
  <c r="BK45" i="19"/>
  <c r="Z24" i="39"/>
  <c r="Z27" i="39"/>
  <c r="Z23" i="39"/>
  <c r="Z26" i="39"/>
  <c r="Z22" i="39"/>
  <c r="Z25" i="39"/>
  <c r="V26" i="39"/>
  <c r="V22" i="39"/>
  <c r="V25" i="39"/>
  <c r="V24" i="39"/>
  <c r="V27" i="39"/>
  <c r="V23" i="39"/>
  <c r="V53" i="37"/>
  <c r="V49" i="37"/>
  <c r="V52" i="37"/>
  <c r="V51" i="37"/>
  <c r="V54" i="37"/>
  <c r="V50" i="37"/>
  <c r="V27" i="32"/>
  <c r="V23" i="32"/>
  <c r="V26" i="32"/>
  <c r="V22" i="32"/>
  <c r="V25" i="32"/>
  <c r="V24" i="32"/>
  <c r="W41" i="29"/>
  <c r="V41" i="27"/>
  <c r="V44" i="27"/>
  <c r="V40" i="27"/>
  <c r="V43" i="27"/>
  <c r="V45" i="27"/>
  <c r="V42" i="27"/>
  <c r="N51" i="29"/>
  <c r="N54" i="29"/>
  <c r="N50" i="29"/>
  <c r="N53" i="29"/>
  <c r="N49" i="29"/>
  <c r="N52" i="29"/>
  <c r="Z54" i="23"/>
  <c r="Z50" i="23"/>
  <c r="Z53" i="23"/>
  <c r="Z49" i="23"/>
  <c r="Z52" i="23"/>
  <c r="Z51" i="23"/>
  <c r="Z33" i="21"/>
  <c r="Z36" i="21"/>
  <c r="Z32" i="21"/>
  <c r="Z35" i="21"/>
  <c r="Z31" i="21"/>
  <c r="Z34" i="21"/>
  <c r="G23" i="29"/>
  <c r="Z36" i="27"/>
  <c r="Z32" i="27"/>
  <c r="Z35" i="27"/>
  <c r="Z31" i="27"/>
  <c r="Z34" i="27"/>
  <c r="Z33" i="27"/>
  <c r="J24" i="17"/>
  <c r="J27" i="17"/>
  <c r="J23" i="17"/>
  <c r="J26" i="17"/>
  <c r="J22" i="17"/>
  <c r="J25" i="17"/>
  <c r="G21" i="23"/>
  <c r="F21" i="23"/>
  <c r="BC34" i="19"/>
  <c r="BK34" i="19"/>
  <c r="BC36" i="19"/>
  <c r="BK36" i="19"/>
  <c r="K30" i="11"/>
  <c r="J30" i="11"/>
  <c r="BC36" i="17"/>
  <c r="BK36" i="17"/>
  <c r="BK35" i="17"/>
  <c r="BC35" i="17"/>
  <c r="K43" i="13"/>
  <c r="K42" i="13"/>
  <c r="K45" i="13"/>
  <c r="K41" i="13"/>
  <c r="K44" i="13"/>
  <c r="K40" i="13"/>
  <c r="W25" i="11"/>
  <c r="W24" i="11"/>
  <c r="W27" i="11"/>
  <c r="W23" i="11"/>
  <c r="W26" i="11"/>
  <c r="W22" i="11"/>
  <c r="BA35" i="10"/>
  <c r="BI35" i="10"/>
  <c r="Z33" i="11"/>
  <c r="BC23" i="41"/>
  <c r="BK23" i="41"/>
  <c r="BC25" i="41"/>
  <c r="BK25" i="41"/>
  <c r="BC31" i="38"/>
  <c r="BK31" i="38"/>
  <c r="F35" i="37"/>
  <c r="F31" i="37"/>
  <c r="F34" i="37"/>
  <c r="F33" i="37"/>
  <c r="F36" i="37"/>
  <c r="F32" i="37"/>
  <c r="J34" i="34"/>
  <c r="J33" i="34"/>
  <c r="J36" i="34"/>
  <c r="J32" i="34"/>
  <c r="J35" i="34"/>
  <c r="J31" i="34"/>
  <c r="Z43" i="32"/>
  <c r="Z42" i="32"/>
  <c r="Z45" i="32"/>
  <c r="Z41" i="32"/>
  <c r="Z44" i="32"/>
  <c r="Z40" i="32"/>
  <c r="S53" i="22"/>
  <c r="S49" i="22"/>
  <c r="S52" i="22"/>
  <c r="S51" i="22"/>
  <c r="S54" i="22"/>
  <c r="S50" i="22"/>
  <c r="AA53" i="16"/>
  <c r="AA49" i="16"/>
  <c r="AA52" i="16"/>
  <c r="AA51" i="16"/>
  <c r="AA54" i="16"/>
  <c r="AA50" i="16"/>
  <c r="G43" i="41"/>
  <c r="G42" i="41"/>
  <c r="G45" i="41"/>
  <c r="G41" i="41"/>
  <c r="G44" i="41"/>
  <c r="G40" i="41"/>
  <c r="BC52" i="41"/>
  <c r="BK52" i="41"/>
  <c r="F25" i="40"/>
  <c r="F24" i="40"/>
  <c r="F27" i="40"/>
  <c r="F23" i="40"/>
  <c r="F26" i="40"/>
  <c r="F22" i="40"/>
  <c r="O25" i="39"/>
  <c r="O24" i="39"/>
  <c r="O27" i="39"/>
  <c r="O23" i="39"/>
  <c r="O26" i="39"/>
  <c r="O22" i="39"/>
  <c r="R25" i="38"/>
  <c r="R24" i="38"/>
  <c r="R27" i="38"/>
  <c r="R23" i="38"/>
  <c r="R26" i="38"/>
  <c r="R22" i="38"/>
  <c r="BC50" i="37"/>
  <c r="BK50" i="37"/>
  <c r="O48" i="36"/>
  <c r="N48" i="36"/>
  <c r="G34" i="35"/>
  <c r="G33" i="35"/>
  <c r="G36" i="35"/>
  <c r="G32" i="35"/>
  <c r="G35" i="35"/>
  <c r="G31" i="35"/>
  <c r="O44" i="28"/>
  <c r="O40" i="28"/>
  <c r="O43" i="28"/>
  <c r="O42" i="28"/>
  <c r="O45" i="28"/>
  <c r="O41" i="28"/>
  <c r="S45" i="33"/>
  <c r="S41" i="33"/>
  <c r="S44" i="33"/>
  <c r="S40" i="33"/>
  <c r="S43" i="33"/>
  <c r="S42" i="33"/>
  <c r="S45" i="24"/>
  <c r="S41" i="24"/>
  <c r="S44" i="24"/>
  <c r="S40" i="24"/>
  <c r="S43" i="24"/>
  <c r="S42" i="24"/>
  <c r="V52" i="28"/>
  <c r="V51" i="28"/>
  <c r="V54" i="28"/>
  <c r="V50" i="28"/>
  <c r="V53" i="28"/>
  <c r="V49" i="28"/>
  <c r="N52" i="23"/>
  <c r="N51" i="23"/>
  <c r="N54" i="23"/>
  <c r="N50" i="23"/>
  <c r="N53" i="23"/>
  <c r="N49" i="23"/>
  <c r="G35" i="20"/>
  <c r="G31" i="20"/>
  <c r="G34" i="20"/>
  <c r="G33" i="20"/>
  <c r="G36" i="20"/>
  <c r="G32" i="20"/>
  <c r="AY43" i="25"/>
  <c r="BG43" i="25"/>
  <c r="BG45" i="25"/>
  <c r="AY45" i="25"/>
  <c r="N25" i="18"/>
  <c r="N24" i="18"/>
  <c r="N27" i="18"/>
  <c r="N23" i="18"/>
  <c r="N26" i="18"/>
  <c r="N22" i="18"/>
  <c r="BJ32" i="17"/>
  <c r="BB32" i="17"/>
  <c r="F43" i="14"/>
  <c r="F42" i="14"/>
  <c r="F45" i="14"/>
  <c r="F41" i="14"/>
  <c r="F44" i="14"/>
  <c r="F40" i="14"/>
  <c r="BC31" i="10"/>
  <c r="BK31" i="10"/>
  <c r="F36" i="10"/>
  <c r="F35" i="10"/>
  <c r="F34" i="10"/>
  <c r="F33" i="10"/>
  <c r="F32" i="10"/>
  <c r="F31" i="10"/>
  <c r="BC42" i="13"/>
  <c r="BK42" i="13"/>
  <c r="F53" i="13"/>
  <c r="F49" i="13"/>
  <c r="F52" i="13"/>
  <c r="F51" i="13"/>
  <c r="F54" i="13"/>
  <c r="F50" i="13"/>
  <c r="BC31" i="20"/>
  <c r="BK31" i="20"/>
  <c r="BC33" i="20"/>
  <c r="BK33" i="20"/>
  <c r="BC23" i="15"/>
  <c r="BK23" i="15"/>
  <c r="BK22" i="15"/>
  <c r="BC22" i="15"/>
  <c r="AY22" i="12"/>
  <c r="BG22" i="12"/>
  <c r="F25" i="42"/>
  <c r="F24" i="42"/>
  <c r="F27" i="42"/>
  <c r="F23" i="42"/>
  <c r="F26" i="42"/>
  <c r="F22" i="42"/>
  <c r="S43" i="37"/>
  <c r="S42" i="37"/>
  <c r="S45" i="37"/>
  <c r="S41" i="37"/>
  <c r="S44" i="37"/>
  <c r="S40" i="37"/>
  <c r="W34" i="31"/>
  <c r="W33" i="31"/>
  <c r="W36" i="31"/>
  <c r="W32" i="31"/>
  <c r="W35" i="31"/>
  <c r="W31" i="31"/>
  <c r="K45" i="24"/>
  <c r="K41" i="24"/>
  <c r="K44" i="24"/>
  <c r="K40" i="24"/>
  <c r="K43" i="24"/>
  <c r="K42" i="24"/>
  <c r="G27" i="19"/>
  <c r="G23" i="19"/>
  <c r="G26" i="19"/>
  <c r="G22" i="19"/>
  <c r="G25" i="19"/>
  <c r="G24" i="19"/>
  <c r="K45" i="23"/>
  <c r="K44" i="23"/>
  <c r="K41" i="23"/>
  <c r="K40" i="23"/>
  <c r="K43" i="23"/>
  <c r="K42" i="23"/>
  <c r="O53" i="40"/>
  <c r="O49" i="40"/>
  <c r="O52" i="40"/>
  <c r="O51" i="40"/>
  <c r="O54" i="40"/>
  <c r="O50" i="40"/>
  <c r="J52" i="36"/>
  <c r="J51" i="36"/>
  <c r="J54" i="36"/>
  <c r="J50" i="36"/>
  <c r="J53" i="36"/>
  <c r="J49" i="36"/>
  <c r="R25" i="28"/>
  <c r="R24" i="28"/>
  <c r="R27" i="28"/>
  <c r="R23" i="28"/>
  <c r="R26" i="28"/>
  <c r="R22" i="28"/>
  <c r="G52" i="15"/>
  <c r="G51" i="15"/>
  <c r="G54" i="15"/>
  <c r="G50" i="15"/>
  <c r="G53" i="15"/>
  <c r="G49" i="15"/>
  <c r="O52" i="37"/>
  <c r="O51" i="37"/>
  <c r="O54" i="37"/>
  <c r="O50" i="37"/>
  <c r="O53" i="37"/>
  <c r="O49" i="37"/>
  <c r="W43" i="19"/>
  <c r="W42" i="19"/>
  <c r="W45" i="19"/>
  <c r="W41" i="19"/>
  <c r="W40" i="19"/>
  <c r="W44" i="19"/>
  <c r="J34" i="14"/>
  <c r="J33" i="14"/>
  <c r="J36" i="14"/>
  <c r="J32" i="14"/>
  <c r="J35" i="14"/>
  <c r="J31" i="14"/>
  <c r="O27" i="41"/>
  <c r="O23" i="41"/>
  <c r="O26" i="41"/>
  <c r="O25" i="41"/>
  <c r="O24" i="41"/>
  <c r="O22" i="41"/>
  <c r="AA51" i="36"/>
  <c r="BC51" i="36" s="1"/>
  <c r="BF50" i="33"/>
  <c r="AX50" i="33"/>
  <c r="J34" i="30"/>
  <c r="J33" i="30"/>
  <c r="J36" i="30"/>
  <c r="J32" i="30"/>
  <c r="J35" i="30"/>
  <c r="J31" i="30"/>
  <c r="BC44" i="30"/>
  <c r="BK44" i="30"/>
  <c r="W34" i="26"/>
  <c r="W33" i="26"/>
  <c r="W36" i="26"/>
  <c r="W32" i="26"/>
  <c r="W35" i="26"/>
  <c r="W31" i="26"/>
  <c r="G52" i="26"/>
  <c r="G51" i="26"/>
  <c r="G54" i="26"/>
  <c r="G50" i="26"/>
  <c r="G53" i="26"/>
  <c r="G49" i="26"/>
  <c r="O45" i="15"/>
  <c r="O41" i="15"/>
  <c r="O44" i="15"/>
  <c r="O40" i="15"/>
  <c r="O43" i="15"/>
  <c r="O42" i="15"/>
  <c r="S33" i="42"/>
  <c r="S32" i="42"/>
  <c r="S35" i="42"/>
  <c r="S31" i="42"/>
  <c r="S36" i="42"/>
  <c r="S34" i="42"/>
  <c r="BB50" i="35"/>
  <c r="BJ50" i="35"/>
  <c r="BB49" i="35"/>
  <c r="BJ49" i="35"/>
  <c r="S33" i="25"/>
  <c r="S36" i="25"/>
  <c r="S32" i="25"/>
  <c r="S35" i="25"/>
  <c r="S31" i="25"/>
  <c r="S34" i="25"/>
  <c r="R42" i="11"/>
  <c r="R45" i="11"/>
  <c r="R41" i="11"/>
  <c r="R44" i="11"/>
  <c r="R40" i="11"/>
  <c r="R43" i="11"/>
  <c r="K54" i="10"/>
  <c r="K53" i="10"/>
  <c r="K52" i="10"/>
  <c r="K51" i="10"/>
  <c r="K50" i="10"/>
  <c r="K49" i="10"/>
  <c r="O30" i="10"/>
  <c r="N30" i="10"/>
  <c r="T33" i="10"/>
  <c r="R33" i="10"/>
  <c r="W33" i="10"/>
  <c r="AA33" i="10"/>
  <c r="Y33" i="10"/>
  <c r="AY53" i="18"/>
  <c r="BG53" i="18"/>
  <c r="BG52" i="18"/>
  <c r="AY52" i="18"/>
  <c r="O52" i="13"/>
  <c r="O51" i="13"/>
  <c r="O54" i="13"/>
  <c r="O50" i="13"/>
  <c r="O53" i="13"/>
  <c r="O49" i="13"/>
  <c r="O54" i="42"/>
  <c r="O50" i="42"/>
  <c r="O53" i="42"/>
  <c r="O49" i="42"/>
  <c r="O52" i="42"/>
  <c r="O51" i="42"/>
  <c r="W36" i="41"/>
  <c r="W34" i="41"/>
  <c r="W33" i="41"/>
  <c r="W35" i="41"/>
  <c r="W32" i="41"/>
  <c r="W31" i="41"/>
  <c r="G21" i="38"/>
  <c r="F21" i="38"/>
  <c r="Z22" i="38"/>
  <c r="AA22" i="38"/>
  <c r="BK27" i="36"/>
  <c r="BC27" i="36"/>
  <c r="BC35" i="36"/>
  <c r="BK35" i="36"/>
  <c r="Z34" i="36"/>
  <c r="BC27" i="35"/>
  <c r="BK27" i="35"/>
  <c r="BK26" i="35"/>
  <c r="BC26" i="35"/>
  <c r="N39" i="34"/>
  <c r="O39" i="34"/>
  <c r="O35" i="30"/>
  <c r="O31" i="30"/>
  <c r="O34" i="30"/>
  <c r="O33" i="30"/>
  <c r="O36" i="30"/>
  <c r="O32" i="30"/>
  <c r="O39" i="32"/>
  <c r="N39" i="32"/>
  <c r="AA27" i="24"/>
  <c r="AA23" i="24"/>
  <c r="AA26" i="24"/>
  <c r="AA22" i="24"/>
  <c r="AA25" i="24"/>
  <c r="AA24" i="24"/>
  <c r="O48" i="26"/>
  <c r="N48" i="26"/>
  <c r="J25" i="22"/>
  <c r="J24" i="22"/>
  <c r="J27" i="22"/>
  <c r="J23" i="22"/>
  <c r="J26" i="22"/>
  <c r="J22" i="22"/>
  <c r="K36" i="26"/>
  <c r="K32" i="26"/>
  <c r="K35" i="26"/>
  <c r="K31" i="26"/>
  <c r="K34" i="26"/>
  <c r="K33" i="26"/>
  <c r="S25" i="21"/>
  <c r="S24" i="21"/>
  <c r="S27" i="21"/>
  <c r="S23" i="21"/>
  <c r="S26" i="21"/>
  <c r="S22" i="21"/>
  <c r="AA52" i="33"/>
  <c r="AA51" i="33"/>
  <c r="AA54" i="33"/>
  <c r="AA50" i="33"/>
  <c r="AA53" i="33"/>
  <c r="AA49" i="33"/>
  <c r="BB33" i="23"/>
  <c r="BJ33" i="23"/>
  <c r="O39" i="16"/>
  <c r="N39" i="16"/>
  <c r="K53" i="16"/>
  <c r="K49" i="16"/>
  <c r="K52" i="16"/>
  <c r="K51" i="16"/>
  <c r="K54" i="16"/>
  <c r="K50" i="16"/>
  <c r="W21" i="15"/>
  <c r="V21" i="15"/>
  <c r="R33" i="15"/>
  <c r="R36" i="15"/>
  <c r="R32" i="15"/>
  <c r="R35" i="15"/>
  <c r="R31" i="15"/>
  <c r="R34" i="15"/>
  <c r="W42" i="12"/>
  <c r="W45" i="12"/>
  <c r="W41" i="12"/>
  <c r="W44" i="12"/>
  <c r="W40" i="12"/>
  <c r="W43" i="12"/>
  <c r="R51" i="35"/>
  <c r="R54" i="35"/>
  <c r="R50" i="35"/>
  <c r="R53" i="35"/>
  <c r="R49" i="35"/>
  <c r="R52" i="35"/>
  <c r="F41" i="27"/>
  <c r="F44" i="27"/>
  <c r="F40" i="27"/>
  <c r="F43" i="27"/>
  <c r="F42" i="27"/>
  <c r="F45" i="27"/>
  <c r="R26" i="26"/>
  <c r="R22" i="26"/>
  <c r="R25" i="26"/>
  <c r="R24" i="26"/>
  <c r="R27" i="26"/>
  <c r="R23" i="26"/>
  <c r="F54" i="18"/>
  <c r="F50" i="18"/>
  <c r="F53" i="18"/>
  <c r="F49" i="18"/>
  <c r="F52" i="18"/>
  <c r="F51" i="18"/>
  <c r="BC31" i="18"/>
  <c r="BK31" i="18"/>
  <c r="BC33" i="18"/>
  <c r="BK33" i="18"/>
  <c r="J53" i="39"/>
  <c r="J49" i="39"/>
  <c r="J52" i="39"/>
  <c r="J51" i="39"/>
  <c r="J54" i="39"/>
  <c r="J50" i="39"/>
  <c r="V51" i="39"/>
  <c r="V54" i="39"/>
  <c r="V50" i="39"/>
  <c r="V53" i="39"/>
  <c r="V49" i="39"/>
  <c r="V52" i="39"/>
  <c r="BC24" i="37"/>
  <c r="BK24" i="37"/>
  <c r="BC51" i="38"/>
  <c r="BK51" i="38"/>
  <c r="BK50" i="38"/>
  <c r="BC50" i="38"/>
  <c r="V35" i="37"/>
  <c r="V31" i="37"/>
  <c r="V34" i="37"/>
  <c r="V33" i="37"/>
  <c r="V36" i="37"/>
  <c r="V32" i="37"/>
  <c r="BC35" i="35"/>
  <c r="BK35" i="35"/>
  <c r="BB43" i="35"/>
  <c r="BJ43" i="35"/>
  <c r="BJ45" i="35"/>
  <c r="BB45" i="35"/>
  <c r="G42" i="33"/>
  <c r="AX42" i="33" s="1"/>
  <c r="V41" i="29"/>
  <c r="BB40" i="29"/>
  <c r="BJ40" i="29"/>
  <c r="F30" i="32"/>
  <c r="G30" i="32"/>
  <c r="K21" i="33"/>
  <c r="J21" i="33"/>
  <c r="BA42" i="30"/>
  <c r="BI42" i="30"/>
  <c r="BA41" i="30"/>
  <c r="BI41" i="30"/>
  <c r="K24" i="27"/>
  <c r="K27" i="27"/>
  <c r="K23" i="27"/>
  <c r="K26" i="27"/>
  <c r="K22" i="27"/>
  <c r="K25" i="27"/>
  <c r="AA24" i="22"/>
  <c r="AA27" i="22"/>
  <c r="AA23" i="22"/>
  <c r="AA26" i="22"/>
  <c r="AA22" i="22"/>
  <c r="AA25" i="22"/>
  <c r="F23" i="29"/>
  <c r="AX22" i="29"/>
  <c r="BF22" i="29"/>
  <c r="BB52" i="24"/>
  <c r="BJ52" i="24"/>
  <c r="BJ54" i="24"/>
  <c r="BB54" i="24"/>
  <c r="J53" i="17"/>
  <c r="J49" i="17"/>
  <c r="J52" i="17"/>
  <c r="J51" i="17"/>
  <c r="J54" i="17"/>
  <c r="J50" i="17"/>
  <c r="S42" i="16"/>
  <c r="S45" i="16"/>
  <c r="S41" i="16"/>
  <c r="S44" i="16"/>
  <c r="S40" i="16"/>
  <c r="S43" i="16"/>
  <c r="N21" i="14"/>
  <c r="O21" i="14"/>
  <c r="Z34" i="14"/>
  <c r="Z33" i="14"/>
  <c r="Z36" i="14"/>
  <c r="Z32" i="14"/>
  <c r="Z35" i="14"/>
  <c r="Z31" i="14"/>
  <c r="F25" i="12"/>
  <c r="F24" i="12"/>
  <c r="F27" i="12"/>
  <c r="F23" i="12"/>
  <c r="F26" i="12"/>
  <c r="F22" i="12"/>
  <c r="W54" i="11"/>
  <c r="W50" i="11"/>
  <c r="W53" i="11"/>
  <c r="W49" i="11"/>
  <c r="W52" i="11"/>
  <c r="W51" i="11"/>
  <c r="K39" i="20"/>
  <c r="J39" i="20"/>
  <c r="BC50" i="15"/>
  <c r="BK50" i="15"/>
  <c r="Z43" i="12"/>
  <c r="BK45" i="12"/>
  <c r="BC45" i="12"/>
  <c r="Z41" i="42"/>
  <c r="G45" i="37"/>
  <c r="G41" i="37"/>
  <c r="G44" i="37"/>
  <c r="G40" i="37"/>
  <c r="G43" i="37"/>
  <c r="G42" i="37"/>
  <c r="O52" i="35"/>
  <c r="O51" i="35"/>
  <c r="O54" i="35"/>
  <c r="O50" i="35"/>
  <c r="O53" i="35"/>
  <c r="O49" i="35"/>
  <c r="AA43" i="31"/>
  <c r="AA42" i="31"/>
  <c r="AA45" i="31"/>
  <c r="AA41" i="31"/>
  <c r="AA44" i="31"/>
  <c r="AA40" i="31"/>
  <c r="V25" i="25"/>
  <c r="V24" i="25"/>
  <c r="V27" i="25"/>
  <c r="V23" i="25"/>
  <c r="V26" i="25"/>
  <c r="V22" i="25"/>
  <c r="BB45" i="24"/>
  <c r="BJ45" i="24"/>
  <c r="BB44" i="24"/>
  <c r="BJ44" i="24"/>
  <c r="BJ25" i="23"/>
  <c r="BB25" i="23"/>
  <c r="R34" i="18"/>
  <c r="R33" i="18"/>
  <c r="R36" i="18"/>
  <c r="R32" i="18"/>
  <c r="R35" i="18"/>
  <c r="R31" i="18"/>
  <c r="BC31" i="13"/>
  <c r="BK31" i="13"/>
  <c r="BK33" i="13"/>
  <c r="BC33" i="13"/>
  <c r="Z32" i="42"/>
  <c r="F24" i="41"/>
  <c r="F27" i="41"/>
  <c r="F23" i="41"/>
  <c r="F25" i="41"/>
  <c r="F26" i="41"/>
  <c r="F22" i="41"/>
  <c r="K51" i="40"/>
  <c r="K54" i="40"/>
  <c r="K50" i="40"/>
  <c r="K53" i="40"/>
  <c r="K49" i="40"/>
  <c r="K52" i="40"/>
  <c r="V27" i="38"/>
  <c r="V23" i="38"/>
  <c r="V26" i="38"/>
  <c r="V22" i="38"/>
  <c r="V25" i="38"/>
  <c r="V24" i="38"/>
  <c r="F42" i="35"/>
  <c r="F45" i="35"/>
  <c r="F41" i="35"/>
  <c r="F44" i="35"/>
  <c r="F40" i="35"/>
  <c r="F43" i="35"/>
  <c r="N27" i="28"/>
  <c r="N23" i="28"/>
  <c r="N26" i="28"/>
  <c r="N22" i="28"/>
  <c r="N25" i="28"/>
  <c r="N24" i="28"/>
  <c r="R27" i="33"/>
  <c r="R26" i="33"/>
  <c r="R22" i="33"/>
  <c r="R25" i="33"/>
  <c r="R23" i="33"/>
  <c r="R24" i="33"/>
  <c r="BC25" i="29"/>
  <c r="BK25" i="29"/>
  <c r="BC27" i="29"/>
  <c r="BK27" i="29"/>
  <c r="R24" i="24"/>
  <c r="R27" i="24"/>
  <c r="R23" i="24"/>
  <c r="R26" i="24"/>
  <c r="R22" i="24"/>
  <c r="R25" i="24"/>
  <c r="W33" i="28"/>
  <c r="W36" i="28"/>
  <c r="W32" i="28"/>
  <c r="W35" i="28"/>
  <c r="W31" i="28"/>
  <c r="W34" i="28"/>
  <c r="V23" i="29"/>
  <c r="BB22" i="29"/>
  <c r="BJ22" i="29"/>
  <c r="N45" i="23"/>
  <c r="N44" i="23"/>
  <c r="N40" i="23"/>
  <c r="N43" i="23"/>
  <c r="N42" i="23"/>
  <c r="N41" i="23"/>
  <c r="G42" i="20"/>
  <c r="G45" i="20"/>
  <c r="G41" i="20"/>
  <c r="G44" i="20"/>
  <c r="G40" i="20"/>
  <c r="G43" i="20"/>
  <c r="F41" i="29"/>
  <c r="AX40" i="29"/>
  <c r="BF40" i="29"/>
  <c r="BB43" i="23"/>
  <c r="BJ43" i="23"/>
  <c r="BB40" i="20"/>
  <c r="BJ40" i="20"/>
  <c r="BJ42" i="20"/>
  <c r="BB42" i="20"/>
  <c r="N54" i="18"/>
  <c r="N50" i="18"/>
  <c r="N53" i="18"/>
  <c r="N49" i="18"/>
  <c r="N52" i="18"/>
  <c r="N51" i="18"/>
  <c r="BC50" i="18"/>
  <c r="BK50" i="18"/>
  <c r="BB40" i="10"/>
  <c r="BJ40" i="10"/>
  <c r="G45" i="13"/>
  <c r="G41" i="13"/>
  <c r="G44" i="13"/>
  <c r="G40" i="13"/>
  <c r="G43" i="13"/>
  <c r="G42" i="13"/>
  <c r="AY35" i="18"/>
  <c r="BG35" i="18"/>
  <c r="BG34" i="18"/>
  <c r="AY34" i="18"/>
  <c r="BC54" i="12"/>
  <c r="BK54" i="12"/>
  <c r="J33" i="41"/>
  <c r="J36" i="41"/>
  <c r="J32" i="41"/>
  <c r="J35" i="41"/>
  <c r="J34" i="41"/>
  <c r="J31" i="41"/>
  <c r="S35" i="32"/>
  <c r="S31" i="32"/>
  <c r="S34" i="32"/>
  <c r="S33" i="32"/>
  <c r="S36" i="32"/>
  <c r="S32" i="32"/>
  <c r="S34" i="29"/>
  <c r="S33" i="29"/>
  <c r="S36" i="29"/>
  <c r="S32" i="29"/>
  <c r="S35" i="29"/>
  <c r="S31" i="29"/>
  <c r="F34" i="22"/>
  <c r="F33" i="22"/>
  <c r="F36" i="22"/>
  <c r="F32" i="22"/>
  <c r="F35" i="22"/>
  <c r="F31" i="22"/>
  <c r="G53" i="34"/>
  <c r="G49" i="34"/>
  <c r="G52" i="34"/>
  <c r="G51" i="34"/>
  <c r="G54" i="34"/>
  <c r="G50" i="34"/>
  <c r="F34" i="16"/>
  <c r="F33" i="16"/>
  <c r="F36" i="16"/>
  <c r="F32" i="16"/>
  <c r="F35" i="16"/>
  <c r="F31" i="16"/>
  <c r="G25" i="39"/>
  <c r="G24" i="39"/>
  <c r="G27" i="39"/>
  <c r="G23" i="39"/>
  <c r="G26" i="39"/>
  <c r="G22" i="39"/>
  <c r="K36" i="37"/>
  <c r="K32" i="37"/>
  <c r="K35" i="37"/>
  <c r="K31" i="37"/>
  <c r="K34" i="37"/>
  <c r="K33" i="37"/>
  <c r="K35" i="28"/>
  <c r="K31" i="28"/>
  <c r="K34" i="28"/>
  <c r="K33" i="28"/>
  <c r="K36" i="28"/>
  <c r="K32" i="28"/>
  <c r="S26" i="40"/>
  <c r="S22" i="40"/>
  <c r="S25" i="40"/>
  <c r="S24" i="40"/>
  <c r="S27" i="40"/>
  <c r="S23" i="40"/>
  <c r="R52" i="34"/>
  <c r="R51" i="34"/>
  <c r="R54" i="34"/>
  <c r="R50" i="34"/>
  <c r="R53" i="34"/>
  <c r="R49" i="34"/>
  <c r="O54" i="19"/>
  <c r="O50" i="19"/>
  <c r="O53" i="19"/>
  <c r="O49" i="19"/>
  <c r="O52" i="19"/>
  <c r="O51" i="19"/>
  <c r="S45" i="39"/>
  <c r="S41" i="39"/>
  <c r="S44" i="39"/>
  <c r="S40" i="39"/>
  <c r="S43" i="39"/>
  <c r="S42" i="39"/>
  <c r="O44" i="38"/>
  <c r="O45" i="38"/>
  <c r="O40" i="38"/>
  <c r="O43" i="38"/>
  <c r="O42" i="38"/>
  <c r="O41" i="38"/>
  <c r="W44" i="22"/>
  <c r="W40" i="22"/>
  <c r="W43" i="22"/>
  <c r="W42" i="22"/>
  <c r="W45" i="22"/>
  <c r="W41" i="22"/>
  <c r="O52" i="21"/>
  <c r="O51" i="21"/>
  <c r="O54" i="21"/>
  <c r="O50" i="21"/>
  <c r="O53" i="21"/>
  <c r="O49" i="21"/>
  <c r="S52" i="17"/>
  <c r="S51" i="17"/>
  <c r="S54" i="17"/>
  <c r="S50" i="17"/>
  <c r="S53" i="17"/>
  <c r="S49" i="17"/>
  <c r="BC26" i="20"/>
  <c r="BK26" i="20"/>
  <c r="G53" i="36"/>
  <c r="G49" i="36"/>
  <c r="G52" i="36"/>
  <c r="G51" i="36"/>
  <c r="G54" i="36"/>
  <c r="G50" i="36"/>
  <c r="S44" i="25"/>
  <c r="S40" i="25"/>
  <c r="S43" i="25"/>
  <c r="S42" i="25"/>
  <c r="S45" i="25"/>
  <c r="S41" i="25"/>
  <c r="BC26" i="18"/>
  <c r="BK26" i="18"/>
  <c r="BB34" i="20"/>
  <c r="BJ34" i="20"/>
  <c r="BB36" i="20"/>
  <c r="BJ36" i="20"/>
  <c r="S27" i="11"/>
  <c r="S23" i="11"/>
  <c r="S26" i="11"/>
  <c r="S22" i="11"/>
  <c r="S25" i="11"/>
  <c r="S24" i="11"/>
  <c r="S33" i="14"/>
  <c r="S36" i="14"/>
  <c r="S32" i="14"/>
  <c r="S35" i="14"/>
  <c r="S31" i="14"/>
  <c r="S34" i="14"/>
  <c r="F26" i="17"/>
  <c r="F22" i="17"/>
  <c r="F25" i="17"/>
  <c r="F24" i="17"/>
  <c r="F27" i="17"/>
  <c r="F23" i="17"/>
  <c r="W43" i="42"/>
  <c r="W44" i="42"/>
  <c r="W45" i="42"/>
  <c r="W42" i="42"/>
  <c r="W41" i="42"/>
  <c r="W40" i="42"/>
  <c r="Z50" i="42"/>
  <c r="BK49" i="42"/>
  <c r="BC49" i="42"/>
  <c r="BK44" i="38"/>
  <c r="BC44" i="38"/>
  <c r="S48" i="41"/>
  <c r="R48" i="41"/>
  <c r="AA34" i="36"/>
  <c r="BC53" i="35"/>
  <c r="BK53" i="35"/>
  <c r="V44" i="33"/>
  <c r="V40" i="33"/>
  <c r="V43" i="33"/>
  <c r="V42" i="33"/>
  <c r="V45" i="33"/>
  <c r="V41" i="33"/>
  <c r="BB26" i="35"/>
  <c r="BJ26" i="35"/>
  <c r="V54" i="30"/>
  <c r="V50" i="30"/>
  <c r="V53" i="30"/>
  <c r="V49" i="30"/>
  <c r="V52" i="30"/>
  <c r="V51" i="30"/>
  <c r="G24" i="30"/>
  <c r="G27" i="30"/>
  <c r="G23" i="30"/>
  <c r="G26" i="30"/>
  <c r="G22" i="30"/>
  <c r="G25" i="30"/>
  <c r="BC49" i="30"/>
  <c r="BK49" i="30"/>
  <c r="BC51" i="30"/>
  <c r="BK51" i="30"/>
  <c r="G21" i="31"/>
  <c r="F21" i="31"/>
  <c r="F39" i="25"/>
  <c r="G39" i="25"/>
  <c r="G36" i="24"/>
  <c r="G32" i="24"/>
  <c r="G35" i="24"/>
  <c r="G31" i="24"/>
  <c r="G34" i="24"/>
  <c r="G33" i="24"/>
  <c r="N52" i="22"/>
  <c r="N51" i="22"/>
  <c r="N54" i="22"/>
  <c r="N50" i="22"/>
  <c r="N53" i="22"/>
  <c r="N49" i="22"/>
  <c r="W45" i="21"/>
  <c r="W41" i="21"/>
  <c r="W44" i="21"/>
  <c r="W40" i="21"/>
  <c r="W43" i="21"/>
  <c r="W42" i="21"/>
  <c r="AA44" i="25"/>
  <c r="AA40" i="25"/>
  <c r="AA43" i="25"/>
  <c r="AA42" i="25"/>
  <c r="AA45" i="25"/>
  <c r="AA41" i="25"/>
  <c r="N43" i="20"/>
  <c r="N42" i="20"/>
  <c r="N45" i="20"/>
  <c r="N41" i="20"/>
  <c r="N44" i="20"/>
  <c r="N40" i="20"/>
  <c r="AA43" i="26"/>
  <c r="AA42" i="26"/>
  <c r="AA45" i="26"/>
  <c r="AA41" i="26"/>
  <c r="AA44" i="26"/>
  <c r="AA40" i="26"/>
  <c r="AY53" i="25"/>
  <c r="BG53" i="25"/>
  <c r="BG52" i="25"/>
  <c r="AY52" i="25"/>
  <c r="S52" i="19"/>
  <c r="S51" i="19"/>
  <c r="S54" i="19"/>
  <c r="S50" i="19"/>
  <c r="S53" i="19"/>
  <c r="S49" i="19"/>
  <c r="K54" i="15"/>
  <c r="K50" i="15"/>
  <c r="K53" i="15"/>
  <c r="K49" i="15"/>
  <c r="K52" i="15"/>
  <c r="K51" i="15"/>
  <c r="BB27" i="17"/>
  <c r="BJ27" i="17"/>
  <c r="BB26" i="17"/>
  <c r="BJ26" i="17"/>
  <c r="BC41" i="17"/>
  <c r="BK41" i="17"/>
  <c r="V25" i="12"/>
  <c r="V24" i="12"/>
  <c r="V27" i="12"/>
  <c r="V23" i="12"/>
  <c r="V26" i="12"/>
  <c r="V22" i="12"/>
  <c r="BC49" i="13"/>
  <c r="BK49" i="13"/>
  <c r="BK51" i="13"/>
  <c r="BC51" i="13"/>
  <c r="AY26" i="18"/>
  <c r="BG26" i="18"/>
  <c r="AY53" i="12"/>
  <c r="BG53" i="12"/>
  <c r="R33" i="35"/>
  <c r="R36" i="35"/>
  <c r="R32" i="35"/>
  <c r="R35" i="35"/>
  <c r="R31" i="35"/>
  <c r="R34" i="35"/>
  <c r="AA41" i="29"/>
  <c r="O24" i="25"/>
  <c r="O27" i="25"/>
  <c r="O23" i="25"/>
  <c r="O26" i="25"/>
  <c r="O22" i="25"/>
  <c r="O25" i="25"/>
  <c r="W33" i="16"/>
  <c r="W36" i="16"/>
  <c r="W32" i="16"/>
  <c r="W35" i="16"/>
  <c r="W31" i="16"/>
  <c r="W34" i="16"/>
  <c r="V36" i="14"/>
  <c r="V32" i="14"/>
  <c r="V35" i="14"/>
  <c r="V31" i="14"/>
  <c r="V34" i="14"/>
  <c r="V33" i="14"/>
  <c r="F33" i="11"/>
  <c r="F36" i="11"/>
  <c r="F32" i="11"/>
  <c r="F35" i="11"/>
  <c r="F31" i="11"/>
  <c r="F34" i="11"/>
  <c r="AY40" i="12"/>
  <c r="BG40" i="12"/>
  <c r="Z35" i="39"/>
  <c r="Z31" i="39"/>
  <c r="Z34" i="39"/>
  <c r="Z33" i="39"/>
  <c r="Z36" i="39"/>
  <c r="Z32" i="39"/>
  <c r="V54" i="40"/>
  <c r="V50" i="40"/>
  <c r="V53" i="40"/>
  <c r="V49" i="40"/>
  <c r="V52" i="40"/>
  <c r="V51" i="40"/>
  <c r="J54" i="38"/>
  <c r="J50" i="38"/>
  <c r="J53" i="38"/>
  <c r="J49" i="38"/>
  <c r="J52" i="38"/>
  <c r="J51" i="38"/>
  <c r="J33" i="31"/>
  <c r="J36" i="31"/>
  <c r="J32" i="31"/>
  <c r="J35" i="31"/>
  <c r="J31" i="31"/>
  <c r="J34" i="31"/>
  <c r="W33" i="32"/>
  <c r="W36" i="32"/>
  <c r="W32" i="32"/>
  <c r="W35" i="32"/>
  <c r="W31" i="32"/>
  <c r="W34" i="32"/>
  <c r="W33" i="27"/>
  <c r="W36" i="27"/>
  <c r="W32" i="27"/>
  <c r="W35" i="27"/>
  <c r="W31" i="27"/>
  <c r="W34" i="27"/>
  <c r="N44" i="29"/>
  <c r="N40" i="29"/>
  <c r="N43" i="29"/>
  <c r="N42" i="29"/>
  <c r="N45" i="29"/>
  <c r="N41" i="29"/>
  <c r="W24" i="24"/>
  <c r="Z54" i="22"/>
  <c r="Z50" i="22"/>
  <c r="Z53" i="22"/>
  <c r="Z49" i="22"/>
  <c r="Z52" i="22"/>
  <c r="Z51" i="22"/>
  <c r="AA45" i="27"/>
  <c r="AA42" i="27"/>
  <c r="AA41" i="27"/>
  <c r="AA44" i="27"/>
  <c r="AA40" i="27"/>
  <c r="AA43" i="27"/>
  <c r="J35" i="17"/>
  <c r="J31" i="17"/>
  <c r="J34" i="17"/>
  <c r="J33" i="17"/>
  <c r="J36" i="17"/>
  <c r="J32" i="17"/>
  <c r="J22" i="25"/>
  <c r="S24" i="16"/>
  <c r="S27" i="16"/>
  <c r="S23" i="16"/>
  <c r="S26" i="16"/>
  <c r="S22" i="16"/>
  <c r="S25" i="16"/>
  <c r="BB41" i="17"/>
  <c r="BJ41" i="17"/>
  <c r="BB40" i="17"/>
  <c r="BJ40" i="17"/>
  <c r="BA25" i="10"/>
  <c r="BI25" i="10"/>
  <c r="AA44" i="14"/>
  <c r="AA40" i="14"/>
  <c r="AA43" i="14"/>
  <c r="AA42" i="14"/>
  <c r="AA45" i="14"/>
  <c r="AA41" i="14"/>
  <c r="G53" i="12"/>
  <c r="G49" i="12"/>
  <c r="G52" i="12"/>
  <c r="G51" i="12"/>
  <c r="G54" i="12"/>
  <c r="G50" i="12"/>
  <c r="W36" i="11"/>
  <c r="W32" i="11"/>
  <c r="W35" i="11"/>
  <c r="W31" i="11"/>
  <c r="W34" i="11"/>
  <c r="W33" i="11"/>
  <c r="BJ53" i="10"/>
  <c r="BB53" i="10"/>
  <c r="AY31" i="12"/>
  <c r="BG31" i="12"/>
  <c r="AY33" i="12"/>
  <c r="BG33" i="12"/>
  <c r="K26" i="34"/>
  <c r="K22" i="34"/>
  <c r="K25" i="34"/>
  <c r="K24" i="34"/>
  <c r="K27" i="34"/>
  <c r="K23" i="34"/>
  <c r="AA53" i="32"/>
  <c r="AA49" i="32"/>
  <c r="AA52" i="32"/>
  <c r="AA51" i="32"/>
  <c r="AA54" i="32"/>
  <c r="AA50" i="32"/>
  <c r="R43" i="22"/>
  <c r="R42" i="22"/>
  <c r="R45" i="22"/>
  <c r="R41" i="22"/>
  <c r="R44" i="22"/>
  <c r="R40" i="22"/>
  <c r="AY35" i="25"/>
  <c r="BG35" i="25"/>
  <c r="BG34" i="25"/>
  <c r="AY34" i="25"/>
  <c r="Z43" i="16"/>
  <c r="Z42" i="16"/>
  <c r="Z45" i="16"/>
  <c r="Z41" i="16"/>
  <c r="Z44" i="16"/>
  <c r="Z40" i="16"/>
  <c r="G36" i="41"/>
  <c r="G34" i="41"/>
  <c r="G33" i="41"/>
  <c r="G35" i="41"/>
  <c r="G32" i="41"/>
  <c r="G31" i="41"/>
  <c r="J34" i="40"/>
  <c r="J33" i="40"/>
  <c r="J36" i="40"/>
  <c r="J32" i="40"/>
  <c r="J35" i="40"/>
  <c r="J31" i="40"/>
  <c r="V34" i="38"/>
  <c r="V33" i="38"/>
  <c r="V36" i="38"/>
  <c r="V32" i="38"/>
  <c r="V35" i="38"/>
  <c r="V31" i="38"/>
  <c r="G27" i="35"/>
  <c r="G23" i="35"/>
  <c r="G26" i="35"/>
  <c r="G22" i="35"/>
  <c r="G25" i="35"/>
  <c r="G24" i="35"/>
  <c r="N52" i="28"/>
  <c r="N51" i="28"/>
  <c r="N54" i="28"/>
  <c r="N50" i="28"/>
  <c r="N53" i="28"/>
  <c r="N49" i="28"/>
  <c r="K54" i="35"/>
  <c r="K50" i="35"/>
  <c r="K53" i="35"/>
  <c r="K49" i="35"/>
  <c r="K52" i="35"/>
  <c r="K51" i="35"/>
  <c r="O45" i="27"/>
  <c r="O44" i="27"/>
  <c r="O40" i="27"/>
  <c r="O43" i="27"/>
  <c r="O42" i="27"/>
  <c r="O41" i="27"/>
  <c r="AA53" i="28"/>
  <c r="AA49" i="28"/>
  <c r="AA52" i="28"/>
  <c r="AA51" i="28"/>
  <c r="AA54" i="28"/>
  <c r="AA50" i="28"/>
  <c r="K53" i="32"/>
  <c r="K49" i="32"/>
  <c r="K52" i="32"/>
  <c r="K51" i="32"/>
  <c r="K54" i="32"/>
  <c r="K50" i="32"/>
  <c r="BI36" i="30"/>
  <c r="BA36" i="30"/>
  <c r="S54" i="27"/>
  <c r="S50" i="27"/>
  <c r="S52" i="27"/>
  <c r="S51" i="27"/>
  <c r="S53" i="27"/>
  <c r="S49" i="27"/>
  <c r="K43" i="21"/>
  <c r="K42" i="21"/>
  <c r="K45" i="21"/>
  <c r="K41" i="21"/>
  <c r="K44" i="21"/>
  <c r="K40" i="21"/>
  <c r="O35" i="18"/>
  <c r="O31" i="18"/>
  <c r="O34" i="18"/>
  <c r="O33" i="18"/>
  <c r="O36" i="18"/>
  <c r="O32" i="18"/>
  <c r="BC27" i="19"/>
  <c r="BK27" i="19"/>
  <c r="BK26" i="19"/>
  <c r="BC26" i="19"/>
  <c r="BC54" i="17"/>
  <c r="BK54" i="17"/>
  <c r="BK53" i="17"/>
  <c r="BC53" i="17"/>
  <c r="BC49" i="10"/>
  <c r="BK49" i="10"/>
  <c r="G54" i="10"/>
  <c r="G53" i="10"/>
  <c r="G52" i="10"/>
  <c r="G51" i="10"/>
  <c r="G50" i="10"/>
  <c r="G49" i="10"/>
  <c r="V42" i="13"/>
  <c r="V45" i="13"/>
  <c r="V41" i="13"/>
  <c r="V44" i="13"/>
  <c r="V40" i="13"/>
  <c r="V43" i="13"/>
  <c r="F51" i="42"/>
  <c r="F54" i="42"/>
  <c r="F50" i="42"/>
  <c r="F53" i="42"/>
  <c r="F49" i="42"/>
  <c r="F52" i="42"/>
  <c r="R51" i="37"/>
  <c r="R54" i="37"/>
  <c r="R50" i="37"/>
  <c r="R53" i="37"/>
  <c r="R49" i="37"/>
  <c r="R52" i="37"/>
  <c r="V42" i="31"/>
  <c r="V45" i="31"/>
  <c r="V41" i="31"/>
  <c r="V44" i="31"/>
  <c r="V40" i="31"/>
  <c r="V43" i="31"/>
  <c r="J53" i="24"/>
  <c r="J49" i="24"/>
  <c r="J52" i="24"/>
  <c r="J51" i="24"/>
  <c r="J54" i="24"/>
  <c r="J50" i="24"/>
  <c r="F51" i="19"/>
  <c r="F54" i="19"/>
  <c r="F50" i="19"/>
  <c r="F53" i="19"/>
  <c r="F49" i="19"/>
  <c r="F52" i="19"/>
  <c r="J54" i="23"/>
  <c r="J50" i="23"/>
  <c r="J53" i="23"/>
  <c r="J49" i="23"/>
  <c r="J52" i="23"/>
  <c r="J51" i="23"/>
  <c r="O42" i="40"/>
  <c r="O45" i="40"/>
  <c r="O41" i="40"/>
  <c r="O44" i="40"/>
  <c r="O40" i="40"/>
  <c r="O43" i="40"/>
  <c r="J45" i="36"/>
  <c r="J41" i="36"/>
  <c r="J44" i="36"/>
  <c r="J40" i="36"/>
  <c r="J43" i="36"/>
  <c r="J42" i="36"/>
  <c r="R36" i="28"/>
  <c r="R32" i="28"/>
  <c r="R35" i="28"/>
  <c r="R31" i="28"/>
  <c r="R34" i="28"/>
  <c r="R33" i="28"/>
  <c r="F42" i="15"/>
  <c r="F45" i="15"/>
  <c r="F41" i="15"/>
  <c r="F44" i="15"/>
  <c r="F40" i="15"/>
  <c r="F43" i="15"/>
  <c r="N42" i="37"/>
  <c r="N45" i="37"/>
  <c r="N41" i="37"/>
  <c r="N44" i="37"/>
  <c r="N40" i="37"/>
  <c r="N43" i="37"/>
  <c r="V51" i="19"/>
  <c r="V54" i="19"/>
  <c r="V50" i="19"/>
  <c r="V53" i="19"/>
  <c r="V49" i="19"/>
  <c r="V52" i="19"/>
  <c r="J27" i="14"/>
  <c r="J23" i="14"/>
  <c r="J26" i="14"/>
  <c r="J22" i="14"/>
  <c r="J25" i="14"/>
  <c r="J24" i="14"/>
  <c r="N51" i="41"/>
  <c r="N54" i="41"/>
  <c r="N50" i="41"/>
  <c r="N53" i="41"/>
  <c r="N49" i="41"/>
  <c r="N52" i="41"/>
  <c r="J27" i="30"/>
  <c r="J23" i="30"/>
  <c r="J26" i="30"/>
  <c r="J22" i="30"/>
  <c r="J25" i="30"/>
  <c r="J24" i="30"/>
  <c r="V24" i="26"/>
  <c r="V27" i="26"/>
  <c r="V23" i="26"/>
  <c r="V26" i="26"/>
  <c r="V22" i="26"/>
  <c r="V25" i="26"/>
  <c r="F42" i="26"/>
  <c r="F45" i="26"/>
  <c r="F41" i="26"/>
  <c r="F44" i="26"/>
  <c r="F40" i="26"/>
  <c r="F43" i="26"/>
  <c r="N53" i="15"/>
  <c r="N49" i="15"/>
  <c r="N52" i="15"/>
  <c r="N51" i="15"/>
  <c r="N54" i="15"/>
  <c r="N50" i="15"/>
  <c r="BB53" i="17"/>
  <c r="BJ53" i="17"/>
  <c r="R42" i="42"/>
  <c r="R43" i="42"/>
  <c r="R41" i="42"/>
  <c r="R44" i="42"/>
  <c r="R45" i="42"/>
  <c r="R40" i="42"/>
  <c r="R35" i="23"/>
  <c r="R31" i="23"/>
  <c r="R34" i="23"/>
  <c r="R33" i="23"/>
  <c r="R36" i="23"/>
  <c r="R32" i="23"/>
  <c r="S52" i="11"/>
  <c r="S51" i="11"/>
  <c r="S54" i="11"/>
  <c r="S50" i="11"/>
  <c r="S53" i="11"/>
  <c r="S49" i="11"/>
  <c r="BC32" i="10"/>
  <c r="BK32" i="10"/>
  <c r="R45" i="14"/>
  <c r="R41" i="14"/>
  <c r="R44" i="14"/>
  <c r="R40" i="14"/>
  <c r="R43" i="14"/>
  <c r="R42" i="14"/>
  <c r="G54" i="17"/>
  <c r="G50" i="17"/>
  <c r="G53" i="17"/>
  <c r="G49" i="17"/>
  <c r="G52" i="17"/>
  <c r="G51" i="17"/>
  <c r="O45" i="13"/>
  <c r="O41" i="13"/>
  <c r="O44" i="13"/>
  <c r="O40" i="13"/>
  <c r="O43" i="13"/>
  <c r="O42" i="13"/>
  <c r="BC36" i="12"/>
  <c r="BK36" i="12"/>
  <c r="N25" i="42"/>
  <c r="N24" i="42"/>
  <c r="N27" i="42"/>
  <c r="N23" i="42"/>
  <c r="N26" i="42"/>
  <c r="N22" i="42"/>
  <c r="BC40" i="41"/>
  <c r="BK40" i="41"/>
  <c r="BK42" i="41"/>
  <c r="BC42" i="41"/>
  <c r="S21" i="36"/>
  <c r="R21" i="36"/>
  <c r="BC23" i="38"/>
  <c r="BK23" i="38"/>
  <c r="V26" i="33"/>
  <c r="V25" i="33"/>
  <c r="V24" i="33"/>
  <c r="V27" i="33"/>
  <c r="V23" i="33"/>
  <c r="V22" i="33"/>
  <c r="N21" i="33"/>
  <c r="O21" i="33"/>
  <c r="O24" i="30"/>
  <c r="O27" i="30"/>
  <c r="O23" i="30"/>
  <c r="O26" i="30"/>
  <c r="O22" i="30"/>
  <c r="O25" i="30"/>
  <c r="G24" i="33"/>
  <c r="Z35" i="24"/>
  <c r="Z31" i="24"/>
  <c r="Z34" i="24"/>
  <c r="Z33" i="24"/>
  <c r="Z36" i="24"/>
  <c r="Z32" i="24"/>
  <c r="O48" i="24"/>
  <c r="N48" i="24"/>
  <c r="F26" i="24"/>
  <c r="F22" i="24"/>
  <c r="F25" i="24"/>
  <c r="F24" i="24"/>
  <c r="F27" i="24"/>
  <c r="F23" i="24"/>
  <c r="BA22" i="30"/>
  <c r="BI22" i="30"/>
  <c r="O33" i="22"/>
  <c r="O36" i="22"/>
  <c r="O32" i="22"/>
  <c r="O35" i="22"/>
  <c r="O31" i="22"/>
  <c r="O34" i="22"/>
  <c r="V24" i="21"/>
  <c r="V27" i="21"/>
  <c r="V23" i="21"/>
  <c r="V26" i="21"/>
  <c r="V22" i="21"/>
  <c r="V25" i="21"/>
  <c r="Z27" i="25"/>
  <c r="Z23" i="25"/>
  <c r="Z26" i="25"/>
  <c r="Z22" i="25"/>
  <c r="Z25" i="25"/>
  <c r="Z24" i="25"/>
  <c r="O24" i="20"/>
  <c r="O27" i="20"/>
  <c r="O23" i="20"/>
  <c r="O26" i="20"/>
  <c r="O22" i="20"/>
  <c r="O25" i="20"/>
  <c r="R26" i="15"/>
  <c r="R22" i="15"/>
  <c r="R25" i="15"/>
  <c r="R24" i="15"/>
  <c r="R27" i="15"/>
  <c r="R23" i="15"/>
  <c r="BC50" i="19"/>
  <c r="BK50" i="19"/>
  <c r="BK49" i="19"/>
  <c r="BC49" i="19"/>
  <c r="O42" i="12"/>
  <c r="O45" i="12"/>
  <c r="O41" i="12"/>
  <c r="O44" i="12"/>
  <c r="O40" i="12"/>
  <c r="O43" i="12"/>
  <c r="G51" i="28"/>
  <c r="G54" i="28"/>
  <c r="G50" i="28"/>
  <c r="G53" i="28"/>
  <c r="G49" i="28"/>
  <c r="G52" i="28"/>
  <c r="R44" i="31"/>
  <c r="R40" i="31"/>
  <c r="R43" i="31"/>
  <c r="R42" i="31"/>
  <c r="R45" i="31"/>
  <c r="R41" i="31"/>
  <c r="BC44" i="29"/>
  <c r="BK44" i="29"/>
  <c r="G33" i="27"/>
  <c r="G36" i="27"/>
  <c r="G32" i="27"/>
  <c r="G35" i="27"/>
  <c r="G31" i="27"/>
  <c r="G34" i="27"/>
  <c r="R33" i="26"/>
  <c r="R36" i="26"/>
  <c r="R32" i="26"/>
  <c r="R35" i="26"/>
  <c r="R31" i="26"/>
  <c r="R34" i="26"/>
  <c r="G42" i="18"/>
  <c r="G45" i="18"/>
  <c r="G41" i="18"/>
  <c r="G44" i="18"/>
  <c r="G40" i="18"/>
  <c r="G43" i="18"/>
  <c r="Z42" i="39"/>
  <c r="Z45" i="39"/>
  <c r="Z41" i="39"/>
  <c r="Z44" i="39"/>
  <c r="Z40" i="39"/>
  <c r="Z43" i="39"/>
  <c r="BC31" i="41"/>
  <c r="BK31" i="41"/>
  <c r="BC36" i="41"/>
  <c r="BK36" i="41"/>
  <c r="V44" i="39"/>
  <c r="V40" i="39"/>
  <c r="V43" i="39"/>
  <c r="V42" i="39"/>
  <c r="V45" i="39"/>
  <c r="V41" i="39"/>
  <c r="V24" i="37"/>
  <c r="V27" i="37"/>
  <c r="V23" i="37"/>
  <c r="V26" i="37"/>
  <c r="V22" i="37"/>
  <c r="V25" i="37"/>
  <c r="J44" i="31"/>
  <c r="J40" i="31"/>
  <c r="J43" i="31"/>
  <c r="J42" i="31"/>
  <c r="J45" i="31"/>
  <c r="J41" i="31"/>
  <c r="BC50" i="29"/>
  <c r="BK50" i="29"/>
  <c r="BK49" i="29"/>
  <c r="BC49" i="29"/>
  <c r="BB34" i="29"/>
  <c r="BJ34" i="29"/>
  <c r="BJ36" i="29"/>
  <c r="BB36" i="29"/>
  <c r="J36" i="27"/>
  <c r="J32" i="27"/>
  <c r="J35" i="27"/>
  <c r="J31" i="27"/>
  <c r="J34" i="27"/>
  <c r="J33" i="27"/>
  <c r="V24" i="24"/>
  <c r="Z24" i="23"/>
  <c r="Z27" i="23"/>
  <c r="Z23" i="23"/>
  <c r="Z26" i="23"/>
  <c r="Z22" i="23"/>
  <c r="Z25" i="23"/>
  <c r="Z51" i="21"/>
  <c r="Z54" i="21"/>
  <c r="Z50" i="21"/>
  <c r="Z53" i="21"/>
  <c r="Z49" i="21"/>
  <c r="Z52" i="21"/>
  <c r="BB49" i="23"/>
  <c r="BJ49" i="23"/>
  <c r="BJ51" i="23"/>
  <c r="BB51" i="23"/>
  <c r="J42" i="17"/>
  <c r="J45" i="17"/>
  <c r="J41" i="17"/>
  <c r="J44" i="17"/>
  <c r="J40" i="17"/>
  <c r="J43" i="17"/>
  <c r="BB22" i="20"/>
  <c r="BJ22" i="20"/>
  <c r="BJ24" i="20"/>
  <c r="BB24" i="20"/>
  <c r="BB34" i="10"/>
  <c r="BJ34" i="10"/>
  <c r="K36" i="13"/>
  <c r="K32" i="13"/>
  <c r="K35" i="13"/>
  <c r="K31" i="13"/>
  <c r="K34" i="13"/>
  <c r="K33" i="13"/>
  <c r="BC27" i="13"/>
  <c r="BK27" i="13"/>
  <c r="BK26" i="13"/>
  <c r="BC26" i="13"/>
  <c r="BC50" i="20"/>
  <c r="BK50" i="20"/>
  <c r="AY42" i="18"/>
  <c r="BG42" i="18"/>
  <c r="BG41" i="18"/>
  <c r="AY41" i="18"/>
  <c r="F53" i="37"/>
  <c r="F49" i="37"/>
  <c r="F52" i="37"/>
  <c r="F51" i="37"/>
  <c r="F54" i="37"/>
  <c r="F50" i="37"/>
  <c r="N42" i="35"/>
  <c r="N45" i="35"/>
  <c r="N41" i="35"/>
  <c r="N44" i="35"/>
  <c r="N40" i="35"/>
  <c r="N43" i="35"/>
  <c r="Z51" i="31"/>
  <c r="Z54" i="31"/>
  <c r="Z50" i="31"/>
  <c r="Z53" i="31"/>
  <c r="Z49" i="31"/>
  <c r="Z52" i="31"/>
  <c r="K30" i="29"/>
  <c r="J30" i="29"/>
  <c r="V36" i="25"/>
  <c r="V32" i="25"/>
  <c r="V35" i="25"/>
  <c r="V31" i="25"/>
  <c r="V34" i="25"/>
  <c r="V33" i="25"/>
  <c r="AX34" i="29"/>
  <c r="BF34" i="29"/>
  <c r="BF36" i="29"/>
  <c r="AX36" i="29"/>
  <c r="R27" i="18"/>
  <c r="R23" i="18"/>
  <c r="R26" i="18"/>
  <c r="R22" i="18"/>
  <c r="R25" i="18"/>
  <c r="R24" i="18"/>
  <c r="BC25" i="17"/>
  <c r="BK25" i="17"/>
  <c r="BC27" i="17"/>
  <c r="BK27" i="17"/>
  <c r="BC26" i="11"/>
  <c r="BK26" i="11"/>
  <c r="F51" i="41"/>
  <c r="F54" i="41"/>
  <c r="F50" i="41"/>
  <c r="F53" i="41"/>
  <c r="F49" i="41"/>
  <c r="F52" i="41"/>
  <c r="G42" i="40"/>
  <c r="G45" i="40"/>
  <c r="G41" i="40"/>
  <c r="G44" i="40"/>
  <c r="G40" i="40"/>
  <c r="G43" i="40"/>
  <c r="N44" i="39"/>
  <c r="N40" i="39"/>
  <c r="N43" i="39"/>
  <c r="N42" i="39"/>
  <c r="N45" i="39"/>
  <c r="N41" i="39"/>
  <c r="R54" i="38"/>
  <c r="R50" i="38"/>
  <c r="R53" i="38"/>
  <c r="R49" i="38"/>
  <c r="R52" i="38"/>
  <c r="R51" i="38"/>
  <c r="F53" i="35"/>
  <c r="F49" i="35"/>
  <c r="F52" i="35"/>
  <c r="F51" i="35"/>
  <c r="F54" i="35"/>
  <c r="F50" i="35"/>
  <c r="O33" i="28"/>
  <c r="O36" i="28"/>
  <c r="O32" i="28"/>
  <c r="O35" i="28"/>
  <c r="O31" i="28"/>
  <c r="O34" i="28"/>
  <c r="BB33" i="35"/>
  <c r="BJ33" i="35"/>
  <c r="J33" i="35"/>
  <c r="J36" i="35"/>
  <c r="J32" i="35"/>
  <c r="J35" i="35"/>
  <c r="J31" i="35"/>
  <c r="J34" i="35"/>
  <c r="AX34" i="33"/>
  <c r="BF34" i="33"/>
  <c r="BF36" i="33"/>
  <c r="AX36" i="33"/>
  <c r="N27" i="27"/>
  <c r="N23" i="27"/>
  <c r="N26" i="27"/>
  <c r="N22" i="27"/>
  <c r="N25" i="27"/>
  <c r="N24" i="27"/>
  <c r="Z36" i="28"/>
  <c r="Z32" i="28"/>
  <c r="Z35" i="28"/>
  <c r="Z31" i="28"/>
  <c r="Z34" i="28"/>
  <c r="Z33" i="28"/>
  <c r="J36" i="32"/>
  <c r="J32" i="32"/>
  <c r="J35" i="32"/>
  <c r="J31" i="32"/>
  <c r="J34" i="32"/>
  <c r="J33" i="32"/>
  <c r="BC22" i="30"/>
  <c r="BK22" i="30"/>
  <c r="BB52" i="29"/>
  <c r="BJ52" i="29"/>
  <c r="BJ54" i="29"/>
  <c r="BB54" i="29"/>
  <c r="S45" i="27"/>
  <c r="S42" i="27"/>
  <c r="S41" i="27"/>
  <c r="S44" i="27"/>
  <c r="S40" i="27"/>
  <c r="S43" i="27"/>
  <c r="J26" i="21"/>
  <c r="J22" i="21"/>
  <c r="J25" i="21"/>
  <c r="J24" i="21"/>
  <c r="J27" i="21"/>
  <c r="J23" i="21"/>
  <c r="O42" i="18"/>
  <c r="O45" i="18"/>
  <c r="O41" i="18"/>
  <c r="O44" i="18"/>
  <c r="O40" i="18"/>
  <c r="O43" i="18"/>
  <c r="F36" i="14"/>
  <c r="F32" i="14"/>
  <c r="F35" i="14"/>
  <c r="F31" i="14"/>
  <c r="F34" i="14"/>
  <c r="F33" i="14"/>
  <c r="BK22" i="10"/>
  <c r="BC22" i="10"/>
  <c r="W27" i="13"/>
  <c r="W23" i="13"/>
  <c r="W26" i="13"/>
  <c r="W22" i="13"/>
  <c r="W25" i="13"/>
  <c r="W24" i="13"/>
  <c r="BC52" i="11"/>
  <c r="BK52" i="11"/>
  <c r="D168" i="6"/>
  <c r="C168" i="6"/>
  <c r="AM168" i="6" s="1"/>
  <c r="G36" i="42"/>
  <c r="G35" i="42"/>
  <c r="G31" i="42"/>
  <c r="G34" i="42"/>
  <c r="G33" i="42"/>
  <c r="G32" i="42"/>
  <c r="S36" i="37"/>
  <c r="S32" i="37"/>
  <c r="S35" i="37"/>
  <c r="S31" i="37"/>
  <c r="S34" i="37"/>
  <c r="S33" i="37"/>
  <c r="W27" i="31"/>
  <c r="W23" i="31"/>
  <c r="W26" i="31"/>
  <c r="W22" i="31"/>
  <c r="W25" i="31"/>
  <c r="W24" i="31"/>
  <c r="K34" i="24"/>
  <c r="K33" i="24"/>
  <c r="K36" i="24"/>
  <c r="K32" i="24"/>
  <c r="K35" i="24"/>
  <c r="K31" i="24"/>
  <c r="G43" i="19"/>
  <c r="G42" i="19"/>
  <c r="G45" i="19"/>
  <c r="G41" i="19"/>
  <c r="G44" i="19"/>
  <c r="G40" i="19"/>
  <c r="K34" i="23"/>
  <c r="K33" i="23"/>
  <c r="K36" i="23"/>
  <c r="K32" i="23"/>
  <c r="K35" i="23"/>
  <c r="K31" i="23"/>
  <c r="N25" i="40"/>
  <c r="N24" i="40"/>
  <c r="N27" i="40"/>
  <c r="N23" i="40"/>
  <c r="N26" i="40"/>
  <c r="N22" i="40"/>
  <c r="K26" i="36"/>
  <c r="K22" i="36"/>
  <c r="K25" i="36"/>
  <c r="K24" i="36"/>
  <c r="K27" i="36"/>
  <c r="K23" i="36"/>
  <c r="R43" i="28"/>
  <c r="R42" i="28"/>
  <c r="R45" i="28"/>
  <c r="R41" i="28"/>
  <c r="R44" i="28"/>
  <c r="R40" i="28"/>
  <c r="G27" i="15"/>
  <c r="G23" i="15"/>
  <c r="G26" i="15"/>
  <c r="G22" i="15"/>
  <c r="G25" i="15"/>
  <c r="G24" i="15"/>
  <c r="O27" i="37"/>
  <c r="O23" i="37"/>
  <c r="O26" i="37"/>
  <c r="O22" i="37"/>
  <c r="O25" i="37"/>
  <c r="O24" i="37"/>
  <c r="W27" i="19"/>
  <c r="W23" i="19"/>
  <c r="W26" i="19"/>
  <c r="W22" i="19"/>
  <c r="W25" i="19"/>
  <c r="W24" i="19"/>
  <c r="J52" i="14"/>
  <c r="J51" i="14"/>
  <c r="J54" i="14"/>
  <c r="J50" i="14"/>
  <c r="J53" i="14"/>
  <c r="J49" i="14"/>
  <c r="O36" i="41"/>
  <c r="O34" i="41"/>
  <c r="O33" i="41"/>
  <c r="O35" i="41"/>
  <c r="O32" i="41"/>
  <c r="O31" i="41"/>
  <c r="BC53" i="36"/>
  <c r="BK53" i="36"/>
  <c r="Z52" i="36"/>
  <c r="J52" i="30"/>
  <c r="J51" i="30"/>
  <c r="J54" i="30"/>
  <c r="J50" i="30"/>
  <c r="J53" i="30"/>
  <c r="J49" i="30"/>
  <c r="BA53" i="30"/>
  <c r="BI53" i="30"/>
  <c r="BA52" i="30"/>
  <c r="BI52" i="30"/>
  <c r="W52" i="26"/>
  <c r="W51" i="26"/>
  <c r="W54" i="26"/>
  <c r="W50" i="26"/>
  <c r="W53" i="26"/>
  <c r="W49" i="26"/>
  <c r="G27" i="26"/>
  <c r="G23" i="26"/>
  <c r="G26" i="26"/>
  <c r="G22" i="26"/>
  <c r="G25" i="26"/>
  <c r="G24" i="26"/>
  <c r="O34" i="15"/>
  <c r="O33" i="15"/>
  <c r="O36" i="15"/>
  <c r="O32" i="15"/>
  <c r="O35" i="15"/>
  <c r="O31" i="15"/>
  <c r="R30" i="12"/>
  <c r="S30" i="12"/>
  <c r="S52" i="42"/>
  <c r="S51" i="42"/>
  <c r="S53" i="42"/>
  <c r="S49" i="42"/>
  <c r="S54" i="42"/>
  <c r="S50" i="42"/>
  <c r="R52" i="25"/>
  <c r="R51" i="25"/>
  <c r="R54" i="25"/>
  <c r="R50" i="25"/>
  <c r="R53" i="25"/>
  <c r="R49" i="25"/>
  <c r="S34" i="11"/>
  <c r="S33" i="11"/>
  <c r="S36" i="11"/>
  <c r="S32" i="11"/>
  <c r="S35" i="11"/>
  <c r="S31" i="11"/>
  <c r="BI41" i="10"/>
  <c r="BA41" i="10"/>
  <c r="R27" i="14"/>
  <c r="R23" i="14"/>
  <c r="R26" i="14"/>
  <c r="R22" i="14"/>
  <c r="R25" i="14"/>
  <c r="R24" i="14"/>
  <c r="BC41" i="15"/>
  <c r="BK41" i="15"/>
  <c r="BK40" i="15"/>
  <c r="BC40" i="15"/>
  <c r="AA34" i="12"/>
  <c r="BK34" i="12" s="1"/>
  <c r="BC22" i="42"/>
  <c r="BK22" i="42"/>
  <c r="W24" i="42"/>
  <c r="W27" i="42"/>
  <c r="W23" i="42"/>
  <c r="W26" i="42"/>
  <c r="W22" i="42"/>
  <c r="W25" i="42"/>
  <c r="J30" i="42"/>
  <c r="K30" i="42"/>
  <c r="V24" i="41"/>
  <c r="V27" i="41"/>
  <c r="V23" i="41"/>
  <c r="V25" i="41"/>
  <c r="V26" i="41"/>
  <c r="V22" i="41"/>
  <c r="BK25" i="38"/>
  <c r="BC25" i="38"/>
  <c r="BK40" i="37"/>
  <c r="BC40" i="37"/>
  <c r="V39" i="34"/>
  <c r="W39" i="34"/>
  <c r="W54" i="33"/>
  <c r="W50" i="33"/>
  <c r="W53" i="33"/>
  <c r="W49" i="33"/>
  <c r="W52" i="33"/>
  <c r="W51" i="33"/>
  <c r="V43" i="30"/>
  <c r="V42" i="30"/>
  <c r="V45" i="30"/>
  <c r="V41" i="30"/>
  <c r="V44" i="30"/>
  <c r="V40" i="30"/>
  <c r="G35" i="30"/>
  <c r="G31" i="30"/>
  <c r="G34" i="30"/>
  <c r="G33" i="30"/>
  <c r="G36" i="30"/>
  <c r="G32" i="30"/>
  <c r="F24" i="33"/>
  <c r="BC36" i="29"/>
  <c r="BK36" i="29"/>
  <c r="BK35" i="29"/>
  <c r="BC35" i="29"/>
  <c r="F44" i="24"/>
  <c r="F40" i="24"/>
  <c r="F43" i="24"/>
  <c r="F42" i="24"/>
  <c r="F45" i="24"/>
  <c r="F41" i="24"/>
  <c r="K42" i="22"/>
  <c r="K45" i="22"/>
  <c r="K41" i="22"/>
  <c r="K44" i="22"/>
  <c r="K40" i="22"/>
  <c r="K43" i="22"/>
  <c r="J51" i="26"/>
  <c r="J54" i="26"/>
  <c r="J50" i="26"/>
  <c r="J53" i="26"/>
  <c r="J49" i="26"/>
  <c r="J52" i="26"/>
  <c r="R44" i="21"/>
  <c r="R40" i="21"/>
  <c r="R43" i="21"/>
  <c r="R42" i="21"/>
  <c r="R45" i="21"/>
  <c r="R41" i="21"/>
  <c r="Z27" i="33"/>
  <c r="Z26" i="33"/>
  <c r="Z22" i="33"/>
  <c r="Z25" i="33"/>
  <c r="Z23" i="33"/>
  <c r="Z24" i="33"/>
  <c r="AX53" i="29"/>
  <c r="BF53" i="29"/>
  <c r="Z51" i="26"/>
  <c r="Z54" i="26"/>
  <c r="Z50" i="26"/>
  <c r="Z53" i="26"/>
  <c r="Z49" i="26"/>
  <c r="Z52" i="26"/>
  <c r="BB35" i="24"/>
  <c r="BJ35" i="24"/>
  <c r="K24" i="16"/>
  <c r="K27" i="16"/>
  <c r="K23" i="16"/>
  <c r="K26" i="16"/>
  <c r="K22" i="16"/>
  <c r="K25" i="16"/>
  <c r="BJ49" i="20"/>
  <c r="BB49" i="20"/>
  <c r="R26" i="19"/>
  <c r="R22" i="19"/>
  <c r="R25" i="19"/>
  <c r="R24" i="19"/>
  <c r="R27" i="19"/>
  <c r="R23" i="19"/>
  <c r="J44" i="15"/>
  <c r="J40" i="15"/>
  <c r="J43" i="15"/>
  <c r="J42" i="15"/>
  <c r="J45" i="15"/>
  <c r="J41" i="15"/>
  <c r="O24" i="12"/>
  <c r="O27" i="12"/>
  <c r="O23" i="12"/>
  <c r="O26" i="12"/>
  <c r="O22" i="12"/>
  <c r="O25" i="12"/>
  <c r="O21" i="11"/>
  <c r="N21" i="11"/>
  <c r="BC44" i="11"/>
  <c r="BK44" i="11"/>
  <c r="BC42" i="20"/>
  <c r="BK42" i="20"/>
  <c r="BK41" i="20"/>
  <c r="BC41" i="20"/>
  <c r="BC35" i="15"/>
  <c r="BK35" i="15"/>
  <c r="BC24" i="12"/>
  <c r="BK24" i="12"/>
  <c r="BK23" i="12"/>
  <c r="BC23" i="12"/>
  <c r="BC31" i="37"/>
  <c r="BK31" i="37"/>
  <c r="BK33" i="37"/>
  <c r="BC33" i="37"/>
  <c r="S25" i="35"/>
  <c r="S24" i="35"/>
  <c r="S27" i="35"/>
  <c r="S23" i="35"/>
  <c r="S26" i="35"/>
  <c r="S22" i="35"/>
  <c r="G52" i="27"/>
  <c r="G54" i="27"/>
  <c r="G50" i="27"/>
  <c r="G51" i="27"/>
  <c r="G53" i="27"/>
  <c r="G49" i="27"/>
  <c r="S43" i="26"/>
  <c r="S42" i="26"/>
  <c r="S45" i="26"/>
  <c r="S41" i="26"/>
  <c r="S44" i="26"/>
  <c r="S40" i="26"/>
  <c r="F25" i="18"/>
  <c r="F24" i="18"/>
  <c r="F27" i="18"/>
  <c r="F23" i="18"/>
  <c r="F26" i="18"/>
  <c r="F22" i="18"/>
  <c r="BK40" i="19"/>
  <c r="BC40" i="19"/>
  <c r="BK42" i="19"/>
  <c r="BC42" i="19"/>
  <c r="AA27" i="39"/>
  <c r="AA23" i="39"/>
  <c r="AA26" i="39"/>
  <c r="AA22" i="39"/>
  <c r="AA25" i="39"/>
  <c r="AA24" i="39"/>
  <c r="W25" i="39"/>
  <c r="W24" i="39"/>
  <c r="W27" i="39"/>
  <c r="W23" i="39"/>
  <c r="W26" i="39"/>
  <c r="W22" i="39"/>
  <c r="W52" i="37"/>
  <c r="W51" i="37"/>
  <c r="W54" i="37"/>
  <c r="W50" i="37"/>
  <c r="W53" i="37"/>
  <c r="W49" i="37"/>
  <c r="W26" i="32"/>
  <c r="W22" i="32"/>
  <c r="W25" i="32"/>
  <c r="W24" i="32"/>
  <c r="W27" i="32"/>
  <c r="W23" i="32"/>
  <c r="W45" i="27"/>
  <c r="W44" i="27"/>
  <c r="W40" i="27"/>
  <c r="W43" i="27"/>
  <c r="W42" i="27"/>
  <c r="W41" i="27"/>
  <c r="O54" i="29"/>
  <c r="O50" i="29"/>
  <c r="O53" i="29"/>
  <c r="O49" i="29"/>
  <c r="O52" i="29"/>
  <c r="O51" i="29"/>
  <c r="AA53" i="23"/>
  <c r="AA49" i="23"/>
  <c r="AA52" i="23"/>
  <c r="AA51" i="23"/>
  <c r="AA54" i="23"/>
  <c r="AA50" i="23"/>
  <c r="AA36" i="21"/>
  <c r="AA32" i="21"/>
  <c r="AA35" i="21"/>
  <c r="AA31" i="21"/>
  <c r="AA34" i="21"/>
  <c r="AA33" i="21"/>
  <c r="AA35" i="27"/>
  <c r="AA31" i="27"/>
  <c r="AA34" i="27"/>
  <c r="AA33" i="27"/>
  <c r="AA36" i="27"/>
  <c r="AA32" i="27"/>
  <c r="K27" i="17"/>
  <c r="K23" i="17"/>
  <c r="K26" i="17"/>
  <c r="K22" i="17"/>
  <c r="K25" i="17"/>
  <c r="K24" i="17"/>
  <c r="G39" i="23"/>
  <c r="F39" i="23"/>
  <c r="BC31" i="19"/>
  <c r="BK31" i="19"/>
  <c r="BK33" i="19"/>
  <c r="BC33" i="19"/>
  <c r="K48" i="11"/>
  <c r="J48" i="11"/>
  <c r="BC43" i="10"/>
  <c r="BK43" i="10"/>
  <c r="BC33" i="17"/>
  <c r="BK33" i="17"/>
  <c r="AA51" i="14"/>
  <c r="AA54" i="14"/>
  <c r="AA50" i="14"/>
  <c r="AA53" i="14"/>
  <c r="AA49" i="14"/>
  <c r="AA52" i="14"/>
  <c r="G42" i="12"/>
  <c r="G45" i="12"/>
  <c r="G41" i="12"/>
  <c r="G44" i="12"/>
  <c r="G40" i="12"/>
  <c r="G43" i="12"/>
  <c r="BB35" i="10"/>
  <c r="BJ35" i="10"/>
  <c r="BC34" i="11"/>
  <c r="BK34" i="11"/>
  <c r="BC24" i="41"/>
  <c r="BK24" i="41"/>
  <c r="BK26" i="41"/>
  <c r="BC26" i="41"/>
  <c r="BC35" i="38"/>
  <c r="BK35" i="38"/>
  <c r="G34" i="37"/>
  <c r="G33" i="37"/>
  <c r="G36" i="37"/>
  <c r="G32" i="37"/>
  <c r="G35" i="37"/>
  <c r="G31" i="37"/>
  <c r="N24" i="35"/>
  <c r="N27" i="35"/>
  <c r="N23" i="35"/>
  <c r="N26" i="35"/>
  <c r="N22" i="35"/>
  <c r="N25" i="35"/>
  <c r="Z33" i="31"/>
  <c r="Z36" i="31"/>
  <c r="Z32" i="31"/>
  <c r="Z35" i="31"/>
  <c r="Z31" i="31"/>
  <c r="Z34" i="31"/>
  <c r="W42" i="25"/>
  <c r="W45" i="25"/>
  <c r="W41" i="25"/>
  <c r="W44" i="25"/>
  <c r="W40" i="25"/>
  <c r="W43" i="25"/>
  <c r="W42" i="24"/>
  <c r="S51" i="18"/>
  <c r="S54" i="18"/>
  <c r="S50" i="18"/>
  <c r="S53" i="18"/>
  <c r="S49" i="18"/>
  <c r="S52" i="18"/>
  <c r="BC50" i="41"/>
  <c r="BK50" i="41"/>
  <c r="BK49" i="41"/>
  <c r="BC49" i="41"/>
  <c r="J27" i="40"/>
  <c r="J23" i="40"/>
  <c r="J26" i="40"/>
  <c r="J22" i="40"/>
  <c r="J25" i="40"/>
  <c r="J24" i="40"/>
  <c r="W51" i="38"/>
  <c r="W54" i="38"/>
  <c r="W50" i="38"/>
  <c r="W53" i="38"/>
  <c r="W49" i="38"/>
  <c r="W52" i="38"/>
  <c r="BC52" i="37"/>
  <c r="BK52" i="37"/>
  <c r="BC54" i="37"/>
  <c r="BK54" i="37"/>
  <c r="N21" i="36"/>
  <c r="O21" i="36"/>
  <c r="AA51" i="34"/>
  <c r="AA54" i="34"/>
  <c r="AA50" i="34"/>
  <c r="AA53" i="34"/>
  <c r="AA49" i="34"/>
  <c r="AA52" i="34"/>
  <c r="J44" i="35"/>
  <c r="J40" i="35"/>
  <c r="J43" i="35"/>
  <c r="J42" i="35"/>
  <c r="J45" i="35"/>
  <c r="J41" i="35"/>
  <c r="N53" i="31"/>
  <c r="N49" i="31"/>
  <c r="N52" i="31"/>
  <c r="N51" i="31"/>
  <c r="N54" i="31"/>
  <c r="N50" i="31"/>
  <c r="O33" i="27"/>
  <c r="O36" i="27"/>
  <c r="O32" i="27"/>
  <c r="O35" i="27"/>
  <c r="O31" i="27"/>
  <c r="O34" i="27"/>
  <c r="AA24" i="28"/>
  <c r="AA27" i="28"/>
  <c r="AA23" i="28"/>
  <c r="AA26" i="28"/>
  <c r="AA22" i="28"/>
  <c r="AA25" i="28"/>
  <c r="K42" i="32"/>
  <c r="K45" i="32"/>
  <c r="K41" i="32"/>
  <c r="K44" i="32"/>
  <c r="K40" i="32"/>
  <c r="K43" i="32"/>
  <c r="W23" i="29"/>
  <c r="S24" i="27"/>
  <c r="S27" i="27"/>
  <c r="S23" i="27"/>
  <c r="S26" i="27"/>
  <c r="S22" i="27"/>
  <c r="S25" i="27"/>
  <c r="J51" i="21"/>
  <c r="J54" i="21"/>
  <c r="J50" i="21"/>
  <c r="J53" i="21"/>
  <c r="J49" i="21"/>
  <c r="J52" i="21"/>
  <c r="G41" i="29"/>
  <c r="W40" i="23"/>
  <c r="AY40" i="25"/>
  <c r="BG40" i="25"/>
  <c r="V36" i="18"/>
  <c r="V32" i="18"/>
  <c r="V35" i="18"/>
  <c r="V31" i="18"/>
  <c r="V34" i="18"/>
  <c r="V33" i="18"/>
  <c r="BB34" i="17"/>
  <c r="BJ34" i="17"/>
  <c r="BJ36" i="17"/>
  <c r="BB36" i="17"/>
  <c r="R33" i="13"/>
  <c r="R36" i="13"/>
  <c r="R32" i="13"/>
  <c r="R35" i="13"/>
  <c r="R31" i="13"/>
  <c r="R34" i="13"/>
  <c r="G36" i="10"/>
  <c r="G35" i="10"/>
  <c r="G34" i="10"/>
  <c r="G33" i="10"/>
  <c r="G32" i="10"/>
  <c r="G31" i="10"/>
  <c r="BC43" i="13"/>
  <c r="BK43" i="13"/>
  <c r="G52" i="13"/>
  <c r="G51" i="13"/>
  <c r="G54" i="13"/>
  <c r="G50" i="13"/>
  <c r="G53" i="13"/>
  <c r="G49" i="13"/>
  <c r="BC35" i="20"/>
  <c r="BK35" i="20"/>
  <c r="BK34" i="20"/>
  <c r="BC34" i="20"/>
  <c r="BC27" i="15"/>
  <c r="BK27" i="15"/>
  <c r="BK26" i="15"/>
  <c r="BC26" i="15"/>
  <c r="AY26" i="12"/>
  <c r="BG26" i="12"/>
  <c r="J26" i="41"/>
  <c r="J25" i="41"/>
  <c r="J22" i="41"/>
  <c r="J27" i="41"/>
  <c r="J24" i="41"/>
  <c r="J23" i="41"/>
  <c r="R54" i="32"/>
  <c r="R50" i="32"/>
  <c r="R53" i="32"/>
  <c r="R49" i="32"/>
  <c r="R52" i="32"/>
  <c r="R51" i="32"/>
  <c r="R53" i="29"/>
  <c r="R49" i="29"/>
  <c r="R52" i="29"/>
  <c r="R51" i="29"/>
  <c r="R54" i="29"/>
  <c r="R50" i="29"/>
  <c r="G51" i="22"/>
  <c r="G54" i="22"/>
  <c r="G50" i="22"/>
  <c r="G53" i="22"/>
  <c r="G49" i="22"/>
  <c r="G52" i="22"/>
  <c r="G24" i="34"/>
  <c r="G27" i="34"/>
  <c r="G23" i="34"/>
  <c r="G26" i="34"/>
  <c r="G22" i="34"/>
  <c r="G25" i="34"/>
  <c r="G51" i="16"/>
  <c r="G54" i="16"/>
  <c r="G50" i="16"/>
  <c r="G53" i="16"/>
  <c r="G49" i="16"/>
  <c r="G52" i="16"/>
  <c r="F44" i="39"/>
  <c r="F40" i="39"/>
  <c r="F43" i="39"/>
  <c r="F42" i="39"/>
  <c r="F45" i="39"/>
  <c r="F41" i="39"/>
  <c r="J51" i="37"/>
  <c r="J54" i="37"/>
  <c r="J50" i="37"/>
  <c r="J53" i="37"/>
  <c r="J49" i="37"/>
  <c r="J52" i="37"/>
  <c r="J54" i="28"/>
  <c r="J50" i="28"/>
  <c r="J53" i="28"/>
  <c r="J49" i="28"/>
  <c r="J52" i="28"/>
  <c r="J51" i="28"/>
  <c r="R45" i="40"/>
  <c r="R41" i="40"/>
  <c r="R44" i="40"/>
  <c r="R40" i="40"/>
  <c r="R43" i="40"/>
  <c r="R42" i="40"/>
  <c r="R27" i="34"/>
  <c r="R23" i="34"/>
  <c r="R26" i="34"/>
  <c r="R22" i="34"/>
  <c r="R25" i="34"/>
  <c r="R24" i="34"/>
  <c r="N35" i="19"/>
  <c r="N31" i="19"/>
  <c r="N34" i="19"/>
  <c r="N33" i="19"/>
  <c r="N36" i="19"/>
  <c r="N32" i="19"/>
  <c r="R35" i="39"/>
  <c r="R31" i="39"/>
  <c r="R34" i="39"/>
  <c r="R33" i="39"/>
  <c r="R36" i="39"/>
  <c r="R32" i="39"/>
  <c r="O33" i="38"/>
  <c r="O36" i="38"/>
  <c r="O32" i="38"/>
  <c r="O35" i="38"/>
  <c r="O31" i="38"/>
  <c r="O34" i="38"/>
  <c r="AX52" i="33"/>
  <c r="BF52" i="33"/>
  <c r="BF54" i="33"/>
  <c r="AX54" i="33"/>
  <c r="BC42" i="30"/>
  <c r="BK42" i="30"/>
  <c r="BK41" i="30"/>
  <c r="BC41" i="30"/>
  <c r="W33" i="22"/>
  <c r="W36" i="22"/>
  <c r="W32" i="22"/>
  <c r="W35" i="22"/>
  <c r="W31" i="22"/>
  <c r="W34" i="22"/>
  <c r="N24" i="21"/>
  <c r="N27" i="21"/>
  <c r="N23" i="21"/>
  <c r="N26" i="21"/>
  <c r="N22" i="21"/>
  <c r="N25" i="21"/>
  <c r="R24" i="17"/>
  <c r="R27" i="17"/>
  <c r="R23" i="17"/>
  <c r="R26" i="17"/>
  <c r="R22" i="17"/>
  <c r="R25" i="17"/>
  <c r="R36" i="42"/>
  <c r="R34" i="42"/>
  <c r="R33" i="42"/>
  <c r="R32" i="42"/>
  <c r="R35" i="42"/>
  <c r="R31" i="42"/>
  <c r="BB54" i="35"/>
  <c r="BJ54" i="35"/>
  <c r="BB53" i="35"/>
  <c r="BJ53" i="35"/>
  <c r="R34" i="25"/>
  <c r="R33" i="25"/>
  <c r="R36" i="25"/>
  <c r="R32" i="25"/>
  <c r="R35" i="25"/>
  <c r="R31" i="25"/>
  <c r="S45" i="11"/>
  <c r="S41" i="11"/>
  <c r="S44" i="11"/>
  <c r="S40" i="11"/>
  <c r="S43" i="11"/>
  <c r="S42" i="11"/>
  <c r="BJ50" i="10"/>
  <c r="BB50" i="10"/>
  <c r="S51" i="14"/>
  <c r="S54" i="14"/>
  <c r="S50" i="14"/>
  <c r="S53" i="14"/>
  <c r="S49" i="14"/>
  <c r="S52" i="14"/>
  <c r="O21" i="10"/>
  <c r="N21" i="10"/>
  <c r="T24" i="10"/>
  <c r="R24" i="10"/>
  <c r="Y24" i="10"/>
  <c r="AA24" i="10"/>
  <c r="W24" i="10"/>
  <c r="AY50" i="18"/>
  <c r="BG50" i="18"/>
  <c r="F44" i="17"/>
  <c r="F40" i="17"/>
  <c r="F43" i="17"/>
  <c r="F42" i="17"/>
  <c r="F45" i="17"/>
  <c r="F41" i="17"/>
  <c r="V51" i="42"/>
  <c r="V54" i="42"/>
  <c r="V50" i="42"/>
  <c r="V53" i="42"/>
  <c r="V49" i="42"/>
  <c r="V52" i="42"/>
  <c r="Z27" i="40"/>
  <c r="Z23" i="40"/>
  <c r="Z26" i="40"/>
  <c r="Z22" i="40"/>
  <c r="Z25" i="40"/>
  <c r="Z24" i="40"/>
  <c r="G39" i="38"/>
  <c r="F39" i="38"/>
  <c r="BC22" i="36"/>
  <c r="BK22" i="36"/>
  <c r="W24" i="36"/>
  <c r="W27" i="36"/>
  <c r="W23" i="36"/>
  <c r="W26" i="36"/>
  <c r="W22" i="36"/>
  <c r="W25" i="36"/>
  <c r="BC32" i="36"/>
  <c r="BK32" i="36"/>
  <c r="BC24" i="35"/>
  <c r="BK24" i="35"/>
  <c r="O30" i="34"/>
  <c r="N30" i="34"/>
  <c r="V33" i="33"/>
  <c r="V36" i="33"/>
  <c r="V32" i="33"/>
  <c r="V35" i="33"/>
  <c r="V31" i="33"/>
  <c r="V34" i="33"/>
  <c r="W24" i="30"/>
  <c r="W27" i="30"/>
  <c r="W23" i="30"/>
  <c r="W26" i="30"/>
  <c r="W22" i="30"/>
  <c r="W25" i="30"/>
  <c r="G42" i="30"/>
  <c r="G45" i="30"/>
  <c r="G41" i="30"/>
  <c r="G44" i="30"/>
  <c r="G40" i="30"/>
  <c r="G43" i="30"/>
  <c r="N30" i="32"/>
  <c r="O30" i="32"/>
  <c r="O21" i="26"/>
  <c r="N21" i="26"/>
  <c r="N27" i="22"/>
  <c r="N23" i="22"/>
  <c r="N26" i="22"/>
  <c r="N22" i="22"/>
  <c r="N25" i="22"/>
  <c r="N24" i="22"/>
  <c r="V35" i="21"/>
  <c r="V31" i="21"/>
  <c r="V34" i="21"/>
  <c r="V33" i="21"/>
  <c r="V36" i="21"/>
  <c r="V32" i="21"/>
  <c r="AA33" i="25"/>
  <c r="AA36" i="25"/>
  <c r="AA32" i="25"/>
  <c r="AA35" i="25"/>
  <c r="AA31" i="25"/>
  <c r="AA34" i="25"/>
  <c r="N36" i="20"/>
  <c r="N32" i="20"/>
  <c r="N35" i="20"/>
  <c r="N31" i="20"/>
  <c r="N34" i="20"/>
  <c r="N33" i="20"/>
  <c r="Z33" i="26"/>
  <c r="Z36" i="26"/>
  <c r="Z32" i="26"/>
  <c r="Z35" i="26"/>
  <c r="Z31" i="26"/>
  <c r="Z34" i="26"/>
  <c r="BB35" i="23"/>
  <c r="BJ35" i="23"/>
  <c r="R45" i="20"/>
  <c r="R41" i="20"/>
  <c r="R44" i="20"/>
  <c r="R40" i="20"/>
  <c r="R43" i="20"/>
  <c r="R42" i="20"/>
  <c r="N30" i="16"/>
  <c r="O30" i="16"/>
  <c r="W39" i="15"/>
  <c r="V39" i="15"/>
  <c r="S36" i="15"/>
  <c r="S32" i="15"/>
  <c r="S35" i="15"/>
  <c r="S31" i="15"/>
  <c r="S34" i="15"/>
  <c r="S33" i="15"/>
  <c r="V43" i="12"/>
  <c r="V42" i="12"/>
  <c r="V45" i="12"/>
  <c r="V41" i="12"/>
  <c r="V44" i="12"/>
  <c r="V40" i="12"/>
  <c r="S54" i="35"/>
  <c r="S50" i="35"/>
  <c r="S53" i="35"/>
  <c r="S49" i="35"/>
  <c r="S52" i="35"/>
  <c r="S51" i="35"/>
  <c r="G45" i="27"/>
  <c r="G44" i="27"/>
  <c r="G40" i="27"/>
  <c r="G43" i="27"/>
  <c r="G42" i="27"/>
  <c r="G41" i="27"/>
  <c r="S25" i="26"/>
  <c r="S24" i="26"/>
  <c r="S27" i="26"/>
  <c r="S23" i="26"/>
  <c r="S26" i="26"/>
  <c r="S22" i="26"/>
  <c r="G53" i="18"/>
  <c r="G49" i="18"/>
  <c r="G52" i="18"/>
  <c r="G51" i="18"/>
  <c r="G54" i="18"/>
  <c r="G50" i="18"/>
  <c r="BC35" i="18"/>
  <c r="BK35" i="18"/>
  <c r="BK34" i="18"/>
  <c r="BC34" i="18"/>
  <c r="K52" i="39"/>
  <c r="K51" i="39"/>
  <c r="K54" i="39"/>
  <c r="K50" i="39"/>
  <c r="K53" i="39"/>
  <c r="K49" i="39"/>
  <c r="W54" i="39"/>
  <c r="W50" i="39"/>
  <c r="W53" i="39"/>
  <c r="W49" i="39"/>
  <c r="W52" i="39"/>
  <c r="W51" i="39"/>
  <c r="BC25" i="37"/>
  <c r="BK25" i="37"/>
  <c r="BC52" i="38"/>
  <c r="BK52" i="38"/>
  <c r="BK54" i="38"/>
  <c r="BC54" i="38"/>
  <c r="W34" i="37"/>
  <c r="W33" i="37"/>
  <c r="W36" i="37"/>
  <c r="W32" i="37"/>
  <c r="W35" i="37"/>
  <c r="W31" i="37"/>
  <c r="BC32" i="35"/>
  <c r="BK32" i="35"/>
  <c r="BB40" i="35"/>
  <c r="BJ40" i="35"/>
  <c r="BB42" i="35"/>
  <c r="BJ42" i="35"/>
  <c r="BB45" i="29"/>
  <c r="BJ45" i="29"/>
  <c r="BB44" i="29"/>
  <c r="BJ44" i="29"/>
  <c r="F48" i="32"/>
  <c r="G48" i="32"/>
  <c r="K39" i="33"/>
  <c r="J39" i="33"/>
  <c r="BI43" i="30"/>
  <c r="BA43" i="30"/>
  <c r="BA45" i="30"/>
  <c r="BI45" i="30"/>
  <c r="J25" i="27"/>
  <c r="J24" i="27"/>
  <c r="J27" i="27"/>
  <c r="J23" i="27"/>
  <c r="J26" i="27"/>
  <c r="J22" i="27"/>
  <c r="Z25" i="22"/>
  <c r="Z24" i="22"/>
  <c r="Z27" i="22"/>
  <c r="Z23" i="22"/>
  <c r="Z26" i="22"/>
  <c r="Z22" i="22"/>
  <c r="AX27" i="29"/>
  <c r="BF27" i="29"/>
  <c r="AX26" i="29"/>
  <c r="BF26" i="29"/>
  <c r="BB49" i="24"/>
  <c r="BJ49" i="24"/>
  <c r="V51" i="24"/>
  <c r="K52" i="17"/>
  <c r="K51" i="17"/>
  <c r="K54" i="17"/>
  <c r="K50" i="17"/>
  <c r="K53" i="17"/>
  <c r="K49" i="17"/>
  <c r="R43" i="16"/>
  <c r="R42" i="16"/>
  <c r="R45" i="16"/>
  <c r="R41" i="16"/>
  <c r="R44" i="16"/>
  <c r="R40" i="16"/>
  <c r="N39" i="14"/>
  <c r="O39" i="14"/>
  <c r="J26" i="13"/>
  <c r="J22" i="13"/>
  <c r="J25" i="13"/>
  <c r="J24" i="13"/>
  <c r="J27" i="13"/>
  <c r="J23" i="13"/>
  <c r="BI44" i="10"/>
  <c r="BA44" i="10"/>
  <c r="J48" i="20"/>
  <c r="K48" i="20"/>
  <c r="BC52" i="15"/>
  <c r="BK52" i="15"/>
  <c r="BC54" i="15"/>
  <c r="BK54" i="15"/>
  <c r="BC40" i="12"/>
  <c r="BK40" i="12"/>
  <c r="BK43" i="42"/>
  <c r="BC43" i="42"/>
  <c r="BC45" i="42"/>
  <c r="BK45" i="42"/>
  <c r="J45" i="34"/>
  <c r="J41" i="34"/>
  <c r="J44" i="34"/>
  <c r="J40" i="34"/>
  <c r="J43" i="34"/>
  <c r="J42" i="34"/>
  <c r="AA24" i="32"/>
  <c r="AA27" i="32"/>
  <c r="AA23" i="32"/>
  <c r="AA26" i="32"/>
  <c r="AA22" i="32"/>
  <c r="AA25" i="32"/>
  <c r="R36" i="22"/>
  <c r="R32" i="22"/>
  <c r="R35" i="22"/>
  <c r="R31" i="22"/>
  <c r="R34" i="22"/>
  <c r="R33" i="22"/>
  <c r="V42" i="24"/>
  <c r="BB23" i="23"/>
  <c r="BJ23" i="23"/>
  <c r="V22" i="23"/>
  <c r="Z36" i="16"/>
  <c r="Z32" i="16"/>
  <c r="Z35" i="16"/>
  <c r="Z31" i="16"/>
  <c r="Z34" i="16"/>
  <c r="Z33" i="16"/>
  <c r="BC35" i="13"/>
  <c r="BK35" i="13"/>
  <c r="BC36" i="42"/>
  <c r="BK36" i="42"/>
  <c r="G27" i="41"/>
  <c r="G23" i="41"/>
  <c r="G26" i="41"/>
  <c r="G22" i="41"/>
  <c r="G25" i="41"/>
  <c r="G24" i="41"/>
  <c r="J52" i="40"/>
  <c r="J51" i="40"/>
  <c r="J54" i="40"/>
  <c r="J50" i="40"/>
  <c r="J53" i="40"/>
  <c r="J49" i="40"/>
  <c r="W26" i="38"/>
  <c r="W22" i="38"/>
  <c r="W25" i="38"/>
  <c r="W24" i="38"/>
  <c r="W27" i="38"/>
  <c r="W23" i="38"/>
  <c r="G45" i="35"/>
  <c r="G41" i="35"/>
  <c r="G44" i="35"/>
  <c r="G40" i="35"/>
  <c r="G43" i="35"/>
  <c r="G42" i="35"/>
  <c r="O26" i="28"/>
  <c r="O22" i="28"/>
  <c r="O25" i="28"/>
  <c r="O24" i="28"/>
  <c r="O27" i="28"/>
  <c r="O23" i="28"/>
  <c r="S27" i="33"/>
  <c r="S26" i="33"/>
  <c r="S25" i="33"/>
  <c r="S24" i="33"/>
  <c r="S22" i="33"/>
  <c r="S23" i="33"/>
  <c r="BC22" i="29"/>
  <c r="BK22" i="29"/>
  <c r="BK24" i="29"/>
  <c r="BC24" i="29"/>
  <c r="S27" i="24"/>
  <c r="S23" i="24"/>
  <c r="S26" i="24"/>
  <c r="S22" i="24"/>
  <c r="S25" i="24"/>
  <c r="S24" i="24"/>
  <c r="V34" i="28"/>
  <c r="V33" i="28"/>
  <c r="V36" i="28"/>
  <c r="V32" i="28"/>
  <c r="V35" i="28"/>
  <c r="V31" i="28"/>
  <c r="BB27" i="29"/>
  <c r="BJ27" i="29"/>
  <c r="BB26" i="29"/>
  <c r="BJ26" i="29"/>
  <c r="O44" i="23"/>
  <c r="O45" i="23"/>
  <c r="O43" i="23"/>
  <c r="O42" i="23"/>
  <c r="O41" i="23"/>
  <c r="O40" i="23"/>
  <c r="F43" i="20"/>
  <c r="F42" i="20"/>
  <c r="F45" i="20"/>
  <c r="F41" i="20"/>
  <c r="F44" i="20"/>
  <c r="F40" i="20"/>
  <c r="AX45" i="29"/>
  <c r="BF45" i="29"/>
  <c r="AX44" i="29"/>
  <c r="BF44" i="29"/>
  <c r="V40" i="23"/>
  <c r="BB44" i="20"/>
  <c r="BJ44" i="20"/>
  <c r="BB43" i="20"/>
  <c r="BJ43" i="20"/>
  <c r="O53" i="18"/>
  <c r="O49" i="18"/>
  <c r="O52" i="18"/>
  <c r="O51" i="18"/>
  <c r="O54" i="18"/>
  <c r="O50" i="18"/>
  <c r="BC54" i="18"/>
  <c r="BK54" i="18"/>
  <c r="F45" i="10"/>
  <c r="F44" i="10"/>
  <c r="F43" i="10"/>
  <c r="F42" i="10"/>
  <c r="F41" i="10"/>
  <c r="F40" i="10"/>
  <c r="V53" i="13"/>
  <c r="V49" i="13"/>
  <c r="V52" i="13"/>
  <c r="V51" i="13"/>
  <c r="V54" i="13"/>
  <c r="V50" i="13"/>
  <c r="AY32" i="18"/>
  <c r="BG32" i="18"/>
  <c r="BC49" i="12"/>
  <c r="BK49" i="12"/>
  <c r="BC51" i="12"/>
  <c r="BK51" i="12"/>
  <c r="D152" i="6"/>
  <c r="C152" i="6"/>
  <c r="AM152" i="6" s="1"/>
  <c r="G43" i="42"/>
  <c r="G44" i="42"/>
  <c r="G45" i="42"/>
  <c r="G42" i="42"/>
  <c r="G41" i="42"/>
  <c r="G40" i="42"/>
  <c r="R26" i="37"/>
  <c r="R22" i="37"/>
  <c r="R25" i="37"/>
  <c r="R24" i="37"/>
  <c r="R27" i="37"/>
  <c r="R23" i="37"/>
  <c r="V53" i="31"/>
  <c r="V49" i="31"/>
  <c r="V52" i="31"/>
  <c r="V51" i="31"/>
  <c r="V54" i="31"/>
  <c r="V50" i="31"/>
  <c r="J24" i="24"/>
  <c r="J27" i="24"/>
  <c r="J23" i="24"/>
  <c r="J26" i="24"/>
  <c r="J22" i="24"/>
  <c r="J25" i="24"/>
  <c r="F35" i="19"/>
  <c r="F31" i="19"/>
  <c r="F34" i="19"/>
  <c r="F33" i="19"/>
  <c r="F36" i="19"/>
  <c r="F32" i="19"/>
  <c r="J24" i="23"/>
  <c r="J27" i="23"/>
  <c r="J23" i="23"/>
  <c r="J26" i="23"/>
  <c r="J22" i="23"/>
  <c r="J25" i="23"/>
  <c r="N36" i="40"/>
  <c r="N32" i="40"/>
  <c r="N35" i="40"/>
  <c r="N31" i="40"/>
  <c r="N34" i="40"/>
  <c r="N33" i="40"/>
  <c r="K33" i="36"/>
  <c r="K36" i="36"/>
  <c r="K32" i="36"/>
  <c r="K35" i="36"/>
  <c r="K31" i="36"/>
  <c r="K34" i="36"/>
  <c r="R54" i="28"/>
  <c r="R50" i="28"/>
  <c r="R53" i="28"/>
  <c r="R49" i="28"/>
  <c r="R52" i="28"/>
  <c r="R51" i="28"/>
  <c r="F35" i="15"/>
  <c r="F31" i="15"/>
  <c r="F34" i="15"/>
  <c r="F33" i="15"/>
  <c r="F36" i="15"/>
  <c r="F32" i="15"/>
  <c r="N35" i="37"/>
  <c r="N31" i="37"/>
  <c r="N34" i="37"/>
  <c r="N33" i="37"/>
  <c r="N36" i="37"/>
  <c r="N32" i="37"/>
  <c r="V35" i="19"/>
  <c r="V31" i="19"/>
  <c r="V34" i="19"/>
  <c r="V33" i="19"/>
  <c r="V36" i="19"/>
  <c r="V32" i="19"/>
  <c r="J45" i="14"/>
  <c r="J41" i="14"/>
  <c r="J44" i="14"/>
  <c r="J40" i="14"/>
  <c r="J43" i="14"/>
  <c r="J42" i="14"/>
  <c r="N44" i="41"/>
  <c r="N40" i="41"/>
  <c r="N43" i="41"/>
  <c r="N42" i="41"/>
  <c r="N45" i="41"/>
  <c r="N41" i="41"/>
  <c r="J45" i="30"/>
  <c r="J41" i="30"/>
  <c r="J44" i="30"/>
  <c r="J40" i="30"/>
  <c r="J43" i="30"/>
  <c r="J42" i="30"/>
  <c r="V42" i="26"/>
  <c r="V45" i="26"/>
  <c r="V41" i="26"/>
  <c r="V44" i="26"/>
  <c r="V40" i="26"/>
  <c r="V43" i="26"/>
  <c r="F35" i="26"/>
  <c r="F31" i="26"/>
  <c r="F34" i="26"/>
  <c r="F33" i="26"/>
  <c r="F36" i="26"/>
  <c r="F32" i="26"/>
  <c r="N24" i="15"/>
  <c r="N27" i="15"/>
  <c r="N23" i="15"/>
  <c r="N26" i="15"/>
  <c r="N22" i="15"/>
  <c r="N25" i="15"/>
  <c r="BC24" i="20"/>
  <c r="BK24" i="20"/>
  <c r="Z23" i="20"/>
  <c r="R27" i="42"/>
  <c r="R23" i="42"/>
  <c r="R26" i="42"/>
  <c r="R22" i="42"/>
  <c r="R25" i="42"/>
  <c r="R24" i="42"/>
  <c r="R24" i="23"/>
  <c r="R27" i="23"/>
  <c r="R23" i="23"/>
  <c r="R26" i="23"/>
  <c r="R22" i="23"/>
  <c r="R25" i="23"/>
  <c r="BC24" i="18"/>
  <c r="BK24" i="18"/>
  <c r="BK23" i="18"/>
  <c r="BC23" i="18"/>
  <c r="BJ31" i="20"/>
  <c r="BB31" i="20"/>
  <c r="J33" i="19"/>
  <c r="J36" i="19"/>
  <c r="J32" i="19"/>
  <c r="J35" i="19"/>
  <c r="J31" i="19"/>
  <c r="J34" i="19"/>
  <c r="BB23" i="10"/>
  <c r="BJ23" i="10"/>
  <c r="BA23" i="10"/>
  <c r="BI23" i="10"/>
  <c r="R34" i="14"/>
  <c r="R33" i="14"/>
  <c r="R36" i="14"/>
  <c r="R32" i="14"/>
  <c r="R35" i="14"/>
  <c r="R31" i="14"/>
  <c r="G25" i="17"/>
  <c r="G24" i="17"/>
  <c r="G27" i="17"/>
  <c r="G23" i="17"/>
  <c r="G26" i="17"/>
  <c r="G22" i="17"/>
  <c r="V44" i="42"/>
  <c r="V42" i="42"/>
  <c r="V45" i="42"/>
  <c r="V43" i="42"/>
  <c r="V40" i="42"/>
  <c r="V41" i="42"/>
  <c r="BC51" i="42"/>
  <c r="BK51" i="42"/>
  <c r="BK53" i="42"/>
  <c r="BC53" i="42"/>
  <c r="BC41" i="38"/>
  <c r="BK41" i="38"/>
  <c r="BK43" i="38"/>
  <c r="BC43" i="38"/>
  <c r="S39" i="41"/>
  <c r="R39" i="41"/>
  <c r="AA33" i="36"/>
  <c r="BC50" i="35"/>
  <c r="BK50" i="35"/>
  <c r="W43" i="33"/>
  <c r="W42" i="33"/>
  <c r="W45" i="33"/>
  <c r="W41" i="33"/>
  <c r="W44" i="33"/>
  <c r="W40" i="33"/>
  <c r="BJ23" i="35"/>
  <c r="BB23" i="35"/>
  <c r="W53" i="30"/>
  <c r="W49" i="30"/>
  <c r="W52" i="30"/>
  <c r="W51" i="30"/>
  <c r="W54" i="30"/>
  <c r="W50" i="30"/>
  <c r="F25" i="30"/>
  <c r="F24" i="30"/>
  <c r="F27" i="30"/>
  <c r="F23" i="30"/>
  <c r="F26" i="30"/>
  <c r="F22" i="30"/>
  <c r="BC53" i="30"/>
  <c r="BK53" i="30"/>
  <c r="BK52" i="30"/>
  <c r="BC52" i="30"/>
  <c r="G39" i="31"/>
  <c r="F39" i="31"/>
  <c r="G30" i="25"/>
  <c r="F30" i="25"/>
  <c r="J54" i="22"/>
  <c r="J50" i="22"/>
  <c r="J53" i="22"/>
  <c r="J49" i="22"/>
  <c r="J52" i="22"/>
  <c r="J51" i="22"/>
  <c r="J44" i="26"/>
  <c r="J40" i="26"/>
  <c r="J43" i="26"/>
  <c r="J42" i="26"/>
  <c r="J45" i="26"/>
  <c r="J41" i="26"/>
  <c r="R51" i="21"/>
  <c r="R54" i="21"/>
  <c r="R50" i="21"/>
  <c r="R53" i="21"/>
  <c r="R49" i="21"/>
  <c r="R52" i="21"/>
  <c r="Z35" i="33"/>
  <c r="Z31" i="33"/>
  <c r="Z34" i="33"/>
  <c r="Z33" i="33"/>
  <c r="Z36" i="33"/>
  <c r="Z32" i="33"/>
  <c r="S51" i="20"/>
  <c r="S54" i="20"/>
  <c r="S50" i="20"/>
  <c r="S53" i="20"/>
  <c r="S49" i="20"/>
  <c r="S52" i="20"/>
  <c r="AY50" i="25"/>
  <c r="BG50" i="25"/>
  <c r="J36" i="16"/>
  <c r="J32" i="16"/>
  <c r="J35" i="16"/>
  <c r="J31" i="16"/>
  <c r="J34" i="16"/>
  <c r="J33" i="16"/>
  <c r="R44" i="15"/>
  <c r="R40" i="15"/>
  <c r="R43" i="15"/>
  <c r="R42" i="15"/>
  <c r="R45" i="15"/>
  <c r="R41" i="15"/>
  <c r="BB24" i="17"/>
  <c r="BJ24" i="17"/>
  <c r="BC43" i="17"/>
  <c r="BK43" i="17"/>
  <c r="BC45" i="17"/>
  <c r="BK45" i="17"/>
  <c r="N36" i="12"/>
  <c r="N32" i="12"/>
  <c r="N35" i="12"/>
  <c r="N31" i="12"/>
  <c r="N34" i="12"/>
  <c r="N33" i="12"/>
  <c r="BC53" i="13"/>
  <c r="BK53" i="13"/>
  <c r="AY24" i="18"/>
  <c r="BG24" i="18"/>
  <c r="BG23" i="18"/>
  <c r="AY23" i="18"/>
  <c r="AY50" i="12"/>
  <c r="BG50" i="12"/>
  <c r="D21" i="6"/>
  <c r="C21" i="6"/>
  <c r="AM21" i="6" s="1"/>
  <c r="S36" i="35"/>
  <c r="S32" i="35"/>
  <c r="S35" i="35"/>
  <c r="S31" i="35"/>
  <c r="S34" i="35"/>
  <c r="S33" i="35"/>
  <c r="N25" i="25"/>
  <c r="N24" i="25"/>
  <c r="N27" i="25"/>
  <c r="N23" i="25"/>
  <c r="N26" i="25"/>
  <c r="N22" i="25"/>
  <c r="V34" i="16"/>
  <c r="V33" i="16"/>
  <c r="V36" i="16"/>
  <c r="V32" i="16"/>
  <c r="V35" i="16"/>
  <c r="V31" i="16"/>
  <c r="W35" i="14"/>
  <c r="W31" i="14"/>
  <c r="W34" i="14"/>
  <c r="W33" i="14"/>
  <c r="W36" i="14"/>
  <c r="W32" i="14"/>
  <c r="G36" i="11"/>
  <c r="G32" i="11"/>
  <c r="G35" i="11"/>
  <c r="G31" i="11"/>
  <c r="G34" i="11"/>
  <c r="G33" i="11"/>
  <c r="AY44" i="12"/>
  <c r="BG44" i="12"/>
  <c r="AA34" i="39"/>
  <c r="AA33" i="39"/>
  <c r="AA36" i="39"/>
  <c r="AA32" i="39"/>
  <c r="AA35" i="39"/>
  <c r="AA31" i="39"/>
  <c r="W53" i="40"/>
  <c r="W49" i="40"/>
  <c r="W52" i="40"/>
  <c r="W51" i="40"/>
  <c r="W54" i="40"/>
  <c r="W50" i="40"/>
  <c r="K53" i="38"/>
  <c r="K49" i="38"/>
  <c r="K52" i="38"/>
  <c r="K51" i="38"/>
  <c r="K54" i="38"/>
  <c r="K50" i="38"/>
  <c r="K36" i="31"/>
  <c r="K32" i="31"/>
  <c r="K35" i="31"/>
  <c r="K31" i="31"/>
  <c r="K34" i="31"/>
  <c r="K33" i="31"/>
  <c r="BF43" i="33"/>
  <c r="AX43" i="33"/>
  <c r="V34" i="32"/>
  <c r="V33" i="32"/>
  <c r="V36" i="32"/>
  <c r="V32" i="32"/>
  <c r="V35" i="32"/>
  <c r="V31" i="32"/>
  <c r="V34" i="27"/>
  <c r="V33" i="27"/>
  <c r="V36" i="27"/>
  <c r="V32" i="27"/>
  <c r="V35" i="27"/>
  <c r="V31" i="27"/>
  <c r="O43" i="29"/>
  <c r="O42" i="29"/>
  <c r="O45" i="29"/>
  <c r="O41" i="29"/>
  <c r="O44" i="29"/>
  <c r="O40" i="29"/>
  <c r="AA53" i="22"/>
  <c r="AA49" i="22"/>
  <c r="AA52" i="22"/>
  <c r="AA51" i="22"/>
  <c r="AA54" i="22"/>
  <c r="AA50" i="22"/>
  <c r="Z43" i="27"/>
  <c r="Z42" i="27"/>
  <c r="Z45" i="27"/>
  <c r="Z41" i="27"/>
  <c r="Z44" i="27"/>
  <c r="Z40" i="27"/>
  <c r="K34" i="17"/>
  <c r="K33" i="17"/>
  <c r="K36" i="17"/>
  <c r="K32" i="17"/>
  <c r="K35" i="17"/>
  <c r="K31" i="17"/>
  <c r="AY26" i="25"/>
  <c r="BG26" i="25"/>
  <c r="R25" i="16"/>
  <c r="R24" i="16"/>
  <c r="R27" i="16"/>
  <c r="R23" i="16"/>
  <c r="R26" i="16"/>
  <c r="R22" i="16"/>
  <c r="BB45" i="17"/>
  <c r="BJ45" i="17"/>
  <c r="BB44" i="17"/>
  <c r="BJ44" i="17"/>
  <c r="BK25" i="10"/>
  <c r="BC25" i="10"/>
  <c r="J51" i="13"/>
  <c r="J54" i="13"/>
  <c r="J50" i="13"/>
  <c r="J53" i="13"/>
  <c r="J49" i="13"/>
  <c r="J52" i="13"/>
  <c r="BC53" i="10"/>
  <c r="BK53" i="10"/>
  <c r="AY35" i="12"/>
  <c r="BG35" i="12"/>
  <c r="J34" i="12"/>
  <c r="F24" i="37"/>
  <c r="F27" i="37"/>
  <c r="F23" i="37"/>
  <c r="F26" i="37"/>
  <c r="F22" i="37"/>
  <c r="F25" i="37"/>
  <c r="N35" i="35"/>
  <c r="N31" i="35"/>
  <c r="N34" i="35"/>
  <c r="N33" i="35"/>
  <c r="N36" i="35"/>
  <c r="N32" i="35"/>
  <c r="Z26" i="31"/>
  <c r="Z22" i="31"/>
  <c r="Z25" i="31"/>
  <c r="Z24" i="31"/>
  <c r="Z27" i="31"/>
  <c r="Z23" i="31"/>
  <c r="V54" i="25"/>
  <c r="V50" i="25"/>
  <c r="V53" i="25"/>
  <c r="V49" i="25"/>
  <c r="V52" i="25"/>
  <c r="V51" i="25"/>
  <c r="G32" i="29"/>
  <c r="AY32" i="25"/>
  <c r="BG32" i="25"/>
  <c r="R45" i="18"/>
  <c r="R41" i="18"/>
  <c r="R44" i="18"/>
  <c r="R40" i="18"/>
  <c r="R43" i="18"/>
  <c r="R42" i="18"/>
  <c r="F36" i="40"/>
  <c r="F32" i="40"/>
  <c r="F35" i="40"/>
  <c r="F31" i="40"/>
  <c r="F34" i="40"/>
  <c r="F33" i="40"/>
  <c r="N33" i="39"/>
  <c r="N36" i="39"/>
  <c r="N32" i="39"/>
  <c r="N35" i="39"/>
  <c r="N31" i="39"/>
  <c r="N34" i="39"/>
  <c r="R36" i="38"/>
  <c r="R32" i="38"/>
  <c r="R35" i="38"/>
  <c r="R31" i="38"/>
  <c r="R34" i="38"/>
  <c r="R33" i="38"/>
  <c r="Z45" i="34"/>
  <c r="Z41" i="34"/>
  <c r="Z44" i="34"/>
  <c r="Z40" i="34"/>
  <c r="Z43" i="34"/>
  <c r="Z42" i="34"/>
  <c r="R53" i="33"/>
  <c r="R49" i="33"/>
  <c r="R52" i="33"/>
  <c r="R51" i="33"/>
  <c r="R54" i="33"/>
  <c r="R50" i="33"/>
  <c r="N24" i="31"/>
  <c r="N27" i="31"/>
  <c r="N23" i="31"/>
  <c r="N26" i="31"/>
  <c r="N22" i="31"/>
  <c r="N25" i="31"/>
  <c r="R53" i="24"/>
  <c r="R49" i="24"/>
  <c r="R52" i="24"/>
  <c r="R51" i="24"/>
  <c r="R54" i="24"/>
  <c r="R50" i="24"/>
  <c r="V45" i="28"/>
  <c r="V41" i="28"/>
  <c r="V44" i="28"/>
  <c r="V40" i="28"/>
  <c r="V43" i="28"/>
  <c r="V42" i="28"/>
  <c r="BA31" i="30"/>
  <c r="BI31" i="30"/>
  <c r="BA33" i="30"/>
  <c r="BI33" i="30"/>
  <c r="N26" i="23"/>
  <c r="N22" i="23"/>
  <c r="N25" i="23"/>
  <c r="N24" i="23"/>
  <c r="N27" i="23"/>
  <c r="N23" i="23"/>
  <c r="G24" i="20"/>
  <c r="G27" i="20"/>
  <c r="G23" i="20"/>
  <c r="G26" i="20"/>
  <c r="G22" i="20"/>
  <c r="G25" i="20"/>
  <c r="W24" i="18"/>
  <c r="W27" i="18"/>
  <c r="W23" i="18"/>
  <c r="W26" i="18"/>
  <c r="W22" i="18"/>
  <c r="W25" i="18"/>
  <c r="BC24" i="19"/>
  <c r="BK24" i="19"/>
  <c r="F54" i="14"/>
  <c r="F50" i="14"/>
  <c r="F53" i="14"/>
  <c r="F49" i="14"/>
  <c r="F52" i="14"/>
  <c r="F51" i="14"/>
  <c r="BC51" i="17"/>
  <c r="BK51" i="17"/>
  <c r="R26" i="13"/>
  <c r="R22" i="13"/>
  <c r="R25" i="13"/>
  <c r="R24" i="13"/>
  <c r="R27" i="13"/>
  <c r="R23" i="13"/>
  <c r="F54" i="10"/>
  <c r="F53" i="10"/>
  <c r="F52" i="10"/>
  <c r="F51" i="10"/>
  <c r="F50" i="10"/>
  <c r="F49" i="10"/>
  <c r="W45" i="13"/>
  <c r="W41" i="13"/>
  <c r="W44" i="13"/>
  <c r="W40" i="13"/>
  <c r="W43" i="13"/>
  <c r="W42" i="13"/>
  <c r="D200" i="6"/>
  <c r="C200" i="6"/>
  <c r="AM200" i="6" s="1"/>
  <c r="G54" i="42"/>
  <c r="G50" i="42"/>
  <c r="G53" i="42"/>
  <c r="G49" i="42"/>
  <c r="G52" i="42"/>
  <c r="G51" i="42"/>
  <c r="S54" i="37"/>
  <c r="S50" i="37"/>
  <c r="S53" i="37"/>
  <c r="S49" i="37"/>
  <c r="S52" i="37"/>
  <c r="S51" i="37"/>
  <c r="W45" i="31"/>
  <c r="W41" i="31"/>
  <c r="W44" i="31"/>
  <c r="W40" i="31"/>
  <c r="W43" i="31"/>
  <c r="W42" i="31"/>
  <c r="K52" i="24"/>
  <c r="K51" i="24"/>
  <c r="K54" i="24"/>
  <c r="K50" i="24"/>
  <c r="K53" i="24"/>
  <c r="K49" i="24"/>
  <c r="G54" i="19"/>
  <c r="G50" i="19"/>
  <c r="G53" i="19"/>
  <c r="G49" i="19"/>
  <c r="G52" i="19"/>
  <c r="G51" i="19"/>
  <c r="K53" i="23"/>
  <c r="K49" i="23"/>
  <c r="K52" i="23"/>
  <c r="K51" i="23"/>
  <c r="K54" i="23"/>
  <c r="K50" i="23"/>
  <c r="N43" i="40"/>
  <c r="N42" i="40"/>
  <c r="N45" i="40"/>
  <c r="N41" i="40"/>
  <c r="N44" i="40"/>
  <c r="N40" i="40"/>
  <c r="K44" i="36"/>
  <c r="K40" i="36"/>
  <c r="K43" i="36"/>
  <c r="K42" i="36"/>
  <c r="K45" i="36"/>
  <c r="K41" i="36"/>
  <c r="S35" i="28"/>
  <c r="S31" i="28"/>
  <c r="S34" i="28"/>
  <c r="S33" i="28"/>
  <c r="S36" i="28"/>
  <c r="S32" i="28"/>
  <c r="G45" i="15"/>
  <c r="G41" i="15"/>
  <c r="G44" i="15"/>
  <c r="G40" i="15"/>
  <c r="G43" i="15"/>
  <c r="G42" i="15"/>
  <c r="O45" i="37"/>
  <c r="O41" i="37"/>
  <c r="O44" i="37"/>
  <c r="O40" i="37"/>
  <c r="O43" i="37"/>
  <c r="O42" i="37"/>
  <c r="W54" i="19"/>
  <c r="W50" i="19"/>
  <c r="W53" i="19"/>
  <c r="W49" i="19"/>
  <c r="W52" i="19"/>
  <c r="W51" i="19"/>
  <c r="K26" i="14"/>
  <c r="K22" i="14"/>
  <c r="K25" i="14"/>
  <c r="K24" i="14"/>
  <c r="K27" i="14"/>
  <c r="K23" i="14"/>
  <c r="O54" i="41"/>
  <c r="O50" i="41"/>
  <c r="O53" i="41"/>
  <c r="O49" i="41"/>
  <c r="O52" i="41"/>
  <c r="O51" i="41"/>
  <c r="K26" i="30"/>
  <c r="K22" i="30"/>
  <c r="K25" i="30"/>
  <c r="K24" i="30"/>
  <c r="K27" i="30"/>
  <c r="K23" i="30"/>
  <c r="W27" i="26"/>
  <c r="W23" i="26"/>
  <c r="W26" i="26"/>
  <c r="W22" i="26"/>
  <c r="W25" i="26"/>
  <c r="W24" i="26"/>
  <c r="G45" i="26"/>
  <c r="G41" i="26"/>
  <c r="G44" i="26"/>
  <c r="G40" i="26"/>
  <c r="G43" i="26"/>
  <c r="G42" i="26"/>
  <c r="O52" i="15"/>
  <c r="O51" i="15"/>
  <c r="O54" i="15"/>
  <c r="O50" i="15"/>
  <c r="O53" i="15"/>
  <c r="O49" i="15"/>
  <c r="BJ50" i="17"/>
  <c r="BB50" i="17"/>
  <c r="S45" i="42"/>
  <c r="S40" i="42"/>
  <c r="S44" i="42"/>
  <c r="S43" i="42"/>
  <c r="S41" i="42"/>
  <c r="S42" i="42"/>
  <c r="S34" i="23"/>
  <c r="S33" i="23"/>
  <c r="S36" i="23"/>
  <c r="S32" i="23"/>
  <c r="S35" i="23"/>
  <c r="S31" i="23"/>
  <c r="J53" i="19"/>
  <c r="J49" i="19"/>
  <c r="J52" i="19"/>
  <c r="J51" i="19"/>
  <c r="J54" i="19"/>
  <c r="J50" i="19"/>
  <c r="BA32" i="10"/>
  <c r="BI32" i="10"/>
  <c r="BB32" i="10"/>
  <c r="BJ32" i="10"/>
  <c r="S44" i="14"/>
  <c r="S40" i="14"/>
  <c r="S43" i="14"/>
  <c r="S42" i="14"/>
  <c r="S45" i="14"/>
  <c r="S41" i="14"/>
  <c r="BC31" i="12"/>
  <c r="BK31" i="12"/>
  <c r="BC33" i="12"/>
  <c r="BK33" i="12"/>
  <c r="V36" i="42"/>
  <c r="V32" i="42"/>
  <c r="V35" i="42"/>
  <c r="V31" i="42"/>
  <c r="V34" i="42"/>
  <c r="V33" i="42"/>
  <c r="V44" i="41"/>
  <c r="V40" i="41"/>
  <c r="V43" i="41"/>
  <c r="V42" i="41"/>
  <c r="V45" i="41"/>
  <c r="V41" i="41"/>
  <c r="BC44" i="41"/>
  <c r="BK44" i="41"/>
  <c r="AA33" i="40"/>
  <c r="AA36" i="40"/>
  <c r="AA32" i="40"/>
  <c r="AA35" i="40"/>
  <c r="AA31" i="40"/>
  <c r="AA34" i="40"/>
  <c r="V36" i="36"/>
  <c r="V32" i="36"/>
  <c r="V35" i="36"/>
  <c r="V31" i="36"/>
  <c r="V34" i="36"/>
  <c r="V33" i="36"/>
  <c r="S39" i="36"/>
  <c r="R39" i="36"/>
  <c r="Z43" i="36"/>
  <c r="AA43" i="36"/>
  <c r="BK44" i="37"/>
  <c r="BC44" i="37"/>
  <c r="W25" i="33"/>
  <c r="W24" i="33"/>
  <c r="W27" i="33"/>
  <c r="W23" i="33"/>
  <c r="W26" i="33"/>
  <c r="W22" i="33"/>
  <c r="O39" i="33"/>
  <c r="N39" i="33"/>
  <c r="N25" i="30"/>
  <c r="N24" i="30"/>
  <c r="N27" i="30"/>
  <c r="N23" i="30"/>
  <c r="N26" i="30"/>
  <c r="N22" i="30"/>
  <c r="AA34" i="24"/>
  <c r="AA33" i="24"/>
  <c r="AA36" i="24"/>
  <c r="AA32" i="24"/>
  <c r="AA35" i="24"/>
  <c r="AA31" i="24"/>
  <c r="O30" i="24"/>
  <c r="N30" i="24"/>
  <c r="G25" i="24"/>
  <c r="G24" i="24"/>
  <c r="G27" i="24"/>
  <c r="G23" i="24"/>
  <c r="G26" i="24"/>
  <c r="G22" i="24"/>
  <c r="BA26" i="30"/>
  <c r="BI26" i="30"/>
  <c r="N34" i="22"/>
  <c r="N33" i="22"/>
  <c r="N36" i="22"/>
  <c r="N32" i="22"/>
  <c r="N35" i="22"/>
  <c r="N31" i="22"/>
  <c r="W27" i="21"/>
  <c r="W23" i="21"/>
  <c r="W26" i="21"/>
  <c r="W22" i="21"/>
  <c r="W25" i="21"/>
  <c r="W24" i="21"/>
  <c r="AA26" i="25"/>
  <c r="AA22" i="25"/>
  <c r="AA25" i="25"/>
  <c r="AA24" i="25"/>
  <c r="AA27" i="25"/>
  <c r="AA23" i="25"/>
  <c r="N25" i="20"/>
  <c r="N24" i="20"/>
  <c r="N27" i="20"/>
  <c r="N23" i="20"/>
  <c r="N26" i="20"/>
  <c r="N22" i="20"/>
  <c r="S25" i="15"/>
  <c r="S24" i="15"/>
  <c r="S27" i="15"/>
  <c r="S23" i="15"/>
  <c r="S26" i="15"/>
  <c r="S22" i="15"/>
  <c r="BC54" i="19"/>
  <c r="BK54" i="19"/>
  <c r="BK53" i="19"/>
  <c r="BC53" i="19"/>
  <c r="N43" i="12"/>
  <c r="N42" i="12"/>
  <c r="N45" i="12"/>
  <c r="N41" i="12"/>
  <c r="N44" i="12"/>
  <c r="N40" i="12"/>
  <c r="F52" i="28"/>
  <c r="F51" i="28"/>
  <c r="F54" i="28"/>
  <c r="F50" i="28"/>
  <c r="F53" i="28"/>
  <c r="F49" i="28"/>
  <c r="S43" i="31"/>
  <c r="S42" i="31"/>
  <c r="S45" i="31"/>
  <c r="S41" i="31"/>
  <c r="S44" i="31"/>
  <c r="S40" i="31"/>
  <c r="BC41" i="29"/>
  <c r="BK41" i="29"/>
  <c r="F34" i="27"/>
  <c r="F33" i="27"/>
  <c r="F36" i="27"/>
  <c r="F32" i="27"/>
  <c r="F35" i="27"/>
  <c r="F31" i="27"/>
  <c r="S36" i="26"/>
  <c r="S32" i="26"/>
  <c r="S35" i="26"/>
  <c r="S31" i="26"/>
  <c r="S34" i="26"/>
  <c r="S33" i="26"/>
  <c r="F43" i="18"/>
  <c r="F42" i="18"/>
  <c r="F45" i="18"/>
  <c r="F41" i="18"/>
  <c r="F44" i="18"/>
  <c r="F40" i="18"/>
  <c r="AA45" i="39"/>
  <c r="AA41" i="39"/>
  <c r="AA44" i="39"/>
  <c r="AA40" i="39"/>
  <c r="AA43" i="39"/>
  <c r="AA42" i="39"/>
  <c r="BK34" i="41"/>
  <c r="BC34" i="41"/>
  <c r="BK33" i="41"/>
  <c r="BC33" i="41"/>
  <c r="W43" i="39"/>
  <c r="W42" i="39"/>
  <c r="W45" i="39"/>
  <c r="W41" i="39"/>
  <c r="W44" i="39"/>
  <c r="W40" i="39"/>
  <c r="W27" i="37"/>
  <c r="W23" i="37"/>
  <c r="W26" i="37"/>
  <c r="W22" i="37"/>
  <c r="W25" i="37"/>
  <c r="W24" i="37"/>
  <c r="K43" i="31"/>
  <c r="K42" i="31"/>
  <c r="K45" i="31"/>
  <c r="K41" i="31"/>
  <c r="K44" i="31"/>
  <c r="K40" i="31"/>
  <c r="BC54" i="29"/>
  <c r="BK54" i="29"/>
  <c r="BK53" i="29"/>
  <c r="BC53" i="29"/>
  <c r="BB31" i="29"/>
  <c r="BJ31" i="29"/>
  <c r="BB33" i="29"/>
  <c r="BJ33" i="29"/>
  <c r="K35" i="27"/>
  <c r="K31" i="27"/>
  <c r="K34" i="27"/>
  <c r="K33" i="27"/>
  <c r="K36" i="27"/>
  <c r="K32" i="27"/>
  <c r="BJ25" i="24"/>
  <c r="BB25" i="24"/>
  <c r="AA27" i="23"/>
  <c r="AA23" i="23"/>
  <c r="AA26" i="23"/>
  <c r="AA22" i="23"/>
  <c r="AA25" i="23"/>
  <c r="AA24" i="23"/>
  <c r="AA54" i="21"/>
  <c r="AA50" i="21"/>
  <c r="AA53" i="21"/>
  <c r="AA49" i="21"/>
  <c r="AA52" i="21"/>
  <c r="AA51" i="21"/>
  <c r="BB53" i="23"/>
  <c r="BJ53" i="23"/>
  <c r="BB52" i="23"/>
  <c r="BJ52" i="23"/>
  <c r="K45" i="17"/>
  <c r="K41" i="17"/>
  <c r="K44" i="17"/>
  <c r="K40" i="17"/>
  <c r="K43" i="17"/>
  <c r="K42" i="17"/>
  <c r="BB26" i="20"/>
  <c r="BJ26" i="20"/>
  <c r="BB25" i="20"/>
  <c r="BJ25" i="20"/>
  <c r="Z27" i="14"/>
  <c r="Z23" i="14"/>
  <c r="Z26" i="14"/>
  <c r="Z22" i="14"/>
  <c r="Z25" i="14"/>
  <c r="Z24" i="14"/>
  <c r="F36" i="12"/>
  <c r="F32" i="12"/>
  <c r="F35" i="12"/>
  <c r="F31" i="12"/>
  <c r="F34" i="12"/>
  <c r="F33" i="12"/>
  <c r="BC24" i="13"/>
  <c r="BK24" i="13"/>
  <c r="V44" i="11"/>
  <c r="V40" i="11"/>
  <c r="V43" i="11"/>
  <c r="V42" i="11"/>
  <c r="V45" i="11"/>
  <c r="V41" i="11"/>
  <c r="BA26" i="10"/>
  <c r="BI26" i="10"/>
  <c r="BC54" i="20"/>
  <c r="BK54" i="20"/>
  <c r="AY43" i="18"/>
  <c r="BG43" i="18"/>
  <c r="BG45" i="18"/>
  <c r="AY45" i="18"/>
  <c r="G52" i="37"/>
  <c r="G51" i="37"/>
  <c r="G54" i="37"/>
  <c r="G50" i="37"/>
  <c r="G53" i="37"/>
  <c r="G49" i="37"/>
  <c r="O45" i="35"/>
  <c r="O41" i="35"/>
  <c r="O44" i="35"/>
  <c r="O40" i="35"/>
  <c r="O43" i="35"/>
  <c r="O42" i="35"/>
  <c r="AA54" i="31"/>
  <c r="AA50" i="31"/>
  <c r="AA53" i="31"/>
  <c r="AA49" i="31"/>
  <c r="AA52" i="31"/>
  <c r="AA51" i="31"/>
  <c r="K48" i="29"/>
  <c r="J48" i="29"/>
  <c r="W35" i="25"/>
  <c r="W31" i="25"/>
  <c r="W34" i="25"/>
  <c r="W33" i="25"/>
  <c r="W36" i="25"/>
  <c r="W32" i="25"/>
  <c r="AX31" i="29"/>
  <c r="BF31" i="29"/>
  <c r="AX33" i="29"/>
  <c r="BF33" i="29"/>
  <c r="S26" i="18"/>
  <c r="S22" i="18"/>
  <c r="S25" i="18"/>
  <c r="S24" i="18"/>
  <c r="S27" i="18"/>
  <c r="S23" i="18"/>
  <c r="BC22" i="17"/>
  <c r="BK22" i="17"/>
  <c r="BK24" i="17"/>
  <c r="BC24" i="17"/>
  <c r="BC23" i="11"/>
  <c r="BK23" i="11"/>
  <c r="G54" i="41"/>
  <c r="G50" i="41"/>
  <c r="G53" i="41"/>
  <c r="G49" i="41"/>
  <c r="G52" i="41"/>
  <c r="G51" i="41"/>
  <c r="F43" i="40"/>
  <c r="F42" i="40"/>
  <c r="F45" i="40"/>
  <c r="F41" i="40"/>
  <c r="F44" i="40"/>
  <c r="F40" i="40"/>
  <c r="O43" i="39"/>
  <c r="O42" i="39"/>
  <c r="O45" i="39"/>
  <c r="O41" i="39"/>
  <c r="O44" i="39"/>
  <c r="O40" i="39"/>
  <c r="S53" i="38"/>
  <c r="S49" i="38"/>
  <c r="S52" i="38"/>
  <c r="S51" i="38"/>
  <c r="S54" i="38"/>
  <c r="S50" i="38"/>
  <c r="G52" i="35"/>
  <c r="G51" i="35"/>
  <c r="G54" i="35"/>
  <c r="G50" i="35"/>
  <c r="G53" i="35"/>
  <c r="G49" i="35"/>
  <c r="N34" i="28"/>
  <c r="N33" i="28"/>
  <c r="N36" i="28"/>
  <c r="N32" i="28"/>
  <c r="N35" i="28"/>
  <c r="N31" i="28"/>
  <c r="BJ34" i="35"/>
  <c r="BB34" i="35"/>
  <c r="K36" i="35"/>
  <c r="K32" i="35"/>
  <c r="K35" i="35"/>
  <c r="K31" i="35"/>
  <c r="K34" i="35"/>
  <c r="K33" i="35"/>
  <c r="AX31" i="33"/>
  <c r="BF31" i="33"/>
  <c r="F33" i="33"/>
  <c r="O26" i="27"/>
  <c r="O22" i="27"/>
  <c r="O25" i="27"/>
  <c r="O24" i="27"/>
  <c r="O27" i="27"/>
  <c r="O23" i="27"/>
  <c r="AA35" i="28"/>
  <c r="AA31" i="28"/>
  <c r="AA34" i="28"/>
  <c r="AA33" i="28"/>
  <c r="AA36" i="28"/>
  <c r="AA32" i="28"/>
  <c r="K35" i="32"/>
  <c r="K31" i="32"/>
  <c r="K34" i="32"/>
  <c r="K33" i="32"/>
  <c r="K36" i="32"/>
  <c r="K32" i="32"/>
  <c r="BC26" i="30"/>
  <c r="BK26" i="30"/>
  <c r="BB49" i="29"/>
  <c r="BJ49" i="29"/>
  <c r="BB51" i="29"/>
  <c r="BJ51" i="29"/>
  <c r="R45" i="27"/>
  <c r="R43" i="27"/>
  <c r="R42" i="27"/>
  <c r="R41" i="27"/>
  <c r="R44" i="27"/>
  <c r="R40" i="27"/>
  <c r="K25" i="21"/>
  <c r="K24" i="21"/>
  <c r="K27" i="21"/>
  <c r="K23" i="21"/>
  <c r="K26" i="21"/>
  <c r="K22" i="21"/>
  <c r="N43" i="18"/>
  <c r="N42" i="18"/>
  <c r="N45" i="18"/>
  <c r="N41" i="18"/>
  <c r="N44" i="18"/>
  <c r="N40" i="18"/>
  <c r="G35" i="14"/>
  <c r="G31" i="14"/>
  <c r="G34" i="14"/>
  <c r="G33" i="14"/>
  <c r="G36" i="14"/>
  <c r="G32" i="14"/>
  <c r="F27" i="10"/>
  <c r="F26" i="10"/>
  <c r="F25" i="10"/>
  <c r="F24" i="10"/>
  <c r="F23" i="10"/>
  <c r="F22" i="10"/>
  <c r="F35" i="13"/>
  <c r="F31" i="13"/>
  <c r="F34" i="13"/>
  <c r="F33" i="13"/>
  <c r="F36" i="13"/>
  <c r="F32" i="13"/>
  <c r="BC50" i="11"/>
  <c r="BK50" i="11"/>
  <c r="BK49" i="11"/>
  <c r="BC49" i="11"/>
  <c r="D184" i="6"/>
  <c r="C184" i="6"/>
  <c r="AM184" i="6" s="1"/>
  <c r="J42" i="41"/>
  <c r="J45" i="41"/>
  <c r="J41" i="41"/>
  <c r="J44" i="41"/>
  <c r="J40" i="41"/>
  <c r="J43" i="41"/>
  <c r="S24" i="32"/>
  <c r="S27" i="32"/>
  <c r="S23" i="32"/>
  <c r="S26" i="32"/>
  <c r="S22" i="32"/>
  <c r="S25" i="32"/>
  <c r="R24" i="29"/>
  <c r="R27" i="29"/>
  <c r="R23" i="29"/>
  <c r="R26" i="29"/>
  <c r="R22" i="29"/>
  <c r="R25" i="29"/>
  <c r="F27" i="22"/>
  <c r="F23" i="22"/>
  <c r="F26" i="22"/>
  <c r="F22" i="22"/>
  <c r="F25" i="22"/>
  <c r="F24" i="22"/>
  <c r="G42" i="34"/>
  <c r="G45" i="34"/>
  <c r="G41" i="34"/>
  <c r="G44" i="34"/>
  <c r="G40" i="34"/>
  <c r="G43" i="34"/>
  <c r="F27" i="16"/>
  <c r="F23" i="16"/>
  <c r="F26" i="16"/>
  <c r="F22" i="16"/>
  <c r="F25" i="16"/>
  <c r="F24" i="16"/>
  <c r="F33" i="39"/>
  <c r="F36" i="39"/>
  <c r="F32" i="39"/>
  <c r="F35" i="39"/>
  <c r="F31" i="39"/>
  <c r="F34" i="39"/>
  <c r="J26" i="37"/>
  <c r="J22" i="37"/>
  <c r="J25" i="37"/>
  <c r="J24" i="37"/>
  <c r="J27" i="37"/>
  <c r="J23" i="37"/>
  <c r="K42" i="28"/>
  <c r="K45" i="28"/>
  <c r="K41" i="28"/>
  <c r="K44" i="28"/>
  <c r="K40" i="28"/>
  <c r="K43" i="28"/>
  <c r="S33" i="40"/>
  <c r="S36" i="40"/>
  <c r="S32" i="40"/>
  <c r="S35" i="40"/>
  <c r="S31" i="40"/>
  <c r="S34" i="40"/>
  <c r="R45" i="34"/>
  <c r="R41" i="34"/>
  <c r="R44" i="34"/>
  <c r="R40" i="34"/>
  <c r="R43" i="34"/>
  <c r="R42" i="34"/>
  <c r="N44" i="19"/>
  <c r="N43" i="19"/>
  <c r="N42" i="19"/>
  <c r="N45" i="19"/>
  <c r="N41" i="19"/>
  <c r="N40" i="19"/>
  <c r="R53" i="39"/>
  <c r="R49" i="39"/>
  <c r="R52" i="39"/>
  <c r="R51" i="39"/>
  <c r="R54" i="39"/>
  <c r="R50" i="39"/>
  <c r="O51" i="38"/>
  <c r="O54" i="38"/>
  <c r="O50" i="38"/>
  <c r="O53" i="38"/>
  <c r="O49" i="38"/>
  <c r="O52" i="38"/>
  <c r="BC50" i="36"/>
  <c r="BK50" i="36"/>
  <c r="G51" i="33"/>
  <c r="BI50" i="30"/>
  <c r="BA50" i="30"/>
  <c r="W51" i="22"/>
  <c r="W54" i="22"/>
  <c r="W50" i="22"/>
  <c r="W53" i="22"/>
  <c r="W49" i="22"/>
  <c r="W52" i="22"/>
  <c r="N42" i="21"/>
  <c r="N45" i="21"/>
  <c r="N41" i="21"/>
  <c r="N44" i="21"/>
  <c r="N40" i="21"/>
  <c r="N43" i="21"/>
  <c r="R42" i="17"/>
  <c r="R45" i="17"/>
  <c r="R41" i="17"/>
  <c r="R44" i="17"/>
  <c r="R40" i="17"/>
  <c r="R43" i="17"/>
  <c r="R48" i="12"/>
  <c r="S48" i="12"/>
  <c r="G42" i="36"/>
  <c r="G45" i="36"/>
  <c r="G41" i="36"/>
  <c r="G44" i="36"/>
  <c r="G40" i="36"/>
  <c r="G43" i="36"/>
  <c r="R54" i="23"/>
  <c r="R50" i="23"/>
  <c r="R53" i="23"/>
  <c r="R49" i="23"/>
  <c r="R52" i="23"/>
  <c r="R51" i="23"/>
  <c r="J26" i="19"/>
  <c r="J22" i="19"/>
  <c r="J25" i="19"/>
  <c r="J24" i="19"/>
  <c r="J27" i="19"/>
  <c r="J23" i="19"/>
  <c r="BB41" i="10"/>
  <c r="BJ41" i="10"/>
  <c r="S26" i="14"/>
  <c r="S22" i="14"/>
  <c r="S25" i="14"/>
  <c r="S24" i="14"/>
  <c r="S27" i="14"/>
  <c r="S23" i="14"/>
  <c r="BC45" i="15"/>
  <c r="BK45" i="15"/>
  <c r="BK44" i="15"/>
  <c r="BC44" i="15"/>
  <c r="BC26" i="42"/>
  <c r="BK26" i="42"/>
  <c r="V25" i="42"/>
  <c r="V24" i="42"/>
  <c r="V27" i="42"/>
  <c r="V23" i="42"/>
  <c r="V26" i="42"/>
  <c r="V22" i="42"/>
  <c r="K21" i="42"/>
  <c r="J21" i="42"/>
  <c r="W27" i="41"/>
  <c r="W23" i="41"/>
  <c r="W26" i="41"/>
  <c r="W22" i="41"/>
  <c r="W25" i="41"/>
  <c r="W24" i="41"/>
  <c r="BC26" i="38"/>
  <c r="BK26" i="38"/>
  <c r="W30" i="34"/>
  <c r="V30" i="34"/>
  <c r="BK40" i="35"/>
  <c r="BC40" i="35"/>
  <c r="N54" i="30"/>
  <c r="N50" i="30"/>
  <c r="N53" i="30"/>
  <c r="N49" i="30"/>
  <c r="N52" i="30"/>
  <c r="N51" i="30"/>
  <c r="AX22" i="33"/>
  <c r="BF22" i="33"/>
  <c r="BF25" i="33"/>
  <c r="AX25" i="33"/>
  <c r="BC33" i="29"/>
  <c r="BK33" i="29"/>
  <c r="Z42" i="24"/>
  <c r="Z45" i="24"/>
  <c r="Z41" i="24"/>
  <c r="Z44" i="24"/>
  <c r="Z40" i="24"/>
  <c r="Z43" i="24"/>
  <c r="G43" i="24"/>
  <c r="G42" i="24"/>
  <c r="G45" i="24"/>
  <c r="G41" i="24"/>
  <c r="G44" i="24"/>
  <c r="G40" i="24"/>
  <c r="J43" i="22"/>
  <c r="J42" i="22"/>
  <c r="J45" i="22"/>
  <c r="J41" i="22"/>
  <c r="J44" i="22"/>
  <c r="J40" i="22"/>
  <c r="K54" i="26"/>
  <c r="K50" i="26"/>
  <c r="K53" i="26"/>
  <c r="K49" i="26"/>
  <c r="K52" i="26"/>
  <c r="K51" i="26"/>
  <c r="S43" i="21"/>
  <c r="S42" i="21"/>
  <c r="S45" i="21"/>
  <c r="S41" i="21"/>
  <c r="S44" i="21"/>
  <c r="S40" i="21"/>
  <c r="AA27" i="33"/>
  <c r="AA26" i="33"/>
  <c r="AA25" i="33"/>
  <c r="AA24" i="33"/>
  <c r="AA22" i="33"/>
  <c r="AA23" i="33"/>
  <c r="F50" i="29"/>
  <c r="AA54" i="26"/>
  <c r="AA50" i="26"/>
  <c r="AA53" i="26"/>
  <c r="AA49" i="26"/>
  <c r="AA52" i="26"/>
  <c r="AA51" i="26"/>
  <c r="BJ32" i="24"/>
  <c r="BB32" i="24"/>
  <c r="J25" i="16"/>
  <c r="J24" i="16"/>
  <c r="J27" i="16"/>
  <c r="J23" i="16"/>
  <c r="J26" i="16"/>
  <c r="J22" i="16"/>
  <c r="BJ53" i="20"/>
  <c r="BB53" i="20"/>
  <c r="S25" i="19"/>
  <c r="S24" i="19"/>
  <c r="S27" i="19"/>
  <c r="S23" i="19"/>
  <c r="S26" i="19"/>
  <c r="S22" i="19"/>
  <c r="K43" i="15"/>
  <c r="K42" i="15"/>
  <c r="K45" i="15"/>
  <c r="K41" i="15"/>
  <c r="K44" i="15"/>
  <c r="K40" i="15"/>
  <c r="N25" i="12"/>
  <c r="N24" i="12"/>
  <c r="N27" i="12"/>
  <c r="N23" i="12"/>
  <c r="N26" i="12"/>
  <c r="N22" i="12"/>
  <c r="O39" i="11"/>
  <c r="N39" i="11"/>
  <c r="BC41" i="11"/>
  <c r="BK41" i="11"/>
  <c r="BC43" i="20"/>
  <c r="BK43" i="20"/>
  <c r="BK45" i="20"/>
  <c r="BC45" i="20"/>
  <c r="BC32" i="15"/>
  <c r="BK32" i="15"/>
  <c r="Z25" i="12"/>
  <c r="BK27" i="12"/>
  <c r="BC27" i="12"/>
  <c r="BC35" i="37"/>
  <c r="BK35" i="37"/>
  <c r="G33" i="28"/>
  <c r="G36" i="28"/>
  <c r="G32" i="28"/>
  <c r="G35" i="28"/>
  <c r="G31" i="28"/>
  <c r="G34" i="28"/>
  <c r="R26" i="31"/>
  <c r="R22" i="31"/>
  <c r="R25" i="31"/>
  <c r="R24" i="31"/>
  <c r="R27" i="31"/>
  <c r="R23" i="31"/>
  <c r="N36" i="25"/>
  <c r="N32" i="25"/>
  <c r="N35" i="25"/>
  <c r="N31" i="25"/>
  <c r="N34" i="25"/>
  <c r="N33" i="25"/>
  <c r="V27" i="16"/>
  <c r="V23" i="16"/>
  <c r="V26" i="16"/>
  <c r="V22" i="16"/>
  <c r="V25" i="16"/>
  <c r="V24" i="16"/>
  <c r="W24" i="14"/>
  <c r="W27" i="14"/>
  <c r="W23" i="14"/>
  <c r="W26" i="14"/>
  <c r="W22" i="14"/>
  <c r="W25" i="14"/>
  <c r="BC41" i="19"/>
  <c r="BK41" i="19"/>
  <c r="F26" i="11"/>
  <c r="F22" i="11"/>
  <c r="F25" i="11"/>
  <c r="F24" i="11"/>
  <c r="F27" i="11"/>
  <c r="F23" i="11"/>
  <c r="J24" i="39"/>
  <c r="J27" i="39"/>
  <c r="J23" i="39"/>
  <c r="J26" i="39"/>
  <c r="J22" i="39"/>
  <c r="J25" i="39"/>
  <c r="W42" i="40"/>
  <c r="W45" i="40"/>
  <c r="W41" i="40"/>
  <c r="W44" i="40"/>
  <c r="W40" i="40"/>
  <c r="W43" i="40"/>
  <c r="K44" i="38"/>
  <c r="K42" i="38"/>
  <c r="K45" i="38"/>
  <c r="K41" i="38"/>
  <c r="K40" i="38"/>
  <c r="K43" i="38"/>
  <c r="J26" i="31"/>
  <c r="J22" i="31"/>
  <c r="J25" i="31"/>
  <c r="J24" i="31"/>
  <c r="J27" i="31"/>
  <c r="J23" i="31"/>
  <c r="K45" i="27"/>
  <c r="K42" i="27"/>
  <c r="K41" i="27"/>
  <c r="K44" i="27"/>
  <c r="K40" i="27"/>
  <c r="K43" i="27"/>
  <c r="AA42" i="22"/>
  <c r="AA45" i="22"/>
  <c r="AA41" i="22"/>
  <c r="AA44" i="22"/>
  <c r="AA40" i="22"/>
  <c r="AA43" i="22"/>
  <c r="W51" i="24"/>
  <c r="F35" i="21"/>
  <c r="F31" i="21"/>
  <c r="F34" i="21"/>
  <c r="F33" i="21"/>
  <c r="F36" i="21"/>
  <c r="F32" i="21"/>
  <c r="R36" i="16"/>
  <c r="R32" i="16"/>
  <c r="R35" i="16"/>
  <c r="R31" i="16"/>
  <c r="R34" i="16"/>
  <c r="R33" i="16"/>
  <c r="N51" i="17"/>
  <c r="N54" i="17"/>
  <c r="N50" i="17"/>
  <c r="N53" i="17"/>
  <c r="N49" i="17"/>
  <c r="N52" i="17"/>
  <c r="G30" i="23"/>
  <c r="F30" i="23"/>
  <c r="BC35" i="19"/>
  <c r="BK35" i="19"/>
  <c r="K21" i="11"/>
  <c r="J21" i="11"/>
  <c r="BI43" i="10"/>
  <c r="BA43" i="10"/>
  <c r="BC34" i="17"/>
  <c r="BK34" i="17"/>
  <c r="Z52" i="14"/>
  <c r="Z51" i="14"/>
  <c r="Z54" i="14"/>
  <c r="Z50" i="14"/>
  <c r="Z53" i="14"/>
  <c r="Z49" i="14"/>
  <c r="F43" i="12"/>
  <c r="F42" i="12"/>
  <c r="F45" i="12"/>
  <c r="F41" i="12"/>
  <c r="F44" i="12"/>
  <c r="F40" i="12"/>
  <c r="BC35" i="10"/>
  <c r="BK35" i="10"/>
  <c r="Z32" i="11"/>
  <c r="BK31" i="11"/>
  <c r="BC31" i="11"/>
  <c r="BC27" i="41"/>
  <c r="BK27" i="41"/>
  <c r="BC33" i="38"/>
  <c r="BK33" i="38"/>
  <c r="BK32" i="38"/>
  <c r="BC32" i="38"/>
  <c r="O27" i="35"/>
  <c r="O23" i="35"/>
  <c r="O26" i="35"/>
  <c r="O22" i="35"/>
  <c r="O25" i="35"/>
  <c r="O24" i="35"/>
  <c r="AA36" i="31"/>
  <c r="AA32" i="31"/>
  <c r="AA35" i="31"/>
  <c r="AA31" i="31"/>
  <c r="AA34" i="31"/>
  <c r="AA33" i="31"/>
  <c r="V43" i="25"/>
  <c r="V42" i="25"/>
  <c r="V45" i="25"/>
  <c r="V41" i="25"/>
  <c r="V44" i="25"/>
  <c r="V40" i="25"/>
  <c r="R52" i="18"/>
  <c r="R51" i="18"/>
  <c r="R54" i="18"/>
  <c r="R50" i="18"/>
  <c r="R53" i="18"/>
  <c r="R49" i="18"/>
  <c r="BC54" i="41"/>
  <c r="BK54" i="41"/>
  <c r="BK53" i="41"/>
  <c r="BC53" i="41"/>
  <c r="K26" i="40"/>
  <c r="K22" i="40"/>
  <c r="K25" i="40"/>
  <c r="K24" i="40"/>
  <c r="K27" i="40"/>
  <c r="K23" i="40"/>
  <c r="V52" i="38"/>
  <c r="V51" i="38"/>
  <c r="V54" i="38"/>
  <c r="V50" i="38"/>
  <c r="V53" i="38"/>
  <c r="V49" i="38"/>
  <c r="BC49" i="37"/>
  <c r="BK49" i="37"/>
  <c r="BK51" i="37"/>
  <c r="BC51" i="37"/>
  <c r="N39" i="36"/>
  <c r="O39" i="36"/>
  <c r="Z42" i="36"/>
  <c r="AA42" i="36"/>
  <c r="Z52" i="34"/>
  <c r="Z51" i="34"/>
  <c r="Z54" i="34"/>
  <c r="Z50" i="34"/>
  <c r="Z53" i="34"/>
  <c r="Z49" i="34"/>
  <c r="K43" i="35"/>
  <c r="K42" i="35"/>
  <c r="K45" i="35"/>
  <c r="K41" i="35"/>
  <c r="K44" i="35"/>
  <c r="K40" i="35"/>
  <c r="O52" i="31"/>
  <c r="O51" i="31"/>
  <c r="O54" i="31"/>
  <c r="O50" i="31"/>
  <c r="O53" i="31"/>
  <c r="O49" i="31"/>
  <c r="N34" i="27"/>
  <c r="N33" i="27"/>
  <c r="N36" i="27"/>
  <c r="N32" i="27"/>
  <c r="N35" i="27"/>
  <c r="N31" i="27"/>
  <c r="Z25" i="28"/>
  <c r="Z24" i="28"/>
  <c r="Z27" i="28"/>
  <c r="Z23" i="28"/>
  <c r="Z26" i="28"/>
  <c r="Z22" i="28"/>
  <c r="J43" i="32"/>
  <c r="J42" i="32"/>
  <c r="J45" i="32"/>
  <c r="J41" i="32"/>
  <c r="J44" i="32"/>
  <c r="J40" i="32"/>
  <c r="R25" i="27"/>
  <c r="R24" i="27"/>
  <c r="R27" i="27"/>
  <c r="R23" i="27"/>
  <c r="R26" i="27"/>
  <c r="R22" i="27"/>
  <c r="K54" i="21"/>
  <c r="K50" i="21"/>
  <c r="K53" i="21"/>
  <c r="K49" i="21"/>
  <c r="K52" i="21"/>
  <c r="K51" i="21"/>
  <c r="AY44" i="25"/>
  <c r="BG44" i="25"/>
  <c r="W35" i="18"/>
  <c r="W31" i="18"/>
  <c r="W34" i="18"/>
  <c r="W33" i="18"/>
  <c r="W36" i="18"/>
  <c r="W32" i="18"/>
  <c r="BB31" i="17"/>
  <c r="BJ31" i="17"/>
  <c r="BB33" i="17"/>
  <c r="BJ33" i="17"/>
  <c r="S36" i="13"/>
  <c r="S32" i="13"/>
  <c r="S35" i="13"/>
  <c r="S31" i="13"/>
  <c r="S34" i="13"/>
  <c r="S33" i="13"/>
  <c r="BA31" i="10"/>
  <c r="BI31" i="10"/>
  <c r="BC41" i="13"/>
  <c r="BK41" i="13"/>
  <c r="BK40" i="13"/>
  <c r="BC40" i="13"/>
  <c r="V35" i="13"/>
  <c r="V31" i="13"/>
  <c r="V34" i="13"/>
  <c r="V33" i="13"/>
  <c r="V36" i="13"/>
  <c r="V32" i="13"/>
  <c r="BC24" i="15"/>
  <c r="BK24" i="15"/>
  <c r="AY24" i="12"/>
  <c r="BG24" i="12"/>
  <c r="BG23" i="12"/>
  <c r="AY23" i="12"/>
  <c r="K25" i="41"/>
  <c r="K24" i="41"/>
  <c r="K26" i="41"/>
  <c r="K27" i="41"/>
  <c r="K23" i="41"/>
  <c r="K22" i="41"/>
  <c r="S53" i="32"/>
  <c r="S49" i="32"/>
  <c r="S52" i="32"/>
  <c r="S51" i="32"/>
  <c r="S54" i="32"/>
  <c r="S50" i="32"/>
  <c r="S52" i="29"/>
  <c r="S51" i="29"/>
  <c r="S54" i="29"/>
  <c r="S50" i="29"/>
  <c r="S53" i="29"/>
  <c r="S49" i="29"/>
  <c r="F52" i="22"/>
  <c r="F51" i="22"/>
  <c r="F54" i="22"/>
  <c r="F50" i="22"/>
  <c r="F53" i="22"/>
  <c r="F49" i="22"/>
  <c r="F25" i="34"/>
  <c r="F24" i="34"/>
  <c r="F27" i="34"/>
  <c r="F23" i="34"/>
  <c r="F26" i="34"/>
  <c r="F22" i="34"/>
  <c r="F52" i="16"/>
  <c r="F51" i="16"/>
  <c r="F54" i="16"/>
  <c r="F50" i="16"/>
  <c r="F53" i="16"/>
  <c r="F49" i="16"/>
  <c r="G43" i="39"/>
  <c r="G42" i="39"/>
  <c r="G45" i="39"/>
  <c r="G41" i="39"/>
  <c r="G44" i="39"/>
  <c r="G40" i="39"/>
  <c r="K54" i="37"/>
  <c r="K50" i="37"/>
  <c r="K53" i="37"/>
  <c r="K49" i="37"/>
  <c r="K52" i="37"/>
  <c r="K51" i="37"/>
  <c r="K53" i="28"/>
  <c r="K49" i="28"/>
  <c r="K52" i="28"/>
  <c r="K51" i="28"/>
  <c r="K54" i="28"/>
  <c r="K50" i="28"/>
  <c r="S44" i="40"/>
  <c r="S40" i="40"/>
  <c r="S43" i="40"/>
  <c r="S42" i="40"/>
  <c r="S45" i="40"/>
  <c r="S41" i="40"/>
  <c r="S26" i="34"/>
  <c r="S22" i="34"/>
  <c r="S25" i="34"/>
  <c r="S24" i="34"/>
  <c r="S27" i="34"/>
  <c r="S23" i="34"/>
  <c r="O34" i="19"/>
  <c r="O33" i="19"/>
  <c r="O36" i="19"/>
  <c r="O32" i="19"/>
  <c r="O35" i="19"/>
  <c r="O31" i="19"/>
  <c r="S34" i="39"/>
  <c r="S33" i="39"/>
  <c r="S36" i="39"/>
  <c r="S32" i="39"/>
  <c r="S35" i="39"/>
  <c r="S31" i="39"/>
  <c r="N34" i="38"/>
  <c r="N33" i="38"/>
  <c r="N36" i="38"/>
  <c r="N32" i="38"/>
  <c r="N35" i="38"/>
  <c r="N31" i="38"/>
  <c r="AX49" i="33"/>
  <c r="BF49" i="33"/>
  <c r="F51" i="33"/>
  <c r="BC43" i="30"/>
  <c r="BK43" i="30"/>
  <c r="BK45" i="30"/>
  <c r="BC45" i="30"/>
  <c r="V34" i="22"/>
  <c r="V33" i="22"/>
  <c r="V36" i="22"/>
  <c r="V32" i="22"/>
  <c r="V35" i="22"/>
  <c r="V31" i="22"/>
  <c r="O27" i="21"/>
  <c r="O23" i="21"/>
  <c r="O26" i="21"/>
  <c r="O22" i="21"/>
  <c r="O25" i="21"/>
  <c r="O24" i="21"/>
  <c r="S27" i="17"/>
  <c r="S23" i="17"/>
  <c r="S26" i="17"/>
  <c r="S22" i="17"/>
  <c r="S25" i="17"/>
  <c r="S24" i="17"/>
  <c r="G24" i="36"/>
  <c r="G27" i="36"/>
  <c r="G23" i="36"/>
  <c r="G26" i="36"/>
  <c r="G22" i="36"/>
  <c r="G25" i="36"/>
  <c r="BB51" i="35"/>
  <c r="BJ51" i="35"/>
  <c r="R42" i="23"/>
  <c r="R41" i="23"/>
  <c r="R40" i="23"/>
  <c r="R45" i="23"/>
  <c r="R44" i="23"/>
  <c r="R43" i="23"/>
  <c r="J42" i="19"/>
  <c r="J45" i="19"/>
  <c r="J44" i="19"/>
  <c r="J40" i="19"/>
  <c r="J43" i="19"/>
  <c r="J41" i="19"/>
  <c r="BC50" i="10"/>
  <c r="BK50" i="10"/>
  <c r="R52" i="14"/>
  <c r="R51" i="14"/>
  <c r="R54" i="14"/>
  <c r="R50" i="14"/>
  <c r="R53" i="14"/>
  <c r="R49" i="14"/>
  <c r="N48" i="10"/>
  <c r="O48" i="10"/>
  <c r="Y51" i="10"/>
  <c r="R51" i="10"/>
  <c r="W51" i="10"/>
  <c r="AA51" i="10"/>
  <c r="T51" i="10"/>
  <c r="AY54" i="18"/>
  <c r="BG54" i="18"/>
  <c r="G43" i="17"/>
  <c r="G42" i="17"/>
  <c r="G45" i="17"/>
  <c r="G41" i="17"/>
  <c r="G44" i="17"/>
  <c r="G40" i="17"/>
  <c r="W54" i="42"/>
  <c r="W50" i="42"/>
  <c r="W53" i="42"/>
  <c r="W49" i="42"/>
  <c r="W52" i="42"/>
  <c r="W51" i="42"/>
  <c r="AA26" i="40"/>
  <c r="AA22" i="40"/>
  <c r="AA25" i="40"/>
  <c r="AA24" i="40"/>
  <c r="AA27" i="40"/>
  <c r="AA23" i="40"/>
  <c r="F48" i="38"/>
  <c r="G48" i="38"/>
  <c r="BC26" i="36"/>
  <c r="BK26" i="36"/>
  <c r="V25" i="36"/>
  <c r="V24" i="36"/>
  <c r="V27" i="36"/>
  <c r="V23" i="36"/>
  <c r="V26" i="36"/>
  <c r="V22" i="36"/>
  <c r="BC36" i="36"/>
  <c r="BK36" i="36"/>
  <c r="BC25" i="35"/>
  <c r="BK25" i="35"/>
  <c r="O48" i="34"/>
  <c r="N48" i="34"/>
  <c r="W36" i="33"/>
  <c r="W32" i="33"/>
  <c r="W35" i="33"/>
  <c r="W31" i="33"/>
  <c r="W34" i="33"/>
  <c r="W33" i="33"/>
  <c r="V25" i="30"/>
  <c r="V24" i="30"/>
  <c r="V27" i="30"/>
  <c r="V23" i="30"/>
  <c r="V26" i="30"/>
  <c r="V22" i="30"/>
  <c r="F43" i="30"/>
  <c r="F42" i="30"/>
  <c r="F45" i="30"/>
  <c r="F41" i="30"/>
  <c r="F44" i="30"/>
  <c r="F40" i="30"/>
  <c r="N48" i="32"/>
  <c r="O48" i="32"/>
  <c r="F51" i="24"/>
  <c r="F54" i="24"/>
  <c r="F50" i="24"/>
  <c r="F53" i="24"/>
  <c r="F49" i="24"/>
  <c r="F52" i="24"/>
  <c r="O39" i="26"/>
  <c r="N39" i="26"/>
  <c r="O26" i="22"/>
  <c r="O22" i="22"/>
  <c r="O25" i="22"/>
  <c r="O24" i="22"/>
  <c r="O27" i="22"/>
  <c r="O23" i="22"/>
  <c r="W34" i="21"/>
  <c r="W33" i="21"/>
  <c r="W36" i="21"/>
  <c r="W32" i="21"/>
  <c r="W35" i="21"/>
  <c r="W31" i="21"/>
  <c r="Z34" i="25"/>
  <c r="Z33" i="25"/>
  <c r="Z36" i="25"/>
  <c r="Z32" i="25"/>
  <c r="Z35" i="25"/>
  <c r="Z31" i="25"/>
  <c r="O35" i="20"/>
  <c r="O31" i="20"/>
  <c r="O34" i="20"/>
  <c r="O33" i="20"/>
  <c r="O36" i="20"/>
  <c r="O32" i="20"/>
  <c r="AA36" i="26"/>
  <c r="AA32" i="26"/>
  <c r="AA35" i="26"/>
  <c r="AA31" i="26"/>
  <c r="AA34" i="26"/>
  <c r="AA33" i="26"/>
  <c r="BJ32" i="23"/>
  <c r="BB32" i="23"/>
  <c r="S44" i="20"/>
  <c r="S40" i="20"/>
  <c r="S43" i="20"/>
  <c r="S42" i="20"/>
  <c r="S45" i="20"/>
  <c r="S41" i="20"/>
  <c r="N48" i="16"/>
  <c r="O48" i="16"/>
  <c r="W30" i="15"/>
  <c r="V30" i="15"/>
  <c r="R42" i="19"/>
  <c r="R45" i="19"/>
  <c r="R44" i="19"/>
  <c r="R43" i="19"/>
  <c r="R40" i="19"/>
  <c r="R41" i="19"/>
  <c r="J26" i="15"/>
  <c r="J22" i="15"/>
  <c r="J25" i="15"/>
  <c r="J24" i="15"/>
  <c r="J27" i="15"/>
  <c r="J23" i="15"/>
  <c r="N54" i="12"/>
  <c r="N50" i="12"/>
  <c r="N53" i="12"/>
  <c r="N49" i="12"/>
  <c r="N52" i="12"/>
  <c r="N51" i="12"/>
  <c r="F45" i="28"/>
  <c r="F41" i="28"/>
  <c r="F44" i="28"/>
  <c r="F40" i="28"/>
  <c r="F43" i="28"/>
  <c r="F42" i="28"/>
  <c r="R51" i="31"/>
  <c r="R54" i="31"/>
  <c r="R50" i="31"/>
  <c r="R53" i="31"/>
  <c r="R49" i="31"/>
  <c r="R52" i="31"/>
  <c r="O42" i="25"/>
  <c r="O45" i="25"/>
  <c r="O41" i="25"/>
  <c r="O44" i="25"/>
  <c r="O40" i="25"/>
  <c r="O43" i="25"/>
  <c r="W51" i="16"/>
  <c r="W54" i="16"/>
  <c r="W50" i="16"/>
  <c r="W53" i="16"/>
  <c r="W49" i="16"/>
  <c r="W52" i="16"/>
  <c r="V54" i="14"/>
  <c r="V50" i="14"/>
  <c r="V53" i="14"/>
  <c r="V49" i="14"/>
  <c r="V52" i="14"/>
  <c r="V51" i="14"/>
  <c r="BC32" i="18"/>
  <c r="BK32" i="18"/>
  <c r="F51" i="11"/>
  <c r="F54" i="11"/>
  <c r="F50" i="11"/>
  <c r="F53" i="11"/>
  <c r="F49" i="11"/>
  <c r="F52" i="11"/>
  <c r="Z53" i="39"/>
  <c r="Z49" i="39"/>
  <c r="Z52" i="39"/>
  <c r="Z51" i="39"/>
  <c r="Z54" i="39"/>
  <c r="Z50" i="39"/>
  <c r="W24" i="40"/>
  <c r="W27" i="40"/>
  <c r="W23" i="40"/>
  <c r="W26" i="40"/>
  <c r="W22" i="40"/>
  <c r="W25" i="40"/>
  <c r="BC23" i="37"/>
  <c r="BK23" i="37"/>
  <c r="BK22" i="37"/>
  <c r="BC22" i="37"/>
  <c r="Z49" i="38"/>
  <c r="K24" i="38"/>
  <c r="K27" i="38"/>
  <c r="K23" i="38"/>
  <c r="K26" i="38"/>
  <c r="K22" i="38"/>
  <c r="K25" i="38"/>
  <c r="BC34" i="35"/>
  <c r="BK34" i="35"/>
  <c r="BC36" i="35"/>
  <c r="BK36" i="35"/>
  <c r="BB44" i="35"/>
  <c r="BJ44" i="35"/>
  <c r="J51" i="31"/>
  <c r="J54" i="31"/>
  <c r="J50" i="31"/>
  <c r="J53" i="31"/>
  <c r="J49" i="31"/>
  <c r="J52" i="31"/>
  <c r="W51" i="32"/>
  <c r="W54" i="32"/>
  <c r="W50" i="32"/>
  <c r="W53" i="32"/>
  <c r="W49" i="32"/>
  <c r="W52" i="32"/>
  <c r="BB42" i="29"/>
  <c r="BJ42" i="29"/>
  <c r="V27" i="27"/>
  <c r="V23" i="27"/>
  <c r="V26" i="27"/>
  <c r="V22" i="27"/>
  <c r="V25" i="27"/>
  <c r="V24" i="27"/>
  <c r="G21" i="32"/>
  <c r="F21" i="32"/>
  <c r="K30" i="33"/>
  <c r="J30" i="33"/>
  <c r="BA40" i="30"/>
  <c r="BI40" i="30"/>
  <c r="N33" i="29"/>
  <c r="N36" i="29"/>
  <c r="N32" i="29"/>
  <c r="N35" i="29"/>
  <c r="N31" i="29"/>
  <c r="N34" i="29"/>
  <c r="Z43" i="23"/>
  <c r="Z42" i="23"/>
  <c r="Z45" i="23"/>
  <c r="Z44" i="23"/>
  <c r="Z41" i="23"/>
  <c r="Z40" i="23"/>
  <c r="Z44" i="21"/>
  <c r="Z40" i="21"/>
  <c r="Z43" i="21"/>
  <c r="Z42" i="21"/>
  <c r="Z45" i="21"/>
  <c r="Z41" i="21"/>
  <c r="AX24" i="29"/>
  <c r="BF24" i="29"/>
  <c r="AA24" i="27"/>
  <c r="AA27" i="27"/>
  <c r="AA23" i="27"/>
  <c r="AA26" i="27"/>
  <c r="AA22" i="27"/>
  <c r="AA25" i="27"/>
  <c r="BB53" i="24"/>
  <c r="BJ53" i="24"/>
  <c r="F42" i="21"/>
  <c r="F45" i="21"/>
  <c r="F41" i="21"/>
  <c r="F44" i="21"/>
  <c r="F40" i="21"/>
  <c r="F43" i="21"/>
  <c r="N33" i="17"/>
  <c r="N36" i="17"/>
  <c r="N32" i="17"/>
  <c r="N35" i="17"/>
  <c r="N31" i="17"/>
  <c r="N34" i="17"/>
  <c r="O30" i="14"/>
  <c r="N30" i="14"/>
  <c r="BA52" i="10"/>
  <c r="BI52" i="10"/>
  <c r="BC52" i="10"/>
  <c r="BK52" i="10"/>
  <c r="K25" i="13"/>
  <c r="K24" i="13"/>
  <c r="K27" i="13"/>
  <c r="K23" i="13"/>
  <c r="K26" i="13"/>
  <c r="K22" i="13"/>
  <c r="BC44" i="10"/>
  <c r="BK44" i="10"/>
  <c r="J30" i="20"/>
  <c r="K30" i="20"/>
  <c r="BC49" i="15"/>
  <c r="BK49" i="15"/>
  <c r="BK51" i="15"/>
  <c r="BC51" i="15"/>
  <c r="BC44" i="12"/>
  <c r="BK44" i="12"/>
  <c r="BC40" i="42"/>
  <c r="BK40" i="42"/>
  <c r="BK42" i="42"/>
  <c r="BC42" i="42"/>
  <c r="K44" i="34"/>
  <c r="K40" i="34"/>
  <c r="K43" i="34"/>
  <c r="K42" i="34"/>
  <c r="K45" i="34"/>
  <c r="K41" i="34"/>
  <c r="Z25" i="32"/>
  <c r="Z24" i="32"/>
  <c r="Z27" i="32"/>
  <c r="Z23" i="32"/>
  <c r="Z26" i="32"/>
  <c r="Z22" i="32"/>
  <c r="S35" i="22"/>
  <c r="S31" i="22"/>
  <c r="S34" i="22"/>
  <c r="S33" i="22"/>
  <c r="S36" i="22"/>
  <c r="S32" i="22"/>
  <c r="BJ43" i="24"/>
  <c r="BB43" i="24"/>
  <c r="BB27" i="23"/>
  <c r="BJ27" i="23"/>
  <c r="BB26" i="23"/>
  <c r="BJ26" i="23"/>
  <c r="AA35" i="16"/>
  <c r="AA31" i="16"/>
  <c r="AA34" i="16"/>
  <c r="AA33" i="16"/>
  <c r="AA36" i="16"/>
  <c r="AA32" i="16"/>
  <c r="BC32" i="13"/>
  <c r="BK32" i="13"/>
  <c r="BC31" i="42"/>
  <c r="BK31" i="42"/>
  <c r="BC33" i="42"/>
  <c r="BK33" i="42"/>
  <c r="F54" i="40"/>
  <c r="F50" i="40"/>
  <c r="F53" i="40"/>
  <c r="F49" i="40"/>
  <c r="F52" i="40"/>
  <c r="F51" i="40"/>
  <c r="N51" i="39"/>
  <c r="N54" i="39"/>
  <c r="N50" i="39"/>
  <c r="N53" i="39"/>
  <c r="N49" i="39"/>
  <c r="N52" i="39"/>
  <c r="S42" i="38"/>
  <c r="S41" i="38"/>
  <c r="S44" i="38"/>
  <c r="S40" i="38"/>
  <c r="S45" i="38"/>
  <c r="S43" i="38"/>
  <c r="AA33" i="34"/>
  <c r="AA36" i="34"/>
  <c r="AA32" i="34"/>
  <c r="AA35" i="34"/>
  <c r="AA31" i="34"/>
  <c r="AA34" i="34"/>
  <c r="J26" i="35"/>
  <c r="J22" i="35"/>
  <c r="J25" i="35"/>
  <c r="J24" i="35"/>
  <c r="J27" i="35"/>
  <c r="J23" i="35"/>
  <c r="N35" i="31"/>
  <c r="N31" i="31"/>
  <c r="N34" i="31"/>
  <c r="N33" i="31"/>
  <c r="N36" i="31"/>
  <c r="N32" i="31"/>
  <c r="BC26" i="29"/>
  <c r="BK26" i="29"/>
  <c r="N53" i="27"/>
  <c r="N49" i="27"/>
  <c r="N51" i="27"/>
  <c r="N50" i="27"/>
  <c r="N54" i="27"/>
  <c r="N52" i="27"/>
  <c r="AA42" i="28"/>
  <c r="AA45" i="28"/>
  <c r="AA41" i="28"/>
  <c r="AA44" i="28"/>
  <c r="AA40" i="28"/>
  <c r="AA43" i="28"/>
  <c r="K24" i="32"/>
  <c r="K27" i="32"/>
  <c r="K23" i="32"/>
  <c r="K26" i="32"/>
  <c r="K22" i="32"/>
  <c r="K25" i="32"/>
  <c r="BB24" i="29"/>
  <c r="BJ24" i="29"/>
  <c r="R36" i="27"/>
  <c r="R32" i="27"/>
  <c r="R35" i="27"/>
  <c r="R31" i="27"/>
  <c r="R34" i="27"/>
  <c r="R33" i="27"/>
  <c r="J33" i="21"/>
  <c r="J36" i="21"/>
  <c r="J32" i="21"/>
  <c r="J35" i="21"/>
  <c r="J31" i="21"/>
  <c r="J34" i="21"/>
  <c r="AX42" i="29"/>
  <c r="BF42" i="29"/>
  <c r="BB41" i="23"/>
  <c r="BJ41" i="23"/>
  <c r="BJ44" i="23"/>
  <c r="BB44" i="23"/>
  <c r="V41" i="20"/>
  <c r="W42" i="18"/>
  <c r="W45" i="18"/>
  <c r="W41" i="18"/>
  <c r="W44" i="18"/>
  <c r="W40" i="18"/>
  <c r="W43" i="18"/>
  <c r="BC49" i="18"/>
  <c r="BK49" i="18"/>
  <c r="BC51" i="18"/>
  <c r="BK51" i="18"/>
  <c r="G24" i="14"/>
  <c r="G27" i="14"/>
  <c r="G23" i="14"/>
  <c r="G26" i="14"/>
  <c r="G22" i="14"/>
  <c r="G25" i="14"/>
  <c r="R44" i="13"/>
  <c r="R40" i="13"/>
  <c r="R43" i="13"/>
  <c r="R42" i="13"/>
  <c r="R45" i="13"/>
  <c r="R41" i="13"/>
  <c r="BI40" i="10"/>
  <c r="BA40" i="10"/>
  <c r="G45" i="10"/>
  <c r="G44" i="10"/>
  <c r="G43" i="10"/>
  <c r="G42" i="10"/>
  <c r="G41" i="10"/>
  <c r="G40" i="10"/>
  <c r="W52" i="13"/>
  <c r="W51" i="13"/>
  <c r="W54" i="13"/>
  <c r="W50" i="13"/>
  <c r="W53" i="13"/>
  <c r="W49" i="13"/>
  <c r="AA32" i="20"/>
  <c r="BC32" i="20" s="1"/>
  <c r="AY36" i="18"/>
  <c r="BG36" i="18"/>
  <c r="BC53" i="12"/>
  <c r="BK53" i="12"/>
  <c r="Z52" i="12"/>
  <c r="F44" i="42"/>
  <c r="F45" i="42"/>
  <c r="F43" i="42"/>
  <c r="F40" i="42"/>
  <c r="F42" i="42"/>
  <c r="F41" i="42"/>
  <c r="S25" i="37"/>
  <c r="S24" i="37"/>
  <c r="S27" i="37"/>
  <c r="S23" i="37"/>
  <c r="S26" i="37"/>
  <c r="S22" i="37"/>
  <c r="W52" i="31"/>
  <c r="W51" i="31"/>
  <c r="W54" i="31"/>
  <c r="W50" i="31"/>
  <c r="W53" i="31"/>
  <c r="W49" i="31"/>
  <c r="K27" i="24"/>
  <c r="K23" i="24"/>
  <c r="K26" i="24"/>
  <c r="K22" i="24"/>
  <c r="K25" i="24"/>
  <c r="K24" i="24"/>
  <c r="G34" i="19"/>
  <c r="G33" i="19"/>
  <c r="G36" i="19"/>
  <c r="G32" i="19"/>
  <c r="G35" i="19"/>
  <c r="G31" i="19"/>
  <c r="K27" i="23"/>
  <c r="K23" i="23"/>
  <c r="K26" i="23"/>
  <c r="K22" i="23"/>
  <c r="K25" i="23"/>
  <c r="K24" i="23"/>
  <c r="O35" i="40"/>
  <c r="O31" i="40"/>
  <c r="O34" i="40"/>
  <c r="O33" i="40"/>
  <c r="O36" i="40"/>
  <c r="O32" i="40"/>
  <c r="J34" i="36"/>
  <c r="J33" i="36"/>
  <c r="J36" i="36"/>
  <c r="J32" i="36"/>
  <c r="J35" i="36"/>
  <c r="J31" i="36"/>
  <c r="S53" i="28"/>
  <c r="S49" i="28"/>
  <c r="S52" i="28"/>
  <c r="S51" i="28"/>
  <c r="S54" i="28"/>
  <c r="S50" i="28"/>
  <c r="G34" i="15"/>
  <c r="G33" i="15"/>
  <c r="G36" i="15"/>
  <c r="G32" i="15"/>
  <c r="G35" i="15"/>
  <c r="G31" i="15"/>
  <c r="O34" i="37"/>
  <c r="O33" i="37"/>
  <c r="O36" i="37"/>
  <c r="O32" i="37"/>
  <c r="O35" i="37"/>
  <c r="O31" i="37"/>
  <c r="W34" i="19"/>
  <c r="W33" i="19"/>
  <c r="W36" i="19"/>
  <c r="W32" i="19"/>
  <c r="W35" i="19"/>
  <c r="W31" i="19"/>
  <c r="K44" i="14"/>
  <c r="K40" i="14"/>
  <c r="K43" i="14"/>
  <c r="K42" i="14"/>
  <c r="K45" i="14"/>
  <c r="K41" i="14"/>
  <c r="O43" i="41"/>
  <c r="O42" i="41"/>
  <c r="O45" i="41"/>
  <c r="O41" i="41"/>
  <c r="O44" i="41"/>
  <c r="O40" i="41"/>
  <c r="K44" i="30"/>
  <c r="K40" i="30"/>
  <c r="K43" i="30"/>
  <c r="K42" i="30"/>
  <c r="K45" i="30"/>
  <c r="K41" i="30"/>
  <c r="W45" i="26"/>
  <c r="W41" i="26"/>
  <c r="W44" i="26"/>
  <c r="W40" i="26"/>
  <c r="W43" i="26"/>
  <c r="W42" i="26"/>
  <c r="G34" i="26"/>
  <c r="G33" i="26"/>
  <c r="G36" i="26"/>
  <c r="G32" i="26"/>
  <c r="G35" i="26"/>
  <c r="G31" i="26"/>
  <c r="O27" i="15"/>
  <c r="O23" i="15"/>
  <c r="O26" i="15"/>
  <c r="O22" i="15"/>
  <c r="O25" i="15"/>
  <c r="O24" i="15"/>
  <c r="BC25" i="20"/>
  <c r="BK25" i="20"/>
  <c r="BK27" i="20"/>
  <c r="BC27" i="20"/>
  <c r="S26" i="42"/>
  <c r="S22" i="42"/>
  <c r="S25" i="42"/>
  <c r="S24" i="42"/>
  <c r="S27" i="42"/>
  <c r="S23" i="42"/>
  <c r="S27" i="23"/>
  <c r="S23" i="23"/>
  <c r="S26" i="23"/>
  <c r="S22" i="23"/>
  <c r="S25" i="23"/>
  <c r="S24" i="23"/>
  <c r="BC25" i="18"/>
  <c r="BK25" i="18"/>
  <c r="BK27" i="18"/>
  <c r="BC27" i="18"/>
  <c r="BJ35" i="20"/>
  <c r="BB35" i="20"/>
  <c r="K36" i="19"/>
  <c r="K32" i="19"/>
  <c r="K35" i="19"/>
  <c r="K31" i="19"/>
  <c r="K34" i="19"/>
  <c r="K33" i="19"/>
  <c r="BK23" i="10"/>
  <c r="BC23" i="10"/>
  <c r="J27" i="10"/>
  <c r="J26" i="10"/>
  <c r="J25" i="10"/>
  <c r="J24" i="10"/>
  <c r="J23" i="10"/>
  <c r="J22" i="10"/>
  <c r="N35" i="13"/>
  <c r="N31" i="13"/>
  <c r="N34" i="13"/>
  <c r="N33" i="13"/>
  <c r="N36" i="13"/>
  <c r="N32" i="13"/>
  <c r="O43" i="42"/>
  <c r="O45" i="42"/>
  <c r="O42" i="42"/>
  <c r="O44" i="42"/>
  <c r="O41" i="42"/>
  <c r="O40" i="42"/>
  <c r="BC54" i="42"/>
  <c r="BK54" i="42"/>
  <c r="V51" i="41"/>
  <c r="V54" i="41"/>
  <c r="V50" i="41"/>
  <c r="V53" i="41"/>
  <c r="V49" i="41"/>
  <c r="V52" i="41"/>
  <c r="AA51" i="40"/>
  <c r="AA54" i="40"/>
  <c r="AA50" i="40"/>
  <c r="AA53" i="40"/>
  <c r="AA49" i="40"/>
  <c r="AA52" i="40"/>
  <c r="BK45" i="38"/>
  <c r="BC45" i="38"/>
  <c r="S21" i="41"/>
  <c r="R21" i="41"/>
  <c r="V54" i="36"/>
  <c r="V50" i="36"/>
  <c r="V53" i="36"/>
  <c r="V49" i="36"/>
  <c r="V52" i="36"/>
  <c r="V51" i="36"/>
  <c r="BC52" i="35"/>
  <c r="BK52" i="35"/>
  <c r="BC54" i="35"/>
  <c r="BK54" i="35"/>
  <c r="BB25" i="35"/>
  <c r="BJ25" i="35"/>
  <c r="BJ27" i="35"/>
  <c r="BB27" i="35"/>
  <c r="O42" i="30"/>
  <c r="O45" i="30"/>
  <c r="O41" i="30"/>
  <c r="O44" i="30"/>
  <c r="O40" i="30"/>
  <c r="O43" i="30"/>
  <c r="Z53" i="24"/>
  <c r="Z49" i="24"/>
  <c r="Z52" i="24"/>
  <c r="Z51" i="24"/>
  <c r="Z54" i="24"/>
  <c r="Z50" i="24"/>
  <c r="BC50" i="30"/>
  <c r="BK50" i="30"/>
  <c r="G48" i="31"/>
  <c r="F48" i="31"/>
  <c r="G48" i="25"/>
  <c r="F48" i="25"/>
  <c r="K53" i="22"/>
  <c r="K49" i="22"/>
  <c r="K52" i="22"/>
  <c r="K51" i="22"/>
  <c r="K54" i="22"/>
  <c r="K50" i="22"/>
  <c r="K43" i="26"/>
  <c r="K42" i="26"/>
  <c r="K45" i="26"/>
  <c r="K41" i="26"/>
  <c r="K44" i="26"/>
  <c r="K40" i="26"/>
  <c r="S54" i="21"/>
  <c r="S50" i="21"/>
  <c r="S53" i="21"/>
  <c r="S49" i="21"/>
  <c r="S52" i="21"/>
  <c r="S51" i="21"/>
  <c r="AA34" i="33"/>
  <c r="AA33" i="33"/>
  <c r="AA36" i="33"/>
  <c r="AA32" i="33"/>
  <c r="AA35" i="33"/>
  <c r="AA31" i="33"/>
  <c r="R52" i="20"/>
  <c r="R51" i="20"/>
  <c r="R54" i="20"/>
  <c r="R50" i="20"/>
  <c r="R53" i="20"/>
  <c r="R49" i="20"/>
  <c r="AY54" i="25"/>
  <c r="BG54" i="25"/>
  <c r="K35" i="16"/>
  <c r="K31" i="16"/>
  <c r="K34" i="16"/>
  <c r="K33" i="16"/>
  <c r="K36" i="16"/>
  <c r="K32" i="16"/>
  <c r="S43" i="15"/>
  <c r="S42" i="15"/>
  <c r="S45" i="15"/>
  <c r="S41" i="15"/>
  <c r="S44" i="15"/>
  <c r="S40" i="15"/>
  <c r="BJ25" i="17"/>
  <c r="BB25" i="17"/>
  <c r="BC40" i="17"/>
  <c r="BK40" i="17"/>
  <c r="BK42" i="17"/>
  <c r="BC42" i="17"/>
  <c r="O35" i="12"/>
  <c r="O31" i="12"/>
  <c r="O34" i="12"/>
  <c r="O33" i="12"/>
  <c r="O36" i="12"/>
  <c r="O32" i="12"/>
  <c r="BC50" i="13"/>
  <c r="BK50" i="13"/>
  <c r="AY25" i="18"/>
  <c r="BG25" i="18"/>
  <c r="BG27" i="18"/>
  <c r="AY27" i="18"/>
  <c r="AY54" i="12"/>
  <c r="BG54" i="12"/>
  <c r="F27" i="28"/>
  <c r="F23" i="28"/>
  <c r="F26" i="28"/>
  <c r="F22" i="28"/>
  <c r="F25" i="28"/>
  <c r="F24" i="28"/>
  <c r="R33" i="31"/>
  <c r="R36" i="31"/>
  <c r="R32" i="31"/>
  <c r="R35" i="31"/>
  <c r="R31" i="31"/>
  <c r="R34" i="31"/>
  <c r="F27" i="27"/>
  <c r="F23" i="27"/>
  <c r="F26" i="27"/>
  <c r="F22" i="27"/>
  <c r="F25" i="27"/>
  <c r="F24" i="27"/>
  <c r="R51" i="26"/>
  <c r="R54" i="26"/>
  <c r="R50" i="26"/>
  <c r="R53" i="26"/>
  <c r="R49" i="26"/>
  <c r="R52" i="26"/>
  <c r="F36" i="18"/>
  <c r="F32" i="18"/>
  <c r="F35" i="18"/>
  <c r="F31" i="18"/>
  <c r="F34" i="18"/>
  <c r="F33" i="18"/>
  <c r="AY42" i="12"/>
  <c r="BG42" i="12"/>
  <c r="BG41" i="12"/>
  <c r="AY41" i="12"/>
  <c r="J35" i="39"/>
  <c r="J31" i="39"/>
  <c r="J34" i="39"/>
  <c r="J33" i="39"/>
  <c r="J36" i="39"/>
  <c r="J32" i="39"/>
  <c r="V33" i="39"/>
  <c r="V36" i="39"/>
  <c r="V32" i="39"/>
  <c r="V35" i="39"/>
  <c r="V31" i="39"/>
  <c r="V34" i="39"/>
  <c r="V42" i="37"/>
  <c r="V45" i="37"/>
  <c r="V41" i="37"/>
  <c r="V44" i="37"/>
  <c r="V40" i="37"/>
  <c r="V43" i="37"/>
  <c r="F41" i="33"/>
  <c r="AX40" i="33"/>
  <c r="BF40" i="33"/>
  <c r="W32" i="29"/>
  <c r="BJ32" i="29" s="1"/>
  <c r="J51" i="27"/>
  <c r="J54" i="27"/>
  <c r="J53" i="27"/>
  <c r="J49" i="27"/>
  <c r="J52" i="27"/>
  <c r="J50" i="27"/>
  <c r="Z35" i="23"/>
  <c r="Z31" i="23"/>
  <c r="Z34" i="23"/>
  <c r="Z33" i="23"/>
  <c r="Z36" i="23"/>
  <c r="Z32" i="23"/>
  <c r="Z26" i="21"/>
  <c r="Z22" i="21"/>
  <c r="Z25" i="21"/>
  <c r="Z24" i="21"/>
  <c r="Z27" i="21"/>
  <c r="Z23" i="21"/>
  <c r="F24" i="21"/>
  <c r="F27" i="21"/>
  <c r="F23" i="21"/>
  <c r="F26" i="21"/>
  <c r="F22" i="21"/>
  <c r="F25" i="21"/>
  <c r="AY24" i="25"/>
  <c r="BG24" i="25"/>
  <c r="BG23" i="25"/>
  <c r="AY23" i="25"/>
  <c r="N44" i="17"/>
  <c r="N40" i="17"/>
  <c r="N43" i="17"/>
  <c r="N42" i="17"/>
  <c r="N45" i="17"/>
  <c r="N41" i="17"/>
  <c r="BB42" i="17"/>
  <c r="BJ42" i="17"/>
  <c r="BB25" i="10"/>
  <c r="BJ25" i="10"/>
  <c r="K54" i="13"/>
  <c r="K50" i="13"/>
  <c r="K53" i="13"/>
  <c r="K49" i="13"/>
  <c r="K52" i="13"/>
  <c r="K51" i="13"/>
  <c r="AY32" i="12"/>
  <c r="BG32" i="12"/>
  <c r="D11" i="6"/>
  <c r="C11" i="6"/>
  <c r="AM11" i="6" s="1"/>
  <c r="G27" i="37"/>
  <c r="G23" i="37"/>
  <c r="G26" i="37"/>
  <c r="G22" i="37"/>
  <c r="G25" i="37"/>
  <c r="G24" i="37"/>
  <c r="O34" i="35"/>
  <c r="O33" i="35"/>
  <c r="O36" i="35"/>
  <c r="O32" i="35"/>
  <c r="O35" i="35"/>
  <c r="O31" i="35"/>
  <c r="AA25" i="31"/>
  <c r="AA24" i="31"/>
  <c r="AA27" i="31"/>
  <c r="AA23" i="31"/>
  <c r="AA26" i="31"/>
  <c r="AA22" i="31"/>
  <c r="W53" i="25"/>
  <c r="W49" i="25"/>
  <c r="W52" i="25"/>
  <c r="W51" i="25"/>
  <c r="W54" i="25"/>
  <c r="W50" i="25"/>
  <c r="AY36" i="25"/>
  <c r="BG36" i="25"/>
  <c r="S44" i="18"/>
  <c r="S40" i="18"/>
  <c r="S43" i="18"/>
  <c r="S42" i="18"/>
  <c r="S45" i="18"/>
  <c r="S41" i="18"/>
  <c r="G35" i="40"/>
  <c r="G31" i="40"/>
  <c r="G34" i="40"/>
  <c r="G33" i="40"/>
  <c r="G36" i="40"/>
  <c r="G32" i="40"/>
  <c r="O36" i="39"/>
  <c r="O32" i="39"/>
  <c r="O35" i="39"/>
  <c r="O31" i="39"/>
  <c r="O34" i="39"/>
  <c r="O33" i="39"/>
  <c r="S35" i="38"/>
  <c r="S31" i="38"/>
  <c r="S34" i="38"/>
  <c r="S33" i="38"/>
  <c r="S36" i="38"/>
  <c r="S32" i="38"/>
  <c r="AA44" i="34"/>
  <c r="AA40" i="34"/>
  <c r="AA43" i="34"/>
  <c r="AA42" i="34"/>
  <c r="AA45" i="34"/>
  <c r="AA41" i="34"/>
  <c r="S52" i="33"/>
  <c r="S51" i="33"/>
  <c r="S54" i="33"/>
  <c r="S50" i="33"/>
  <c r="S53" i="33"/>
  <c r="S49" i="33"/>
  <c r="O27" i="31"/>
  <c r="O23" i="31"/>
  <c r="O26" i="31"/>
  <c r="O22" i="31"/>
  <c r="O25" i="31"/>
  <c r="O24" i="31"/>
  <c r="S52" i="24"/>
  <c r="S51" i="24"/>
  <c r="S54" i="24"/>
  <c r="S50" i="24"/>
  <c r="S53" i="24"/>
  <c r="S49" i="24"/>
  <c r="W44" i="28"/>
  <c r="W40" i="28"/>
  <c r="W43" i="28"/>
  <c r="W42" i="28"/>
  <c r="W45" i="28"/>
  <c r="W41" i="28"/>
  <c r="BA35" i="30"/>
  <c r="BI35" i="30"/>
  <c r="BA34" i="30"/>
  <c r="BI34" i="30"/>
  <c r="O25" i="23"/>
  <c r="O24" i="23"/>
  <c r="O27" i="23"/>
  <c r="O23" i="23"/>
  <c r="O26" i="23"/>
  <c r="O22" i="23"/>
  <c r="F25" i="20"/>
  <c r="F24" i="20"/>
  <c r="F27" i="20"/>
  <c r="F23" i="20"/>
  <c r="F26" i="20"/>
  <c r="F22" i="20"/>
  <c r="W41" i="20"/>
  <c r="V25" i="18"/>
  <c r="V24" i="18"/>
  <c r="V27" i="18"/>
  <c r="V23" i="18"/>
  <c r="V26" i="18"/>
  <c r="V22" i="18"/>
  <c r="BC25" i="19"/>
  <c r="BK25" i="19"/>
  <c r="G53" i="14"/>
  <c r="G49" i="14"/>
  <c r="G52" i="14"/>
  <c r="G51" i="14"/>
  <c r="G54" i="14"/>
  <c r="G50" i="14"/>
  <c r="BC52" i="17"/>
  <c r="BK52" i="17"/>
  <c r="S25" i="13"/>
  <c r="S24" i="13"/>
  <c r="S27" i="13"/>
  <c r="S23" i="13"/>
  <c r="S26" i="13"/>
  <c r="S22" i="13"/>
  <c r="BA49" i="10"/>
  <c r="BI49" i="10"/>
  <c r="F24" i="13"/>
  <c r="F27" i="13"/>
  <c r="F23" i="13"/>
  <c r="F26" i="13"/>
  <c r="F22" i="13"/>
  <c r="F25" i="13"/>
  <c r="AA51" i="11"/>
  <c r="BC51" i="11" s="1"/>
  <c r="AA52" i="12"/>
  <c r="D15" i="6" l="1"/>
  <c r="C15" i="6"/>
  <c r="AM15" i="6" s="1"/>
  <c r="C23" i="6"/>
  <c r="AM23" i="6" s="1"/>
  <c r="D23" i="6"/>
  <c r="C24" i="6"/>
  <c r="AM24" i="6" s="1"/>
  <c r="D24" i="6"/>
  <c r="C14" i="6"/>
  <c r="AM14" i="6" s="1"/>
  <c r="D14" i="6"/>
  <c r="G12" i="6"/>
  <c r="B12" i="6" s="1"/>
  <c r="G19" i="6"/>
  <c r="B19" i="6" s="1"/>
  <c r="G82" i="6"/>
  <c r="B82" i="6" s="1"/>
  <c r="G33" i="6"/>
  <c r="B33" i="6" s="1"/>
  <c r="G151" i="6"/>
  <c r="B151" i="6" s="1"/>
  <c r="G72" i="6"/>
  <c r="B72" i="6" s="1"/>
  <c r="G169" i="6"/>
  <c r="B169" i="6" s="1"/>
  <c r="G81" i="6"/>
  <c r="B81" i="6" s="1"/>
  <c r="G97" i="6"/>
  <c r="B97" i="6" s="1"/>
  <c r="G71" i="6"/>
  <c r="B71" i="6" s="1"/>
  <c r="G98" i="6"/>
  <c r="B98" i="6" s="1"/>
  <c r="G195" i="6"/>
  <c r="B195" i="6" s="1"/>
  <c r="G41" i="6"/>
  <c r="B41" i="6" s="1"/>
  <c r="G121" i="6"/>
  <c r="B121" i="6" s="1"/>
  <c r="G137" i="6"/>
  <c r="B137" i="6" s="1"/>
  <c r="G145" i="6"/>
  <c r="B145" i="6" s="1"/>
  <c r="G153" i="6"/>
  <c r="B153" i="6" s="1"/>
  <c r="G103" i="6"/>
  <c r="B103" i="6" s="1"/>
  <c r="G119" i="6"/>
  <c r="B119" i="6" s="1"/>
  <c r="G58" i="6"/>
  <c r="B58" i="6" s="1"/>
  <c r="G42" i="6"/>
  <c r="B42" i="6" s="1"/>
  <c r="G40" i="6"/>
  <c r="B40" i="6" s="1"/>
  <c r="G202" i="6"/>
  <c r="B202" i="6" s="1"/>
  <c r="G190" i="6"/>
  <c r="B190" i="6" s="1"/>
  <c r="G54" i="6"/>
  <c r="B54" i="6" s="1"/>
  <c r="G164" i="6"/>
  <c r="B164" i="6" s="1"/>
  <c r="G187" i="6"/>
  <c r="B187" i="6" s="1"/>
  <c r="G122" i="6"/>
  <c r="B122" i="6" s="1"/>
  <c r="G110" i="6"/>
  <c r="B110" i="6" s="1"/>
  <c r="G59" i="6"/>
  <c r="B59" i="6" s="1"/>
  <c r="G188" i="6"/>
  <c r="B188" i="6" s="1"/>
  <c r="G61" i="6"/>
  <c r="B61" i="6" s="1"/>
  <c r="G77" i="6"/>
  <c r="B77" i="6" s="1"/>
  <c r="G143" i="6"/>
  <c r="B143" i="6" s="1"/>
  <c r="G162" i="6"/>
  <c r="B162" i="6" s="1"/>
  <c r="G150" i="6"/>
  <c r="B150" i="6" s="1"/>
  <c r="G161" i="6"/>
  <c r="B161" i="6" s="1"/>
  <c r="C16" i="6"/>
  <c r="AM16" i="6" s="1"/>
  <c r="D16" i="6"/>
  <c r="G22" i="6"/>
  <c r="B22" i="6" s="1"/>
  <c r="G13" i="6"/>
  <c r="B13" i="6" s="1"/>
  <c r="G25" i="6"/>
  <c r="B25" i="6" s="1"/>
  <c r="G46" i="6"/>
  <c r="B46" i="6" s="1"/>
  <c r="G118" i="6"/>
  <c r="B118" i="6" s="1"/>
  <c r="G50" i="6"/>
  <c r="B50" i="6" s="1"/>
  <c r="G56" i="6"/>
  <c r="B56" i="6" s="1"/>
  <c r="G158" i="6"/>
  <c r="B158" i="6" s="1"/>
  <c r="G176" i="6"/>
  <c r="B176" i="6" s="1"/>
  <c r="G113" i="6"/>
  <c r="B113" i="6" s="1"/>
  <c r="G180" i="6"/>
  <c r="B180" i="6" s="1"/>
  <c r="G130" i="6"/>
  <c r="B130" i="6" s="1"/>
  <c r="G106" i="6"/>
  <c r="B106" i="6" s="1"/>
  <c r="G73" i="6"/>
  <c r="B73" i="6" s="1"/>
  <c r="G159" i="6"/>
  <c r="B159" i="6" s="1"/>
  <c r="G53" i="6"/>
  <c r="B53" i="6" s="1"/>
  <c r="G55" i="6"/>
  <c r="B55" i="6" s="1"/>
  <c r="G30" i="6"/>
  <c r="B30" i="6" s="1"/>
  <c r="G133" i="6"/>
  <c r="B133" i="6" s="1"/>
  <c r="G102" i="6"/>
  <c r="B102" i="6" s="1"/>
  <c r="G142" i="6"/>
  <c r="B142" i="6" s="1"/>
  <c r="G26" i="6"/>
  <c r="B26" i="6" s="1"/>
  <c r="G91" i="6"/>
  <c r="B91" i="6" s="1"/>
  <c r="G170" i="6"/>
  <c r="B170" i="6" s="1"/>
  <c r="G109" i="6"/>
  <c r="B109" i="6" s="1"/>
  <c r="G47" i="6"/>
  <c r="B47" i="6" s="1"/>
  <c r="G185" i="6"/>
  <c r="B185" i="6" s="1"/>
  <c r="C66" i="6"/>
  <c r="AM66" i="6" s="1"/>
  <c r="D66" i="6"/>
  <c r="G196" i="6"/>
  <c r="B196" i="6" s="1"/>
  <c r="G112" i="6"/>
  <c r="B112" i="6" s="1"/>
  <c r="G20" i="6"/>
  <c r="B20" i="6" s="1"/>
  <c r="G18" i="6"/>
  <c r="B18" i="6" s="1"/>
  <c r="G78" i="6"/>
  <c r="B78" i="6" s="1"/>
  <c r="G29" i="6"/>
  <c r="B29" i="6" s="1"/>
  <c r="C38" i="6"/>
  <c r="AM38" i="6" s="1"/>
  <c r="D38" i="6"/>
  <c r="G27" i="6"/>
  <c r="B27" i="6" s="1"/>
  <c r="G75" i="6"/>
  <c r="B75" i="6" s="1"/>
  <c r="G107" i="6"/>
  <c r="B107" i="6" s="1"/>
  <c r="G154" i="6"/>
  <c r="B154" i="6" s="1"/>
  <c r="G49" i="6"/>
  <c r="B49" i="6" s="1"/>
  <c r="G65" i="6"/>
  <c r="B65" i="6" s="1"/>
  <c r="G129" i="6"/>
  <c r="B129" i="6" s="1"/>
  <c r="G60" i="6"/>
  <c r="B60" i="6" s="1"/>
  <c r="G155" i="6"/>
  <c r="B155" i="6" s="1"/>
  <c r="G138" i="6"/>
  <c r="B138" i="6" s="1"/>
  <c r="G57" i="6"/>
  <c r="B57" i="6" s="1"/>
  <c r="G44" i="6"/>
  <c r="B44" i="6" s="1"/>
  <c r="G37" i="6"/>
  <c r="B37" i="6" s="1"/>
  <c r="G69" i="6"/>
  <c r="B69" i="6" s="1"/>
  <c r="G87" i="6"/>
  <c r="B87" i="6" s="1"/>
  <c r="G135" i="6"/>
  <c r="B135" i="6" s="1"/>
  <c r="G193" i="6"/>
  <c r="B193" i="6" s="1"/>
  <c r="G114" i="6"/>
  <c r="B114" i="6" s="1"/>
  <c r="G36" i="6"/>
  <c r="B36" i="6" s="1"/>
  <c r="G74" i="6"/>
  <c r="B74" i="6" s="1"/>
  <c r="G86" i="6"/>
  <c r="B86" i="6" s="1"/>
  <c r="G192" i="6"/>
  <c r="B192" i="6" s="1"/>
  <c r="G183" i="6"/>
  <c r="B183" i="6" s="1"/>
  <c r="G80" i="6"/>
  <c r="B80" i="6" s="1"/>
  <c r="G166" i="6"/>
  <c r="B166" i="6" s="1"/>
  <c r="G94" i="6"/>
  <c r="B94" i="6" s="1"/>
  <c r="G43" i="6"/>
  <c r="B43" i="6" s="1"/>
  <c r="G45" i="6"/>
  <c r="B45" i="6" s="1"/>
  <c r="G93" i="6"/>
  <c r="B93" i="6" s="1"/>
  <c r="G167" i="6"/>
  <c r="B167" i="6" s="1"/>
  <c r="G95" i="6"/>
  <c r="B95" i="6" s="1"/>
  <c r="G174" i="6"/>
  <c r="B174" i="6" s="1"/>
  <c r="G178" i="6"/>
  <c r="B178" i="6" s="1"/>
  <c r="D149" i="6"/>
  <c r="C149" i="6"/>
  <c r="AM149" i="6" s="1"/>
  <c r="G48" i="6"/>
  <c r="B48" i="6" s="1"/>
  <c r="G64" i="6"/>
  <c r="B64" i="6" s="1"/>
  <c r="G96" i="6"/>
  <c r="B96" i="6" s="1"/>
  <c r="G198" i="6"/>
  <c r="B198" i="6" s="1"/>
  <c r="G191" i="6"/>
  <c r="B191" i="6" s="1"/>
  <c r="G32" i="6"/>
  <c r="B32" i="6" s="1"/>
  <c r="G89" i="6"/>
  <c r="B89" i="6" s="1"/>
  <c r="G39" i="6"/>
  <c r="B39" i="6" s="1"/>
  <c r="G182" i="6"/>
  <c r="B182" i="6" s="1"/>
  <c r="C70" i="6"/>
  <c r="AM70" i="6" s="1"/>
  <c r="D70" i="6"/>
  <c r="G34" i="6"/>
  <c r="B34" i="6" s="1"/>
  <c r="G105" i="6"/>
  <c r="B105" i="6" s="1"/>
  <c r="G160" i="6"/>
  <c r="B160" i="6" s="1"/>
  <c r="G108" i="6"/>
  <c r="B108" i="6" s="1"/>
  <c r="G124" i="6"/>
  <c r="B124" i="6" s="1"/>
  <c r="G194" i="6"/>
  <c r="B194" i="6" s="1"/>
  <c r="G85" i="6"/>
  <c r="B85" i="6" s="1"/>
  <c r="G101" i="6"/>
  <c r="B101" i="6" s="1"/>
  <c r="G117" i="6"/>
  <c r="B117" i="6" s="1"/>
  <c r="G199" i="6"/>
  <c r="B199" i="6" s="1"/>
  <c r="G177" i="6"/>
  <c r="B177" i="6" s="1"/>
  <c r="G62" i="6"/>
  <c r="B62" i="6" s="1"/>
  <c r="G179" i="6"/>
  <c r="B179" i="6" s="1"/>
  <c r="G163" i="6"/>
  <c r="B163" i="6" s="1"/>
  <c r="G141" i="6"/>
  <c r="B141" i="6" s="1"/>
  <c r="G201" i="6"/>
  <c r="B201" i="6" s="1"/>
  <c r="C90" i="6"/>
  <c r="AM90" i="6" s="1"/>
  <c r="D90" i="6"/>
  <c r="G134" i="6"/>
  <c r="B134" i="6" s="1"/>
  <c r="G171" i="6"/>
  <c r="B171" i="6" s="1"/>
  <c r="G126" i="6"/>
  <c r="B126" i="6" s="1"/>
  <c r="G123" i="6"/>
  <c r="B123" i="6" s="1"/>
  <c r="G186" i="6"/>
  <c r="B186" i="6" s="1"/>
  <c r="G125" i="6"/>
  <c r="B125" i="6" s="1"/>
  <c r="G175" i="6"/>
  <c r="B175" i="6" s="1"/>
  <c r="G128" i="6"/>
  <c r="B128" i="6" s="1"/>
  <c r="D115" i="6"/>
  <c r="C115" i="6"/>
  <c r="AM115" i="6" s="1"/>
  <c r="D147" i="6"/>
  <c r="C147" i="6"/>
  <c r="AM147" i="6" s="1"/>
  <c r="D172" i="6"/>
  <c r="C172" i="6"/>
  <c r="AM172" i="6" s="1"/>
  <c r="D31" i="6"/>
  <c r="C31" i="6"/>
  <c r="AM31" i="6" s="1"/>
  <c r="D146" i="6"/>
  <c r="C146" i="6"/>
  <c r="AM146" i="6" s="1"/>
  <c r="D131" i="6"/>
  <c r="C131" i="6"/>
  <c r="AM131" i="6" s="1"/>
  <c r="C189" i="6"/>
  <c r="AM189" i="6" s="1"/>
  <c r="D189" i="6"/>
  <c r="D99" i="6"/>
  <c r="C99" i="6"/>
  <c r="AM99" i="6" s="1"/>
  <c r="D28" i="6"/>
  <c r="C28" i="6"/>
  <c r="AM28" i="6" s="1"/>
  <c r="D51" i="6"/>
  <c r="C51" i="6"/>
  <c r="AM51" i="6" s="1"/>
  <c r="C140" i="6"/>
  <c r="AM140" i="6" s="1"/>
  <c r="D140" i="6"/>
  <c r="D156" i="6"/>
  <c r="C156" i="6"/>
  <c r="AM156" i="6" s="1"/>
  <c r="D197" i="6"/>
  <c r="C197" i="6"/>
  <c r="AM197" i="6" s="1"/>
  <c r="D136" i="6"/>
  <c r="C136" i="6"/>
  <c r="AM136" i="6" s="1"/>
  <c r="D35" i="6"/>
  <c r="C35" i="6"/>
  <c r="AM35" i="6" s="1"/>
  <c r="D132" i="6"/>
  <c r="C132" i="6"/>
  <c r="AM132" i="6" s="1"/>
  <c r="D165" i="6"/>
  <c r="C165" i="6"/>
  <c r="AM165" i="6" s="1"/>
  <c r="C76" i="6"/>
  <c r="AM76" i="6" s="1"/>
  <c r="D76" i="6"/>
  <c r="D181" i="6"/>
  <c r="C181" i="6"/>
  <c r="AM181" i="6" s="1"/>
  <c r="C92" i="6"/>
  <c r="AM92" i="6" s="1"/>
  <c r="D92" i="6"/>
  <c r="D173" i="6"/>
  <c r="C173" i="6"/>
  <c r="AM173" i="6" s="1"/>
  <c r="D84" i="6"/>
  <c r="C84" i="6"/>
  <c r="AM84" i="6" s="1"/>
  <c r="D111" i="6"/>
  <c r="C111" i="6"/>
  <c r="AM111" i="6" s="1"/>
  <c r="C116" i="6"/>
  <c r="AM116" i="6" s="1"/>
  <c r="D116" i="6"/>
  <c r="D104" i="6"/>
  <c r="C104" i="6"/>
  <c r="AM104" i="6" s="1"/>
  <c r="C83" i="6"/>
  <c r="AM83" i="6" s="1"/>
  <c r="D83" i="6"/>
  <c r="D120" i="6"/>
  <c r="C120" i="6"/>
  <c r="AM120" i="6" s="1"/>
  <c r="D127" i="6"/>
  <c r="C127" i="6"/>
  <c r="AM127" i="6" s="1"/>
  <c r="C139" i="6"/>
  <c r="AM139" i="6" s="1"/>
  <c r="D139" i="6"/>
  <c r="D88" i="6"/>
  <c r="C88" i="6"/>
  <c r="AM88" i="6" s="1"/>
  <c r="D67" i="6"/>
  <c r="C67" i="6"/>
  <c r="AM67" i="6" s="1"/>
  <c r="C157" i="6"/>
  <c r="AM157" i="6" s="1"/>
  <c r="D157" i="6"/>
  <c r="D63" i="6"/>
  <c r="C63" i="6"/>
  <c r="AM63" i="6" s="1"/>
  <c r="C148" i="6"/>
  <c r="AM148" i="6" s="1"/>
  <c r="D148" i="6"/>
  <c r="C68" i="6"/>
  <c r="AM68" i="6" s="1"/>
  <c r="D68" i="6"/>
  <c r="C79" i="6"/>
  <c r="AM79" i="6" s="1"/>
  <c r="D79" i="6"/>
  <c r="D100" i="6"/>
  <c r="C100" i="6"/>
  <c r="AM100" i="6" s="1"/>
  <c r="AZ44" i="17"/>
  <c r="BH44" i="17"/>
  <c r="BC34" i="23"/>
  <c r="BK34" i="23"/>
  <c r="BJ41" i="37"/>
  <c r="BB41" i="37"/>
  <c r="AX34" i="18"/>
  <c r="BF34" i="18"/>
  <c r="AX27" i="27"/>
  <c r="BF27" i="27"/>
  <c r="BK53" i="24"/>
  <c r="BC53" i="24"/>
  <c r="BB49" i="41"/>
  <c r="BJ49" i="41"/>
  <c r="BG27" i="10"/>
  <c r="AY27" i="10"/>
  <c r="BG34" i="36"/>
  <c r="AY34" i="36"/>
  <c r="AY34" i="21"/>
  <c r="BG34" i="21"/>
  <c r="AY23" i="35"/>
  <c r="BG23" i="35"/>
  <c r="AZ53" i="39"/>
  <c r="BH53" i="39"/>
  <c r="AX44" i="21"/>
  <c r="BF44" i="21"/>
  <c r="BC42" i="21"/>
  <c r="BK42" i="21"/>
  <c r="BJ22" i="27"/>
  <c r="BB22" i="27"/>
  <c r="AY54" i="31"/>
  <c r="BG54" i="31"/>
  <c r="BB54" i="14"/>
  <c r="BJ54" i="14"/>
  <c r="AX43" i="28"/>
  <c r="BF43" i="28"/>
  <c r="BI44" i="19"/>
  <c r="BA44" i="19"/>
  <c r="AX44" i="30"/>
  <c r="BF44" i="30"/>
  <c r="F52" i="38"/>
  <c r="F51" i="38"/>
  <c r="F54" i="38"/>
  <c r="F50" i="38"/>
  <c r="F53" i="38"/>
  <c r="F49" i="38"/>
  <c r="BA51" i="14"/>
  <c r="BI51" i="14"/>
  <c r="AZ36" i="38"/>
  <c r="BH36" i="38"/>
  <c r="AX25" i="34"/>
  <c r="BF25" i="34"/>
  <c r="BB35" i="13"/>
  <c r="BJ35" i="13"/>
  <c r="BA26" i="27"/>
  <c r="BI26" i="27"/>
  <c r="AZ36" i="27"/>
  <c r="BH36" i="27"/>
  <c r="BC53" i="34"/>
  <c r="BK53" i="34"/>
  <c r="N43" i="36"/>
  <c r="N42" i="36"/>
  <c r="N45" i="36"/>
  <c r="N41" i="36"/>
  <c r="N44" i="36"/>
  <c r="N40" i="36"/>
  <c r="BI54" i="18"/>
  <c r="BA54" i="18"/>
  <c r="AX40" i="12"/>
  <c r="BF40" i="12"/>
  <c r="F33" i="23"/>
  <c r="F36" i="23"/>
  <c r="F32" i="23"/>
  <c r="F35" i="23"/>
  <c r="F31" i="23"/>
  <c r="F34" i="23"/>
  <c r="AY25" i="31"/>
  <c r="BG25" i="31"/>
  <c r="BG24" i="39"/>
  <c r="AY24" i="39"/>
  <c r="AZ35" i="25"/>
  <c r="BH35" i="25"/>
  <c r="AZ23" i="12"/>
  <c r="BH23" i="12"/>
  <c r="AY44" i="22"/>
  <c r="BG44" i="22"/>
  <c r="BB26" i="42"/>
  <c r="BJ26" i="42"/>
  <c r="BA50" i="39"/>
  <c r="BI50" i="39"/>
  <c r="AX34" i="39"/>
  <c r="BF34" i="39"/>
  <c r="AX33" i="13"/>
  <c r="BF33" i="13"/>
  <c r="BH40" i="18"/>
  <c r="AZ40" i="18"/>
  <c r="BA43" i="27"/>
  <c r="BI43" i="27"/>
  <c r="K52" i="29"/>
  <c r="K51" i="29"/>
  <c r="K54" i="29"/>
  <c r="K50" i="29"/>
  <c r="K53" i="29"/>
  <c r="K49" i="29"/>
  <c r="AX36" i="12"/>
  <c r="BF36" i="12"/>
  <c r="AX36" i="27"/>
  <c r="BF36" i="27"/>
  <c r="AX53" i="28"/>
  <c r="BF53" i="28"/>
  <c r="AZ45" i="12"/>
  <c r="BH45" i="12"/>
  <c r="AZ34" i="22"/>
  <c r="BH34" i="22"/>
  <c r="AZ27" i="30"/>
  <c r="BH27" i="30"/>
  <c r="BJ35" i="36"/>
  <c r="BB35" i="36"/>
  <c r="BB45" i="41"/>
  <c r="BJ45" i="41"/>
  <c r="BJ35" i="42"/>
  <c r="BB35" i="42"/>
  <c r="AY52" i="19"/>
  <c r="BG52" i="19"/>
  <c r="AZ43" i="40"/>
  <c r="BH43" i="40"/>
  <c r="BF54" i="10"/>
  <c r="AX54" i="10"/>
  <c r="BF53" i="14"/>
  <c r="AX53" i="14"/>
  <c r="BB43" i="28"/>
  <c r="BJ43" i="28"/>
  <c r="BA52" i="24"/>
  <c r="BI52" i="24"/>
  <c r="AZ24" i="31"/>
  <c r="BH24" i="31"/>
  <c r="BC43" i="34"/>
  <c r="BK43" i="34"/>
  <c r="AZ31" i="39"/>
  <c r="BH31" i="39"/>
  <c r="BF35" i="40"/>
  <c r="AX35" i="40"/>
  <c r="BA45" i="18"/>
  <c r="BI45" i="18"/>
  <c r="BB50" i="25"/>
  <c r="BJ50" i="25"/>
  <c r="AZ31" i="35"/>
  <c r="BH31" i="35"/>
  <c r="BG34" i="12"/>
  <c r="AY34" i="12"/>
  <c r="AY50" i="13"/>
  <c r="BG50" i="13"/>
  <c r="BK43" i="27"/>
  <c r="BC43" i="27"/>
  <c r="BB35" i="32"/>
  <c r="BJ35" i="32"/>
  <c r="BH26" i="25"/>
  <c r="AZ26" i="25"/>
  <c r="AZ35" i="12"/>
  <c r="BH35" i="12"/>
  <c r="BA43" i="15"/>
  <c r="BI43" i="15"/>
  <c r="BG36" i="16"/>
  <c r="AY36" i="16"/>
  <c r="BC34" i="33"/>
  <c r="BK34" i="33"/>
  <c r="BA51" i="21"/>
  <c r="BI51" i="21"/>
  <c r="AY52" i="22"/>
  <c r="BG52" i="22"/>
  <c r="G45" i="31"/>
  <c r="G41" i="31"/>
  <c r="G44" i="31"/>
  <c r="G40" i="31"/>
  <c r="G43" i="31"/>
  <c r="G42" i="31"/>
  <c r="BJ43" i="42"/>
  <c r="BB43" i="42"/>
  <c r="BI32" i="14"/>
  <c r="BA32" i="14"/>
  <c r="AY34" i="19"/>
  <c r="BG34" i="19"/>
  <c r="BA25" i="23"/>
  <c r="BI25" i="23"/>
  <c r="BK23" i="20"/>
  <c r="BC23" i="20"/>
  <c r="AZ24" i="15"/>
  <c r="BH24" i="15"/>
  <c r="BB40" i="26"/>
  <c r="BJ40" i="26"/>
  <c r="BH45" i="41"/>
  <c r="AZ45" i="41"/>
  <c r="AY44" i="14"/>
  <c r="BG44" i="14"/>
  <c r="BB35" i="19"/>
  <c r="BJ35" i="19"/>
  <c r="AX35" i="15"/>
  <c r="BF35" i="15"/>
  <c r="AZ35" i="40"/>
  <c r="BH35" i="40"/>
  <c r="BG24" i="23"/>
  <c r="AY24" i="23"/>
  <c r="BG24" i="24"/>
  <c r="AY24" i="24"/>
  <c r="BA27" i="37"/>
  <c r="BI27" i="37"/>
  <c r="BJ52" i="13"/>
  <c r="BB52" i="13"/>
  <c r="AX45" i="10"/>
  <c r="BF45" i="10"/>
  <c r="AX41" i="20"/>
  <c r="BF41" i="20"/>
  <c r="BB32" i="28"/>
  <c r="BJ32" i="28"/>
  <c r="AY50" i="40"/>
  <c r="BG50" i="40"/>
  <c r="BC31" i="16"/>
  <c r="BK31" i="16"/>
  <c r="BB22" i="23"/>
  <c r="BJ22" i="23"/>
  <c r="BA33" i="22"/>
  <c r="BI33" i="22"/>
  <c r="BA32" i="22"/>
  <c r="BI32" i="22"/>
  <c r="AY42" i="34"/>
  <c r="BG42" i="34"/>
  <c r="BG41" i="34"/>
  <c r="AY41" i="34"/>
  <c r="K51" i="20"/>
  <c r="K54" i="20"/>
  <c r="K50" i="20"/>
  <c r="K53" i="20"/>
  <c r="K49" i="20"/>
  <c r="K52" i="20"/>
  <c r="AY23" i="13"/>
  <c r="BG23" i="13"/>
  <c r="BG22" i="13"/>
  <c r="AY22" i="13"/>
  <c r="BA40" i="16"/>
  <c r="BI40" i="16"/>
  <c r="BA42" i="16"/>
  <c r="BI42" i="16"/>
  <c r="BB51" i="24"/>
  <c r="BJ51" i="24"/>
  <c r="BC26" i="22"/>
  <c r="BK26" i="22"/>
  <c r="BK25" i="22"/>
  <c r="BC25" i="22"/>
  <c r="AY27" i="27"/>
  <c r="BG27" i="27"/>
  <c r="K45" i="33"/>
  <c r="K41" i="33"/>
  <c r="K44" i="33"/>
  <c r="K40" i="33"/>
  <c r="K43" i="33"/>
  <c r="K42" i="33"/>
  <c r="BB45" i="12"/>
  <c r="BJ45" i="12"/>
  <c r="N34" i="16"/>
  <c r="N33" i="16"/>
  <c r="N36" i="16"/>
  <c r="N32" i="16"/>
  <c r="N35" i="16"/>
  <c r="N31" i="16"/>
  <c r="BA44" i="20"/>
  <c r="BI44" i="20"/>
  <c r="BC32" i="26"/>
  <c r="BK32" i="26"/>
  <c r="AZ34" i="20"/>
  <c r="BH34" i="20"/>
  <c r="AZ36" i="20"/>
  <c r="BH36" i="20"/>
  <c r="BB36" i="21"/>
  <c r="BJ36" i="21"/>
  <c r="BB35" i="21"/>
  <c r="BJ35" i="21"/>
  <c r="AZ26" i="22"/>
  <c r="BH26" i="22"/>
  <c r="O27" i="26"/>
  <c r="O23" i="26"/>
  <c r="O26" i="26"/>
  <c r="O22" i="26"/>
  <c r="O25" i="26"/>
  <c r="O24" i="26"/>
  <c r="BB31" i="33"/>
  <c r="BJ31" i="33"/>
  <c r="BB33" i="33"/>
  <c r="BJ33" i="33"/>
  <c r="G44" i="38"/>
  <c r="G45" i="38"/>
  <c r="G40" i="38"/>
  <c r="G43" i="38"/>
  <c r="G42" i="38"/>
  <c r="G41" i="38"/>
  <c r="BC26" i="40"/>
  <c r="BK26" i="40"/>
  <c r="BB49" i="42"/>
  <c r="BJ49" i="42"/>
  <c r="BB51" i="42"/>
  <c r="BJ51" i="42"/>
  <c r="BF43" i="17"/>
  <c r="AX43" i="17"/>
  <c r="BA24" i="10"/>
  <c r="BI24" i="10"/>
  <c r="BI32" i="25"/>
  <c r="BA32" i="25"/>
  <c r="BA31" i="42"/>
  <c r="BI31" i="42"/>
  <c r="BA34" i="42"/>
  <c r="BI34" i="42"/>
  <c r="BI26" i="17"/>
  <c r="BA26" i="17"/>
  <c r="BH25" i="21"/>
  <c r="AZ25" i="21"/>
  <c r="AZ27" i="21"/>
  <c r="BH27" i="21"/>
  <c r="BI33" i="39"/>
  <c r="BA33" i="39"/>
  <c r="BH32" i="19"/>
  <c r="AZ32" i="19"/>
  <c r="AZ31" i="19"/>
  <c r="BH31" i="19"/>
  <c r="BA22" i="34"/>
  <c r="BI22" i="34"/>
  <c r="BA42" i="40"/>
  <c r="BI42" i="40"/>
  <c r="BA41" i="40"/>
  <c r="BI41" i="40"/>
  <c r="AY49" i="28"/>
  <c r="BG49" i="28"/>
  <c r="AY52" i="37"/>
  <c r="BG52" i="37"/>
  <c r="AY54" i="37"/>
  <c r="BG54" i="37"/>
  <c r="AX42" i="39"/>
  <c r="BF42" i="39"/>
  <c r="BI51" i="29"/>
  <c r="BA51" i="29"/>
  <c r="BA51" i="32"/>
  <c r="BI51" i="32"/>
  <c r="BA50" i="32"/>
  <c r="BI50" i="32"/>
  <c r="BG27" i="41"/>
  <c r="AY27" i="41"/>
  <c r="BA34" i="13"/>
  <c r="BI34" i="13"/>
  <c r="BA36" i="13"/>
  <c r="BI36" i="13"/>
  <c r="BJ31" i="18"/>
  <c r="BB31" i="18"/>
  <c r="AY52" i="21"/>
  <c r="BG52" i="21"/>
  <c r="AY54" i="21"/>
  <c r="BG54" i="21"/>
  <c r="BH54" i="31"/>
  <c r="AZ54" i="31"/>
  <c r="AZ53" i="31"/>
  <c r="BH53" i="31"/>
  <c r="AY43" i="35"/>
  <c r="BG43" i="35"/>
  <c r="AY26" i="40"/>
  <c r="BG26" i="40"/>
  <c r="BC34" i="31"/>
  <c r="BK34" i="31"/>
  <c r="BC36" i="31"/>
  <c r="BK36" i="31"/>
  <c r="AZ26" i="35"/>
  <c r="BH26" i="35"/>
  <c r="J53" i="11"/>
  <c r="J49" i="11"/>
  <c r="J52" i="11"/>
  <c r="J51" i="11"/>
  <c r="J54" i="11"/>
  <c r="J50" i="11"/>
  <c r="AX22" i="18"/>
  <c r="BF22" i="18"/>
  <c r="BF24" i="18"/>
  <c r="AX24" i="18"/>
  <c r="N26" i="11"/>
  <c r="N22" i="11"/>
  <c r="N25" i="11"/>
  <c r="N24" i="11"/>
  <c r="N27" i="11"/>
  <c r="N23" i="11"/>
  <c r="AY41" i="15"/>
  <c r="BG41" i="15"/>
  <c r="BG40" i="15"/>
  <c r="AY40" i="15"/>
  <c r="BI24" i="19"/>
  <c r="BA24" i="19"/>
  <c r="BC53" i="26"/>
  <c r="BK53" i="26"/>
  <c r="BC25" i="33"/>
  <c r="BK25" i="33"/>
  <c r="BA41" i="21"/>
  <c r="BI41" i="21"/>
  <c r="BA40" i="21"/>
  <c r="BI40" i="21"/>
  <c r="AY53" i="26"/>
  <c r="BG53" i="26"/>
  <c r="AX42" i="24"/>
  <c r="BF42" i="24"/>
  <c r="BF24" i="33"/>
  <c r="AX24" i="33"/>
  <c r="BB44" i="30"/>
  <c r="BJ44" i="30"/>
  <c r="BB43" i="30"/>
  <c r="BJ43" i="30"/>
  <c r="V43" i="34"/>
  <c r="V42" i="34"/>
  <c r="V45" i="34"/>
  <c r="V41" i="34"/>
  <c r="V44" i="34"/>
  <c r="V40" i="34"/>
  <c r="BJ23" i="41"/>
  <c r="BB23" i="41"/>
  <c r="J34" i="42"/>
  <c r="J33" i="42"/>
  <c r="J36" i="42"/>
  <c r="J32" i="42"/>
  <c r="J35" i="42"/>
  <c r="J31" i="42"/>
  <c r="BA22" i="14"/>
  <c r="BI22" i="14"/>
  <c r="BA49" i="25"/>
  <c r="BI49" i="25"/>
  <c r="BA51" i="25"/>
  <c r="BI51" i="25"/>
  <c r="S33" i="12"/>
  <c r="S36" i="12"/>
  <c r="S32" i="12"/>
  <c r="S35" i="12"/>
  <c r="S31" i="12"/>
  <c r="S34" i="12"/>
  <c r="AY49" i="30"/>
  <c r="BG49" i="30"/>
  <c r="AY51" i="30"/>
  <c r="BG51" i="30"/>
  <c r="AY53" i="14"/>
  <c r="BG53" i="14"/>
  <c r="BG52" i="14"/>
  <c r="AY52" i="14"/>
  <c r="BA44" i="28"/>
  <c r="BI44" i="28"/>
  <c r="BA43" i="28"/>
  <c r="BI43" i="28"/>
  <c r="BH26" i="40"/>
  <c r="AZ26" i="40"/>
  <c r="AZ25" i="40"/>
  <c r="BH25" i="40"/>
  <c r="AX34" i="14"/>
  <c r="BF34" i="14"/>
  <c r="AX36" i="14"/>
  <c r="BF36" i="14"/>
  <c r="AY27" i="21"/>
  <c r="BG27" i="21"/>
  <c r="BG26" i="21"/>
  <c r="AY26" i="21"/>
  <c r="AY35" i="32"/>
  <c r="BG35" i="32"/>
  <c r="BC34" i="28"/>
  <c r="BK34" i="28"/>
  <c r="BK36" i="28"/>
  <c r="BC36" i="28"/>
  <c r="AZ26" i="27"/>
  <c r="BH26" i="27"/>
  <c r="AY31" i="35"/>
  <c r="BG31" i="35"/>
  <c r="BG33" i="35"/>
  <c r="AY33" i="35"/>
  <c r="BF52" i="35"/>
  <c r="AX52" i="35"/>
  <c r="BI52" i="38"/>
  <c r="BA52" i="38"/>
  <c r="BA54" i="38"/>
  <c r="BI54" i="38"/>
  <c r="AZ43" i="39"/>
  <c r="BH43" i="39"/>
  <c r="BF50" i="41"/>
  <c r="AX50" i="41"/>
  <c r="BA26" i="18"/>
  <c r="BI26" i="18"/>
  <c r="BB34" i="25"/>
  <c r="BJ34" i="25"/>
  <c r="BB36" i="25"/>
  <c r="BJ36" i="25"/>
  <c r="BC49" i="31"/>
  <c r="BK49" i="31"/>
  <c r="BK51" i="31"/>
  <c r="BC51" i="31"/>
  <c r="AZ41" i="35"/>
  <c r="BH41" i="35"/>
  <c r="AX54" i="37"/>
  <c r="BF54" i="37"/>
  <c r="AX53" i="37"/>
  <c r="BF53" i="37"/>
  <c r="AY40" i="17"/>
  <c r="BG40" i="17"/>
  <c r="BG42" i="17"/>
  <c r="AY42" i="17"/>
  <c r="BC50" i="21"/>
  <c r="BK50" i="21"/>
  <c r="BC22" i="23"/>
  <c r="BK22" i="23"/>
  <c r="BK24" i="23"/>
  <c r="BC24" i="23"/>
  <c r="AY31" i="27"/>
  <c r="BG31" i="27"/>
  <c r="AY41" i="31"/>
  <c r="BG41" i="31"/>
  <c r="BG40" i="31"/>
  <c r="AY40" i="31"/>
  <c r="BB26" i="37"/>
  <c r="BJ26" i="37"/>
  <c r="BB41" i="39"/>
  <c r="BJ41" i="39"/>
  <c r="BB40" i="39"/>
  <c r="BJ40" i="39"/>
  <c r="BC44" i="39"/>
  <c r="BK44" i="39"/>
  <c r="BI35" i="26"/>
  <c r="BA35" i="26"/>
  <c r="BA41" i="31"/>
  <c r="BI41" i="31"/>
  <c r="BA40" i="31"/>
  <c r="BI40" i="31"/>
  <c r="BI24" i="15"/>
  <c r="BA24" i="15"/>
  <c r="BC22" i="25"/>
  <c r="BK22" i="25"/>
  <c r="BB25" i="21"/>
  <c r="BJ25" i="21"/>
  <c r="BJ27" i="21"/>
  <c r="BB27" i="21"/>
  <c r="AX24" i="24"/>
  <c r="BF24" i="24"/>
  <c r="N51" i="24"/>
  <c r="N54" i="24"/>
  <c r="N50" i="24"/>
  <c r="N53" i="24"/>
  <c r="N49" i="24"/>
  <c r="N52" i="24"/>
  <c r="BC33" i="24"/>
  <c r="BK33" i="24"/>
  <c r="N26" i="33"/>
  <c r="N25" i="33"/>
  <c r="N24" i="33"/>
  <c r="N27" i="33"/>
  <c r="N23" i="33"/>
  <c r="N22" i="33"/>
  <c r="BJ24" i="33"/>
  <c r="BB24" i="33"/>
  <c r="BH26" i="42"/>
  <c r="AZ26" i="42"/>
  <c r="AZ25" i="42"/>
  <c r="BH25" i="42"/>
  <c r="BI43" i="14"/>
  <c r="BA43" i="14"/>
  <c r="BA45" i="14"/>
  <c r="BI45" i="14"/>
  <c r="BA34" i="23"/>
  <c r="BI34" i="23"/>
  <c r="BA45" i="42"/>
  <c r="BI45" i="42"/>
  <c r="BI42" i="42"/>
  <c r="BA42" i="42"/>
  <c r="BH54" i="15"/>
  <c r="AZ54" i="15"/>
  <c r="AZ53" i="15"/>
  <c r="BH53" i="15"/>
  <c r="BF41" i="26"/>
  <c r="AX41" i="26"/>
  <c r="BB22" i="26"/>
  <c r="BJ22" i="26"/>
  <c r="BB24" i="26"/>
  <c r="BJ24" i="26"/>
  <c r="AY26" i="30"/>
  <c r="BG26" i="30"/>
  <c r="AZ49" i="41"/>
  <c r="BH49" i="41"/>
  <c r="AZ51" i="41"/>
  <c r="BH51" i="41"/>
  <c r="AY26" i="14"/>
  <c r="BG26" i="14"/>
  <c r="BB49" i="19"/>
  <c r="BJ49" i="19"/>
  <c r="BB51" i="19"/>
  <c r="BJ51" i="19"/>
  <c r="AZ41" i="37"/>
  <c r="BH41" i="37"/>
  <c r="AX40" i="15"/>
  <c r="BF40" i="15"/>
  <c r="AX42" i="15"/>
  <c r="BF42" i="15"/>
  <c r="BA35" i="28"/>
  <c r="BI35" i="28"/>
  <c r="AY43" i="36"/>
  <c r="BG43" i="36"/>
  <c r="BG45" i="36"/>
  <c r="AY45" i="36"/>
  <c r="AY52" i="23"/>
  <c r="BG52" i="23"/>
  <c r="BG54" i="23"/>
  <c r="AY54" i="23"/>
  <c r="BF50" i="19"/>
  <c r="AX50" i="19"/>
  <c r="AY54" i="24"/>
  <c r="BG54" i="24"/>
  <c r="BG53" i="24"/>
  <c r="AY53" i="24"/>
  <c r="BJ41" i="31"/>
  <c r="BB41" i="31"/>
  <c r="BI49" i="37"/>
  <c r="BA49" i="37"/>
  <c r="BA51" i="37"/>
  <c r="BI51" i="37"/>
  <c r="BF50" i="42"/>
  <c r="AX50" i="42"/>
  <c r="BB40" i="13"/>
  <c r="BJ40" i="13"/>
  <c r="BB42" i="13"/>
  <c r="BJ42" i="13"/>
  <c r="AZ54" i="28"/>
  <c r="BH54" i="28"/>
  <c r="BB36" i="38"/>
  <c r="BJ36" i="38"/>
  <c r="AY35" i="40"/>
  <c r="BG35" i="40"/>
  <c r="BG34" i="40"/>
  <c r="AY34" i="40"/>
  <c r="BC44" i="16"/>
  <c r="BK44" i="16"/>
  <c r="BK43" i="16"/>
  <c r="BC43" i="16"/>
  <c r="BI45" i="22"/>
  <c r="BA45" i="22"/>
  <c r="AY32" i="17"/>
  <c r="BG32" i="17"/>
  <c r="BG31" i="17"/>
  <c r="AY31" i="17"/>
  <c r="BC51" i="22"/>
  <c r="BK51" i="22"/>
  <c r="BK50" i="22"/>
  <c r="BC50" i="22"/>
  <c r="BH45" i="29"/>
  <c r="AZ45" i="29"/>
  <c r="AZ44" i="29"/>
  <c r="BH44" i="29"/>
  <c r="AY32" i="31"/>
  <c r="BG32" i="31"/>
  <c r="AY52" i="38"/>
  <c r="BG52" i="38"/>
  <c r="BG54" i="38"/>
  <c r="AY54" i="38"/>
  <c r="BJ53" i="40"/>
  <c r="BB53" i="40"/>
  <c r="BC36" i="39"/>
  <c r="BK36" i="39"/>
  <c r="BK35" i="39"/>
  <c r="BC35" i="39"/>
  <c r="AX31" i="11"/>
  <c r="BF31" i="11"/>
  <c r="AX33" i="11"/>
  <c r="BF33" i="11"/>
  <c r="BJ35" i="14"/>
  <c r="BB35" i="14"/>
  <c r="BA34" i="35"/>
  <c r="BI34" i="35"/>
  <c r="BA36" i="35"/>
  <c r="BI36" i="35"/>
  <c r="BB23" i="12"/>
  <c r="BJ23" i="12"/>
  <c r="BH40" i="20"/>
  <c r="AZ40" i="20"/>
  <c r="AZ42" i="20"/>
  <c r="BH42" i="20"/>
  <c r="AZ50" i="22"/>
  <c r="BH50" i="22"/>
  <c r="F24" i="31"/>
  <c r="F27" i="31"/>
  <c r="F23" i="31"/>
  <c r="F26" i="31"/>
  <c r="F22" i="31"/>
  <c r="F25" i="31"/>
  <c r="BB51" i="30"/>
  <c r="BJ51" i="30"/>
  <c r="BB50" i="30"/>
  <c r="BJ50" i="30"/>
  <c r="BB41" i="33"/>
  <c r="BJ41" i="33"/>
  <c r="BB40" i="33"/>
  <c r="BJ40" i="33"/>
  <c r="AX24" i="17"/>
  <c r="BF24" i="17"/>
  <c r="BI50" i="34"/>
  <c r="BA50" i="34"/>
  <c r="AX31" i="16"/>
  <c r="BF31" i="16"/>
  <c r="BF33" i="16"/>
  <c r="AX33" i="16"/>
  <c r="AX31" i="22"/>
  <c r="BF31" i="22"/>
  <c r="BF33" i="22"/>
  <c r="AX33" i="22"/>
  <c r="BG35" i="41"/>
  <c r="AY35" i="41"/>
  <c r="AZ49" i="18"/>
  <c r="BH49" i="18"/>
  <c r="AX41" i="29"/>
  <c r="BF41" i="29"/>
  <c r="AZ42" i="23"/>
  <c r="BH42" i="23"/>
  <c r="AZ45" i="23"/>
  <c r="BH45" i="23"/>
  <c r="BI26" i="24"/>
  <c r="BA26" i="24"/>
  <c r="BA24" i="33"/>
  <c r="BI24" i="33"/>
  <c r="BI26" i="33"/>
  <c r="BA26" i="33"/>
  <c r="AZ22" i="28"/>
  <c r="BH22" i="28"/>
  <c r="AX43" i="35"/>
  <c r="BF43" i="35"/>
  <c r="BF45" i="35"/>
  <c r="AX45" i="35"/>
  <c r="BJ22" i="38"/>
  <c r="BB22" i="38"/>
  <c r="AX25" i="41"/>
  <c r="BF25" i="41"/>
  <c r="BC32" i="42"/>
  <c r="BK32" i="42"/>
  <c r="BI36" i="18"/>
  <c r="BA36" i="18"/>
  <c r="BB27" i="25"/>
  <c r="BJ27" i="25"/>
  <c r="BC43" i="12"/>
  <c r="BK43" i="12"/>
  <c r="K44" i="20"/>
  <c r="K40" i="20"/>
  <c r="K43" i="20"/>
  <c r="K42" i="20"/>
  <c r="K45" i="20"/>
  <c r="K41" i="20"/>
  <c r="AX26" i="12"/>
  <c r="BF26" i="12"/>
  <c r="AX25" i="12"/>
  <c r="BF25" i="12"/>
  <c r="BC36" i="14"/>
  <c r="BK36" i="14"/>
  <c r="N25" i="14"/>
  <c r="N24" i="14"/>
  <c r="N27" i="14"/>
  <c r="N23" i="14"/>
  <c r="N26" i="14"/>
  <c r="N22" i="14"/>
  <c r="AY54" i="17"/>
  <c r="BG54" i="17"/>
  <c r="BG53" i="17"/>
  <c r="AY53" i="17"/>
  <c r="J27" i="33"/>
  <c r="J26" i="33"/>
  <c r="J22" i="33"/>
  <c r="J25" i="33"/>
  <c r="J24" i="33"/>
  <c r="J23" i="33"/>
  <c r="BB33" i="37"/>
  <c r="BJ33" i="37"/>
  <c r="BB53" i="39"/>
  <c r="BJ53" i="39"/>
  <c r="AY50" i="39"/>
  <c r="BG50" i="39"/>
  <c r="BG49" i="39"/>
  <c r="AY49" i="39"/>
  <c r="BF49" i="18"/>
  <c r="AX49" i="18"/>
  <c r="BA23" i="26"/>
  <c r="BI23" i="26"/>
  <c r="BA22" i="26"/>
  <c r="BI22" i="26"/>
  <c r="AX43" i="27"/>
  <c r="BF43" i="27"/>
  <c r="BA52" i="35"/>
  <c r="BI52" i="35"/>
  <c r="BA54" i="35"/>
  <c r="BI54" i="35"/>
  <c r="BA34" i="15"/>
  <c r="BI34" i="15"/>
  <c r="BA36" i="15"/>
  <c r="BI36" i="15"/>
  <c r="AY22" i="22"/>
  <c r="BG22" i="22"/>
  <c r="AY24" i="22"/>
  <c r="BG24" i="22"/>
  <c r="BK34" i="36"/>
  <c r="BC34" i="36"/>
  <c r="G26" i="38"/>
  <c r="G22" i="38"/>
  <c r="G25" i="38"/>
  <c r="G24" i="38"/>
  <c r="G27" i="38"/>
  <c r="G23" i="38"/>
  <c r="BC33" i="10"/>
  <c r="BK33" i="10"/>
  <c r="N36" i="10"/>
  <c r="N35" i="10"/>
  <c r="N34" i="10"/>
  <c r="N33" i="10"/>
  <c r="N32" i="10"/>
  <c r="N31" i="10"/>
  <c r="BA43" i="11"/>
  <c r="BI43" i="11"/>
  <c r="BA45" i="11"/>
  <c r="BI45" i="11"/>
  <c r="AY32" i="30"/>
  <c r="BG32" i="30"/>
  <c r="AY36" i="14"/>
  <c r="BG36" i="14"/>
  <c r="BI27" i="28"/>
  <c r="BA27" i="28"/>
  <c r="AY53" i="36"/>
  <c r="BG53" i="36"/>
  <c r="BG52" i="36"/>
  <c r="AY52" i="36"/>
  <c r="AX27" i="42"/>
  <c r="BF27" i="42"/>
  <c r="BF52" i="13"/>
  <c r="AX52" i="13"/>
  <c r="AX34" i="10"/>
  <c r="BF34" i="10"/>
  <c r="AX45" i="14"/>
  <c r="BF45" i="14"/>
  <c r="AZ27" i="18"/>
  <c r="BH27" i="18"/>
  <c r="AZ54" i="23"/>
  <c r="BH54" i="23"/>
  <c r="BB53" i="28"/>
  <c r="BJ53" i="28"/>
  <c r="BB52" i="28"/>
  <c r="BJ52" i="28"/>
  <c r="BI27" i="38"/>
  <c r="BA27" i="38"/>
  <c r="AX27" i="40"/>
  <c r="BF27" i="40"/>
  <c r="BC44" i="32"/>
  <c r="BK44" i="32"/>
  <c r="BK43" i="32"/>
  <c r="BC43" i="32"/>
  <c r="AY36" i="34"/>
  <c r="BG36" i="34"/>
  <c r="AX36" i="37"/>
  <c r="BF36" i="37"/>
  <c r="AX35" i="37"/>
  <c r="BF35" i="37"/>
  <c r="F26" i="23"/>
  <c r="F22" i="23"/>
  <c r="F25" i="23"/>
  <c r="F24" i="23"/>
  <c r="F27" i="23"/>
  <c r="F23" i="23"/>
  <c r="AY26" i="17"/>
  <c r="BG26" i="17"/>
  <c r="BC33" i="27"/>
  <c r="BK33" i="27"/>
  <c r="BK32" i="27"/>
  <c r="BC32" i="27"/>
  <c r="BC31" i="21"/>
  <c r="BK31" i="21"/>
  <c r="BK33" i="21"/>
  <c r="BC33" i="21"/>
  <c r="BC53" i="23"/>
  <c r="BK53" i="23"/>
  <c r="AZ49" i="29"/>
  <c r="BH49" i="29"/>
  <c r="AZ51" i="29"/>
  <c r="BH51" i="29"/>
  <c r="BJ40" i="27"/>
  <c r="BB40" i="27"/>
  <c r="BB24" i="32"/>
  <c r="BJ24" i="32"/>
  <c r="BB23" i="32"/>
  <c r="BJ23" i="32"/>
  <c r="BB51" i="37"/>
  <c r="BJ51" i="37"/>
  <c r="BB23" i="39"/>
  <c r="BJ23" i="39"/>
  <c r="BB22" i="39"/>
  <c r="BJ22" i="39"/>
  <c r="BC26" i="39"/>
  <c r="BK26" i="39"/>
  <c r="BI42" i="26"/>
  <c r="BA42" i="26"/>
  <c r="BF50" i="27"/>
  <c r="AX50" i="27"/>
  <c r="AX49" i="27"/>
  <c r="BF49" i="27"/>
  <c r="BI24" i="35"/>
  <c r="BA24" i="35"/>
  <c r="BC53" i="25"/>
  <c r="BK53" i="25"/>
  <c r="BK52" i="25"/>
  <c r="BC52" i="25"/>
  <c r="BF35" i="30"/>
  <c r="AX35" i="30"/>
  <c r="BJ50" i="33"/>
  <c r="BB50" i="33"/>
  <c r="V25" i="34"/>
  <c r="V24" i="34"/>
  <c r="V27" i="34"/>
  <c r="V23" i="34"/>
  <c r="V26" i="34"/>
  <c r="V22" i="34"/>
  <c r="BB45" i="36"/>
  <c r="BJ45" i="36"/>
  <c r="BI33" i="11"/>
  <c r="BA33" i="11"/>
  <c r="BA54" i="42"/>
  <c r="BI54" i="42"/>
  <c r="R27" i="12"/>
  <c r="R23" i="12"/>
  <c r="R26" i="12"/>
  <c r="R22" i="12"/>
  <c r="R25" i="12"/>
  <c r="R24" i="12"/>
  <c r="AZ33" i="15"/>
  <c r="BH33" i="15"/>
  <c r="AX25" i="26"/>
  <c r="BF25" i="26"/>
  <c r="BF27" i="26"/>
  <c r="AX27" i="26"/>
  <c r="BB51" i="26"/>
  <c r="BJ51" i="26"/>
  <c r="AZ34" i="41"/>
  <c r="BH34" i="41"/>
  <c r="BB26" i="19"/>
  <c r="BJ26" i="19"/>
  <c r="BH25" i="37"/>
  <c r="AZ25" i="37"/>
  <c r="AZ27" i="37"/>
  <c r="BH27" i="37"/>
  <c r="AX26" i="15"/>
  <c r="BF26" i="15"/>
  <c r="AY22" i="36"/>
  <c r="BG22" i="36"/>
  <c r="AY33" i="23"/>
  <c r="BG33" i="23"/>
  <c r="AX40" i="19"/>
  <c r="BF40" i="19"/>
  <c r="BF43" i="19"/>
  <c r="AX43" i="19"/>
  <c r="AY33" i="24"/>
  <c r="BG33" i="24"/>
  <c r="BB25" i="31"/>
  <c r="BJ25" i="31"/>
  <c r="BJ27" i="31"/>
  <c r="BB27" i="31"/>
  <c r="BI35" i="37"/>
  <c r="BA35" i="37"/>
  <c r="AX33" i="42"/>
  <c r="BF33" i="42"/>
  <c r="AX32" i="42"/>
  <c r="BF32" i="42"/>
  <c r="BB25" i="13"/>
  <c r="BJ25" i="13"/>
  <c r="BJ27" i="13"/>
  <c r="BB27" i="13"/>
  <c r="BJ50" i="29"/>
  <c r="BB50" i="29"/>
  <c r="BC26" i="16"/>
  <c r="BK26" i="16"/>
  <c r="BK25" i="16"/>
  <c r="BC25" i="16"/>
  <c r="BI23" i="22"/>
  <c r="BA23" i="22"/>
  <c r="AY49" i="34"/>
  <c r="BG49" i="34"/>
  <c r="AY51" i="34"/>
  <c r="BG51" i="34"/>
  <c r="AY35" i="13"/>
  <c r="BG35" i="13"/>
  <c r="BB40" i="14"/>
  <c r="BJ40" i="14"/>
  <c r="BJ42" i="14"/>
  <c r="BB42" i="14"/>
  <c r="AY40" i="16"/>
  <c r="BG40" i="16"/>
  <c r="AY42" i="16"/>
  <c r="BG42" i="16"/>
  <c r="BI32" i="20"/>
  <c r="BA32" i="20"/>
  <c r="N51" i="33"/>
  <c r="N54" i="33"/>
  <c r="N50" i="33"/>
  <c r="N53" i="33"/>
  <c r="N49" i="33"/>
  <c r="N52" i="33"/>
  <c r="BH43" i="13"/>
  <c r="AZ43" i="13"/>
  <c r="AZ45" i="13"/>
  <c r="BH45" i="13"/>
  <c r="AX53" i="17"/>
  <c r="BF53" i="17"/>
  <c r="AY31" i="10"/>
  <c r="BG31" i="10"/>
  <c r="AY35" i="10"/>
  <c r="BG35" i="10"/>
  <c r="BI51" i="11"/>
  <c r="BA51" i="11"/>
  <c r="BA31" i="34"/>
  <c r="BI31" i="34"/>
  <c r="BA33" i="34"/>
  <c r="BI33" i="34"/>
  <c r="BI50" i="40"/>
  <c r="BA50" i="40"/>
  <c r="AY22" i="28"/>
  <c r="BG22" i="28"/>
  <c r="AY24" i="28"/>
  <c r="BG24" i="28"/>
  <c r="BI41" i="32"/>
  <c r="BA41" i="32"/>
  <c r="AZ35" i="18"/>
  <c r="BH35" i="18"/>
  <c r="AY45" i="21"/>
  <c r="BG45" i="21"/>
  <c r="BG44" i="21"/>
  <c r="AY44" i="21"/>
  <c r="BI53" i="27"/>
  <c r="BA53" i="27"/>
  <c r="AY49" i="32"/>
  <c r="BG49" i="32"/>
  <c r="BC51" i="28"/>
  <c r="BK51" i="28"/>
  <c r="BK50" i="28"/>
  <c r="BC50" i="28"/>
  <c r="AZ40" i="27"/>
  <c r="BH40" i="27"/>
  <c r="AY50" i="35"/>
  <c r="BG50" i="35"/>
  <c r="BF23" i="35"/>
  <c r="AX23" i="35"/>
  <c r="AX32" i="41"/>
  <c r="BF32" i="41"/>
  <c r="BF35" i="41"/>
  <c r="AX35" i="41"/>
  <c r="BC52" i="32"/>
  <c r="BK52" i="32"/>
  <c r="BK54" i="32"/>
  <c r="BC54" i="32"/>
  <c r="AY26" i="34"/>
  <c r="BG26" i="34"/>
  <c r="BB34" i="11"/>
  <c r="BJ34" i="11"/>
  <c r="BJ36" i="11"/>
  <c r="BB36" i="11"/>
  <c r="BF49" i="12"/>
  <c r="AX49" i="12"/>
  <c r="BC42" i="14"/>
  <c r="BK42" i="14"/>
  <c r="BK41" i="14"/>
  <c r="BC41" i="14"/>
  <c r="AY49" i="15"/>
  <c r="BG49" i="15"/>
  <c r="BG51" i="15"/>
  <c r="AY51" i="15"/>
  <c r="BA52" i="19"/>
  <c r="BI52" i="19"/>
  <c r="BC43" i="26"/>
  <c r="BK43" i="26"/>
  <c r="BC44" i="25"/>
  <c r="BK44" i="25"/>
  <c r="BB40" i="21"/>
  <c r="BJ40" i="21"/>
  <c r="BB42" i="21"/>
  <c r="BJ42" i="21"/>
  <c r="AX31" i="24"/>
  <c r="BF31" i="24"/>
  <c r="AX33" i="24"/>
  <c r="BF33" i="24"/>
  <c r="G34" i="31"/>
  <c r="G33" i="31"/>
  <c r="G36" i="31"/>
  <c r="G32" i="31"/>
  <c r="G35" i="31"/>
  <c r="G31" i="31"/>
  <c r="AZ45" i="30"/>
  <c r="BH45" i="30"/>
  <c r="BC54" i="40"/>
  <c r="BK54" i="40"/>
  <c r="BH41" i="42"/>
  <c r="AZ41" i="42"/>
  <c r="AZ44" i="42"/>
  <c r="BH44" i="42"/>
  <c r="BA23" i="11"/>
  <c r="BI23" i="11"/>
  <c r="BI43" i="25"/>
  <c r="BA43" i="25"/>
  <c r="BA45" i="25"/>
  <c r="BI45" i="25"/>
  <c r="BF53" i="36"/>
  <c r="AX53" i="36"/>
  <c r="BA54" i="17"/>
  <c r="BI54" i="17"/>
  <c r="BA53" i="17"/>
  <c r="BI53" i="17"/>
  <c r="AZ52" i="21"/>
  <c r="BH52" i="21"/>
  <c r="BB43" i="22"/>
  <c r="BJ43" i="22"/>
  <c r="BB45" i="22"/>
  <c r="BJ45" i="22"/>
  <c r="AZ40" i="38"/>
  <c r="BH40" i="38"/>
  <c r="BI40" i="39"/>
  <c r="BA40" i="39"/>
  <c r="BA42" i="39"/>
  <c r="BI42" i="39"/>
  <c r="AZ50" i="19"/>
  <c r="BH50" i="19"/>
  <c r="BA26" i="40"/>
  <c r="BI26" i="40"/>
  <c r="AY34" i="28"/>
  <c r="BG34" i="28"/>
  <c r="BG36" i="28"/>
  <c r="AY36" i="28"/>
  <c r="AY32" i="37"/>
  <c r="BG32" i="37"/>
  <c r="AX27" i="39"/>
  <c r="BF27" i="39"/>
  <c r="AX26" i="39"/>
  <c r="BF26" i="39"/>
  <c r="AX52" i="34"/>
  <c r="BF52" i="34"/>
  <c r="AX54" i="34"/>
  <c r="BF54" i="34"/>
  <c r="BA36" i="29"/>
  <c r="BI36" i="29"/>
  <c r="BA35" i="29"/>
  <c r="BI35" i="29"/>
  <c r="BA35" i="32"/>
  <c r="BI35" i="32"/>
  <c r="BF41" i="13"/>
  <c r="AX41" i="13"/>
  <c r="AX26" i="14"/>
  <c r="BF26" i="14"/>
  <c r="AX25" i="14"/>
  <c r="BF25" i="14"/>
  <c r="BB45" i="18"/>
  <c r="BJ45" i="18"/>
  <c r="AY27" i="32"/>
  <c r="BG27" i="32"/>
  <c r="BC44" i="28"/>
  <c r="BK44" i="28"/>
  <c r="BK43" i="28"/>
  <c r="BC43" i="28"/>
  <c r="BC31" i="34"/>
  <c r="BK31" i="34"/>
  <c r="BC33" i="34"/>
  <c r="BK33" i="34"/>
  <c r="BA42" i="38"/>
  <c r="BI42" i="38"/>
  <c r="BC42" i="31"/>
  <c r="BK42" i="31"/>
  <c r="BH50" i="35"/>
  <c r="AZ50" i="35"/>
  <c r="AZ49" i="35"/>
  <c r="BH49" i="35"/>
  <c r="AX44" i="37"/>
  <c r="BF44" i="37"/>
  <c r="K26" i="20"/>
  <c r="K22" i="20"/>
  <c r="K25" i="20"/>
  <c r="K24" i="20"/>
  <c r="K27" i="20"/>
  <c r="K23" i="20"/>
  <c r="BB49" i="11"/>
  <c r="BJ49" i="11"/>
  <c r="BB51" i="11"/>
  <c r="BJ51" i="11"/>
  <c r="O53" i="14"/>
  <c r="O49" i="14"/>
  <c r="O52" i="14"/>
  <c r="O51" i="14"/>
  <c r="O54" i="14"/>
  <c r="O50" i="14"/>
  <c r="BC26" i="27"/>
  <c r="BK26" i="27"/>
  <c r="BK25" i="27"/>
  <c r="BC25" i="27"/>
  <c r="K52" i="33"/>
  <c r="K51" i="33"/>
  <c r="K54" i="33"/>
  <c r="K50" i="33"/>
  <c r="K53" i="33"/>
  <c r="K49" i="33"/>
  <c r="BB53" i="32"/>
  <c r="BJ53" i="32"/>
  <c r="BB52" i="32"/>
  <c r="BJ52" i="32"/>
  <c r="AY27" i="38"/>
  <c r="BG27" i="38"/>
  <c r="BB27" i="40"/>
  <c r="BJ27" i="40"/>
  <c r="BB49" i="16"/>
  <c r="BJ49" i="16"/>
  <c r="BJ51" i="16"/>
  <c r="BB51" i="16"/>
  <c r="AZ41" i="25"/>
  <c r="BH41" i="25"/>
  <c r="AY51" i="16"/>
  <c r="BG51" i="16"/>
  <c r="BG50" i="16"/>
  <c r="AY50" i="16"/>
  <c r="BC50" i="33"/>
  <c r="BK50" i="33"/>
  <c r="BK49" i="33"/>
  <c r="BC49" i="33"/>
  <c r="BI24" i="21"/>
  <c r="BA24" i="21"/>
  <c r="AY34" i="26"/>
  <c r="BG34" i="26"/>
  <c r="AY36" i="26"/>
  <c r="BG36" i="26"/>
  <c r="N35" i="26"/>
  <c r="N31" i="26"/>
  <c r="N34" i="26"/>
  <c r="N33" i="26"/>
  <c r="N36" i="26"/>
  <c r="N32" i="26"/>
  <c r="BC25" i="24"/>
  <c r="BK25" i="24"/>
  <c r="BC27" i="24"/>
  <c r="BK27" i="24"/>
  <c r="BH33" i="30"/>
  <c r="AZ33" i="30"/>
  <c r="AZ32" i="30"/>
  <c r="BH32" i="30"/>
  <c r="BC33" i="36"/>
  <c r="BK33" i="36"/>
  <c r="BB32" i="41"/>
  <c r="BJ32" i="41"/>
  <c r="BJ36" i="41"/>
  <c r="BB36" i="41"/>
  <c r="AZ50" i="42"/>
  <c r="BH50" i="42"/>
  <c r="BH54" i="13"/>
  <c r="AZ54" i="13"/>
  <c r="AZ53" i="13"/>
  <c r="BH53" i="13"/>
  <c r="BB42" i="10"/>
  <c r="BJ42" i="10"/>
  <c r="AY49" i="10"/>
  <c r="BG49" i="10"/>
  <c r="AY53" i="10"/>
  <c r="BG53" i="10"/>
  <c r="AX23" i="36"/>
  <c r="BF23" i="36"/>
  <c r="AZ44" i="15"/>
  <c r="BH44" i="15"/>
  <c r="AX50" i="26"/>
  <c r="BF50" i="26"/>
  <c r="AX49" i="26"/>
  <c r="BF49" i="26"/>
  <c r="BB33" i="26"/>
  <c r="BJ33" i="26"/>
  <c r="BH25" i="41"/>
  <c r="AZ25" i="41"/>
  <c r="BB41" i="19"/>
  <c r="BJ41" i="19"/>
  <c r="BH50" i="37"/>
  <c r="AZ50" i="37"/>
  <c r="AZ49" i="37"/>
  <c r="BH49" i="37"/>
  <c r="AX51" i="15"/>
  <c r="BF51" i="15"/>
  <c r="BH51" i="40"/>
  <c r="AZ51" i="40"/>
  <c r="AZ50" i="40"/>
  <c r="BH50" i="40"/>
  <c r="AY41" i="23"/>
  <c r="BG41" i="23"/>
  <c r="AX25" i="19"/>
  <c r="BF25" i="19"/>
  <c r="BF27" i="19"/>
  <c r="AX27" i="19"/>
  <c r="AY44" i="24"/>
  <c r="BG44" i="24"/>
  <c r="BB32" i="31"/>
  <c r="BJ32" i="31"/>
  <c r="BB31" i="31"/>
  <c r="BJ31" i="31"/>
  <c r="BI42" i="37"/>
  <c r="BA42" i="37"/>
  <c r="BF31" i="20"/>
  <c r="AX31" i="20"/>
  <c r="BA43" i="24"/>
  <c r="BI43" i="24"/>
  <c r="BA45" i="24"/>
  <c r="BI45" i="24"/>
  <c r="BI40" i="33"/>
  <c r="BA40" i="33"/>
  <c r="BA42" i="33"/>
  <c r="BI42" i="33"/>
  <c r="AZ44" i="28"/>
  <c r="BH44" i="28"/>
  <c r="AX36" i="35"/>
  <c r="BF36" i="35"/>
  <c r="AX35" i="35"/>
  <c r="BF35" i="35"/>
  <c r="BH27" i="39"/>
  <c r="AZ27" i="39"/>
  <c r="AZ26" i="39"/>
  <c r="BH26" i="39"/>
  <c r="BF43" i="41"/>
  <c r="AX43" i="41"/>
  <c r="BC52" i="16"/>
  <c r="BK52" i="16"/>
  <c r="BK54" i="16"/>
  <c r="BC54" i="16"/>
  <c r="BA53" i="22"/>
  <c r="BI53" i="22"/>
  <c r="BB24" i="11"/>
  <c r="BJ24" i="11"/>
  <c r="AY41" i="13"/>
  <c r="BG41" i="13"/>
  <c r="BG40" i="13"/>
  <c r="AY40" i="13"/>
  <c r="J42" i="11"/>
  <c r="J45" i="11"/>
  <c r="J41" i="11"/>
  <c r="J44" i="11"/>
  <c r="J40" i="11"/>
  <c r="J43" i="11"/>
  <c r="G51" i="23"/>
  <c r="G54" i="23"/>
  <c r="G50" i="23"/>
  <c r="G53" i="23"/>
  <c r="G49" i="23"/>
  <c r="G52" i="23"/>
  <c r="BC40" i="22"/>
  <c r="BK40" i="22"/>
  <c r="BC42" i="22"/>
  <c r="BK42" i="22"/>
  <c r="AY41" i="27"/>
  <c r="BG41" i="27"/>
  <c r="BG45" i="38"/>
  <c r="AY45" i="38"/>
  <c r="BB40" i="40"/>
  <c r="BJ40" i="40"/>
  <c r="BJ42" i="40"/>
  <c r="BB42" i="40"/>
  <c r="BB22" i="14"/>
  <c r="BJ22" i="14"/>
  <c r="BJ24" i="14"/>
  <c r="BB24" i="14"/>
  <c r="AX31" i="28"/>
  <c r="BF31" i="28"/>
  <c r="BF33" i="28"/>
  <c r="AX33" i="28"/>
  <c r="BB33" i="12"/>
  <c r="BJ33" i="12"/>
  <c r="BB32" i="12"/>
  <c r="BJ32" i="12"/>
  <c r="BI53" i="15"/>
  <c r="BA53" i="15"/>
  <c r="BA24" i="20"/>
  <c r="BI24" i="20"/>
  <c r="BA23" i="20"/>
  <c r="BI23" i="20"/>
  <c r="AZ49" i="20"/>
  <c r="BH49" i="20"/>
  <c r="BB51" i="21"/>
  <c r="BJ51" i="21"/>
  <c r="BH42" i="22"/>
  <c r="AZ42" i="22"/>
  <c r="AZ41" i="22"/>
  <c r="BH41" i="22"/>
  <c r="BC40" i="40"/>
  <c r="BK40" i="40"/>
  <c r="K45" i="42"/>
  <c r="K44" i="42"/>
  <c r="K42" i="42"/>
  <c r="K40" i="42"/>
  <c r="K43" i="42"/>
  <c r="K41" i="42"/>
  <c r="AZ31" i="42"/>
  <c r="BH31" i="42"/>
  <c r="BH25" i="13"/>
  <c r="AZ25" i="13"/>
  <c r="AZ27" i="13"/>
  <c r="BH27" i="13"/>
  <c r="AX34" i="17"/>
  <c r="BF34" i="17"/>
  <c r="BF36" i="17"/>
  <c r="AX36" i="17"/>
  <c r="AY42" i="10"/>
  <c r="BG42" i="10"/>
  <c r="AX41" i="36"/>
  <c r="BF41" i="36"/>
  <c r="BB49" i="22"/>
  <c r="BJ49" i="22"/>
  <c r="BJ51" i="22"/>
  <c r="BB51" i="22"/>
  <c r="AZ50" i="38"/>
  <c r="BH50" i="38"/>
  <c r="BI32" i="40"/>
  <c r="BA32" i="40"/>
  <c r="AY40" i="28"/>
  <c r="BG40" i="28"/>
  <c r="AY42" i="28"/>
  <c r="BG42" i="28"/>
  <c r="AX40" i="34"/>
  <c r="BF40" i="34"/>
  <c r="BF42" i="34"/>
  <c r="AX42" i="34"/>
  <c r="BI23" i="32"/>
  <c r="BA23" i="32"/>
  <c r="BI53" i="13"/>
  <c r="BA53" i="13"/>
  <c r="BB51" i="18"/>
  <c r="BJ51" i="18"/>
  <c r="BB50" i="18"/>
  <c r="BJ50" i="18"/>
  <c r="BF49" i="20"/>
  <c r="AX49" i="20"/>
  <c r="BH34" i="23"/>
  <c r="AZ34" i="23"/>
  <c r="AZ36" i="23"/>
  <c r="BH36" i="23"/>
  <c r="BB24" i="28"/>
  <c r="BJ24" i="28"/>
  <c r="BB23" i="28"/>
  <c r="BJ23" i="28"/>
  <c r="BI33" i="24"/>
  <c r="BA33" i="24"/>
  <c r="BH43" i="31"/>
  <c r="AZ43" i="31"/>
  <c r="AZ45" i="31"/>
  <c r="BH45" i="31"/>
  <c r="BA32" i="33"/>
  <c r="BI32" i="33"/>
  <c r="BA31" i="33"/>
  <c r="BI31" i="33"/>
  <c r="BC22" i="34"/>
  <c r="BK22" i="34"/>
  <c r="BB42" i="38"/>
  <c r="BJ42" i="38"/>
  <c r="BB41" i="38"/>
  <c r="BJ41" i="38"/>
  <c r="AY40" i="40"/>
  <c r="BG40" i="40"/>
  <c r="BC33" i="32"/>
  <c r="BK33" i="32"/>
  <c r="BK32" i="32"/>
  <c r="BC32" i="32"/>
  <c r="BH23" i="17"/>
  <c r="AZ23" i="17"/>
  <c r="AZ22" i="17"/>
  <c r="BH22" i="17"/>
  <c r="BA51" i="16"/>
  <c r="BI51" i="16"/>
  <c r="BA50" i="16"/>
  <c r="BI50" i="16"/>
  <c r="AX51" i="21"/>
  <c r="BF51" i="21"/>
  <c r="BK49" i="27"/>
  <c r="BC49" i="27"/>
  <c r="BC33" i="22"/>
  <c r="BK33" i="22"/>
  <c r="BK32" i="22"/>
  <c r="BC32" i="22"/>
  <c r="AZ24" i="29"/>
  <c r="BH24" i="29"/>
  <c r="BB54" i="27"/>
  <c r="BJ54" i="27"/>
  <c r="BJ40" i="32"/>
  <c r="BB40" i="32"/>
  <c r="AY33" i="38"/>
  <c r="BG33" i="38"/>
  <c r="BG32" i="38"/>
  <c r="AY32" i="38"/>
  <c r="BJ31" i="40"/>
  <c r="BB31" i="40"/>
  <c r="AY44" i="39"/>
  <c r="BG44" i="39"/>
  <c r="AX41" i="11"/>
  <c r="BF41" i="11"/>
  <c r="AX40" i="11"/>
  <c r="BF40" i="11"/>
  <c r="BB42" i="16"/>
  <c r="BJ42" i="16"/>
  <c r="BB41" i="16"/>
  <c r="BJ41" i="16"/>
  <c r="AZ49" i="25"/>
  <c r="BH49" i="25"/>
  <c r="BA41" i="35"/>
  <c r="BI41" i="35"/>
  <c r="BA40" i="35"/>
  <c r="BI40" i="35"/>
  <c r="BJ49" i="12"/>
  <c r="BB49" i="12"/>
  <c r="AY35" i="15"/>
  <c r="BG35" i="15"/>
  <c r="BA34" i="19"/>
  <c r="BI34" i="19"/>
  <c r="BA36" i="19"/>
  <c r="BI36" i="19"/>
  <c r="BC24" i="26"/>
  <c r="BK24" i="26"/>
  <c r="BC43" i="33"/>
  <c r="BK43" i="33"/>
  <c r="BC45" i="33"/>
  <c r="BK45" i="33"/>
  <c r="BI35" i="21"/>
  <c r="BA35" i="21"/>
  <c r="AY23" i="26"/>
  <c r="BG23" i="26"/>
  <c r="BG22" i="26"/>
  <c r="AY22" i="26"/>
  <c r="AY31" i="22"/>
  <c r="BG31" i="22"/>
  <c r="N26" i="24"/>
  <c r="N22" i="24"/>
  <c r="N25" i="24"/>
  <c r="N24" i="24"/>
  <c r="N27" i="24"/>
  <c r="N23" i="24"/>
  <c r="BF49" i="30"/>
  <c r="AX49" i="30"/>
  <c r="BB33" i="30"/>
  <c r="BJ33" i="30"/>
  <c r="BB32" i="30"/>
  <c r="BJ32" i="30"/>
  <c r="S33" i="36"/>
  <c r="S36" i="36"/>
  <c r="S32" i="36"/>
  <c r="S35" i="36"/>
  <c r="S31" i="36"/>
  <c r="S34" i="36"/>
  <c r="BC31" i="40"/>
  <c r="BK31" i="40"/>
  <c r="BC33" i="40"/>
  <c r="BK33" i="40"/>
  <c r="BC34" i="12"/>
  <c r="BA24" i="25"/>
  <c r="BI24" i="25"/>
  <c r="BA23" i="25"/>
  <c r="BI23" i="25"/>
  <c r="BF31" i="36"/>
  <c r="AX31" i="36"/>
  <c r="BA32" i="17"/>
  <c r="BI32" i="17"/>
  <c r="BA31" i="17"/>
  <c r="BI31" i="17"/>
  <c r="AZ33" i="21"/>
  <c r="BH33" i="21"/>
  <c r="BB24" i="22"/>
  <c r="BJ24" i="22"/>
  <c r="BB23" i="22"/>
  <c r="BJ23" i="22"/>
  <c r="AZ22" i="38"/>
  <c r="BH22" i="38"/>
  <c r="BA25" i="39"/>
  <c r="BI25" i="39"/>
  <c r="BA27" i="39"/>
  <c r="BI27" i="39"/>
  <c r="AZ26" i="19"/>
  <c r="BH26" i="19"/>
  <c r="AY42" i="37"/>
  <c r="BG42" i="37"/>
  <c r="AX52" i="39"/>
  <c r="BF52" i="39"/>
  <c r="BF54" i="39"/>
  <c r="AX54" i="39"/>
  <c r="BF40" i="16"/>
  <c r="AX40" i="16"/>
  <c r="AX33" i="34"/>
  <c r="BF33" i="34"/>
  <c r="AX32" i="34"/>
  <c r="BF32" i="34"/>
  <c r="BF40" i="22"/>
  <c r="AX40" i="22"/>
  <c r="BA43" i="29"/>
  <c r="BI43" i="29"/>
  <c r="BA45" i="29"/>
  <c r="BI45" i="29"/>
  <c r="AY50" i="41"/>
  <c r="BG50" i="41"/>
  <c r="BG49" i="41"/>
  <c r="AY49" i="41"/>
  <c r="BF42" i="33"/>
  <c r="BF24" i="20"/>
  <c r="AX24" i="20"/>
  <c r="BH45" i="17"/>
  <c r="AZ45" i="17"/>
  <c r="BK26" i="21"/>
  <c r="BC26" i="21"/>
  <c r="BG51" i="27"/>
  <c r="AY51" i="27"/>
  <c r="BB33" i="39"/>
  <c r="BJ33" i="39"/>
  <c r="BA50" i="26"/>
  <c r="BI50" i="26"/>
  <c r="AX25" i="28"/>
  <c r="BF25" i="28"/>
  <c r="BB52" i="36"/>
  <c r="BJ52" i="36"/>
  <c r="AZ34" i="13"/>
  <c r="BH34" i="13"/>
  <c r="BA45" i="13"/>
  <c r="BI45" i="13"/>
  <c r="AY36" i="21"/>
  <c r="BG36" i="21"/>
  <c r="AZ33" i="31"/>
  <c r="BH33" i="31"/>
  <c r="AX50" i="40"/>
  <c r="BF50" i="40"/>
  <c r="AZ36" i="17"/>
  <c r="BH36" i="17"/>
  <c r="BC40" i="23"/>
  <c r="BK40" i="23"/>
  <c r="AX49" i="11"/>
  <c r="BF49" i="11"/>
  <c r="BA50" i="31"/>
  <c r="BI50" i="31"/>
  <c r="AZ53" i="12"/>
  <c r="BH53" i="12"/>
  <c r="BK34" i="25"/>
  <c r="BC34" i="25"/>
  <c r="AX49" i="24"/>
  <c r="BF49" i="24"/>
  <c r="BB27" i="30"/>
  <c r="BJ27" i="30"/>
  <c r="BB25" i="36"/>
  <c r="BJ25" i="36"/>
  <c r="BA49" i="14"/>
  <c r="BI49" i="14"/>
  <c r="BI45" i="23"/>
  <c r="BA45" i="23"/>
  <c r="BJ33" i="22"/>
  <c r="BB33" i="22"/>
  <c r="AX54" i="16"/>
  <c r="BF54" i="16"/>
  <c r="AY45" i="32"/>
  <c r="BG45" i="32"/>
  <c r="BK52" i="34"/>
  <c r="BC52" i="34"/>
  <c r="BB44" i="25"/>
  <c r="BJ44" i="25"/>
  <c r="AZ53" i="17"/>
  <c r="BH53" i="17"/>
  <c r="BA32" i="16"/>
  <c r="BI32" i="16"/>
  <c r="BF25" i="11"/>
  <c r="AX25" i="11"/>
  <c r="BB27" i="16"/>
  <c r="BJ27" i="16"/>
  <c r="N44" i="11"/>
  <c r="N40" i="11"/>
  <c r="N43" i="11"/>
  <c r="N42" i="11"/>
  <c r="N45" i="11"/>
  <c r="N41" i="11"/>
  <c r="AY23" i="16"/>
  <c r="BG23" i="16"/>
  <c r="AZ52" i="30"/>
  <c r="BH52" i="30"/>
  <c r="W35" i="34"/>
  <c r="W31" i="34"/>
  <c r="W34" i="34"/>
  <c r="W33" i="34"/>
  <c r="W36" i="34"/>
  <c r="W32" i="34"/>
  <c r="BB25" i="42"/>
  <c r="BJ25" i="42"/>
  <c r="AY27" i="19"/>
  <c r="BG27" i="19"/>
  <c r="AZ41" i="21"/>
  <c r="BH41" i="21"/>
  <c r="BA42" i="34"/>
  <c r="BI42" i="34"/>
  <c r="BF22" i="16"/>
  <c r="AX22" i="16"/>
  <c r="BA25" i="29"/>
  <c r="BI25" i="29"/>
  <c r="AY45" i="41"/>
  <c r="BG45" i="41"/>
  <c r="AX26" i="10"/>
  <c r="BF26" i="10"/>
  <c r="BA40" i="27"/>
  <c r="BI40" i="27"/>
  <c r="AX45" i="40"/>
  <c r="BF45" i="40"/>
  <c r="AX34" i="12"/>
  <c r="BF34" i="12"/>
  <c r="AX45" i="18"/>
  <c r="BF45" i="18"/>
  <c r="AX52" i="28"/>
  <c r="BF52" i="28"/>
  <c r="AZ27" i="20"/>
  <c r="BH27" i="20"/>
  <c r="BH35" i="22"/>
  <c r="AZ35" i="22"/>
  <c r="O43" i="33"/>
  <c r="O42" i="33"/>
  <c r="O45" i="33"/>
  <c r="O41" i="33"/>
  <c r="O44" i="33"/>
  <c r="O40" i="33"/>
  <c r="S44" i="36"/>
  <c r="S40" i="36"/>
  <c r="S43" i="36"/>
  <c r="S42" i="36"/>
  <c r="S45" i="36"/>
  <c r="S41" i="36"/>
  <c r="BB44" i="41"/>
  <c r="BJ44" i="41"/>
  <c r="BH44" i="40"/>
  <c r="AZ44" i="40"/>
  <c r="BF50" i="10"/>
  <c r="AX50" i="10"/>
  <c r="BA25" i="13"/>
  <c r="BI25" i="13"/>
  <c r="AZ25" i="23"/>
  <c r="BH25" i="23"/>
  <c r="BB45" i="28"/>
  <c r="BJ45" i="28"/>
  <c r="AZ22" i="31"/>
  <c r="BH22" i="31"/>
  <c r="BA52" i="33"/>
  <c r="BI52" i="33"/>
  <c r="BK45" i="34"/>
  <c r="BC45" i="34"/>
  <c r="BA35" i="38"/>
  <c r="BI35" i="38"/>
  <c r="AZ33" i="39"/>
  <c r="BH33" i="39"/>
  <c r="BI43" i="18"/>
  <c r="BA43" i="18"/>
  <c r="BB51" i="25"/>
  <c r="BJ51" i="25"/>
  <c r="BC24" i="31"/>
  <c r="BK24" i="31"/>
  <c r="BH32" i="35"/>
  <c r="AZ32" i="35"/>
  <c r="AX26" i="37"/>
  <c r="BF26" i="37"/>
  <c r="BI27" i="16"/>
  <c r="BA27" i="16"/>
  <c r="BK44" i="27"/>
  <c r="BC44" i="27"/>
  <c r="BB36" i="27"/>
  <c r="BJ36" i="27"/>
  <c r="BB34" i="32"/>
  <c r="BJ34" i="32"/>
  <c r="BB36" i="16"/>
  <c r="BJ36" i="16"/>
  <c r="AZ25" i="25"/>
  <c r="BH25" i="25"/>
  <c r="AY34" i="16"/>
  <c r="BG34" i="16"/>
  <c r="BI49" i="21"/>
  <c r="BA49" i="21"/>
  <c r="AY43" i="26"/>
  <c r="BG43" i="26"/>
  <c r="BG54" i="22"/>
  <c r="AY54" i="22"/>
  <c r="AX27" i="30"/>
  <c r="BF27" i="30"/>
  <c r="R42" i="41"/>
  <c r="R45" i="41"/>
  <c r="R41" i="41"/>
  <c r="R44" i="41"/>
  <c r="R40" i="41"/>
  <c r="R43" i="41"/>
  <c r="AY36" i="19"/>
  <c r="BG36" i="19"/>
  <c r="BA27" i="23"/>
  <c r="BI27" i="23"/>
  <c r="BA22" i="42"/>
  <c r="BI22" i="42"/>
  <c r="AZ22" i="15"/>
  <c r="BH22" i="15"/>
  <c r="BF34" i="26"/>
  <c r="AX34" i="26"/>
  <c r="BB42" i="26"/>
  <c r="BJ42" i="26"/>
  <c r="AY44" i="30"/>
  <c r="BG44" i="30"/>
  <c r="AZ44" i="41"/>
  <c r="BH44" i="41"/>
  <c r="BB36" i="19"/>
  <c r="BJ36" i="19"/>
  <c r="AZ34" i="37"/>
  <c r="BH34" i="37"/>
  <c r="AX36" i="15"/>
  <c r="BF36" i="15"/>
  <c r="BA53" i="28"/>
  <c r="BI53" i="28"/>
  <c r="AY22" i="23"/>
  <c r="BG22" i="23"/>
  <c r="BF34" i="19"/>
  <c r="AX34" i="19"/>
  <c r="AY22" i="24"/>
  <c r="BG22" i="24"/>
  <c r="BJ52" i="31"/>
  <c r="BB52" i="31"/>
  <c r="BA26" i="37"/>
  <c r="BI26" i="37"/>
  <c r="AX41" i="10"/>
  <c r="BF41" i="10"/>
  <c r="AX25" i="13"/>
  <c r="BF25" i="13"/>
  <c r="BF27" i="13"/>
  <c r="AX27" i="13"/>
  <c r="BB22" i="18"/>
  <c r="BJ22" i="18"/>
  <c r="BJ24" i="18"/>
  <c r="BB24" i="18"/>
  <c r="AX26" i="20"/>
  <c r="BF26" i="20"/>
  <c r="AX25" i="20"/>
  <c r="BF25" i="20"/>
  <c r="AZ42" i="17"/>
  <c r="BH42" i="17"/>
  <c r="AX25" i="21"/>
  <c r="BF25" i="21"/>
  <c r="BF27" i="21"/>
  <c r="AX27" i="21"/>
  <c r="BC24" i="21"/>
  <c r="BK24" i="21"/>
  <c r="BC32" i="23"/>
  <c r="BK32" i="23"/>
  <c r="BK31" i="23"/>
  <c r="BC31" i="23"/>
  <c r="BG49" i="27"/>
  <c r="AY49" i="27"/>
  <c r="BB43" i="37"/>
  <c r="BJ43" i="37"/>
  <c r="BJ45" i="37"/>
  <c r="BB45" i="37"/>
  <c r="BB35" i="39"/>
  <c r="BJ35" i="39"/>
  <c r="AY32" i="39"/>
  <c r="BG32" i="39"/>
  <c r="BG31" i="39"/>
  <c r="AY31" i="39"/>
  <c r="BF31" i="18"/>
  <c r="AX31" i="18"/>
  <c r="BA52" i="26"/>
  <c r="BI52" i="26"/>
  <c r="BA54" i="26"/>
  <c r="BI54" i="26"/>
  <c r="BF22" i="27"/>
  <c r="AX22" i="27"/>
  <c r="BA34" i="31"/>
  <c r="BI34" i="31"/>
  <c r="BA36" i="31"/>
  <c r="BI36" i="31"/>
  <c r="BF22" i="28"/>
  <c r="AX22" i="28"/>
  <c r="BI50" i="20"/>
  <c r="BA50" i="20"/>
  <c r="F54" i="25"/>
  <c r="F50" i="25"/>
  <c r="F53" i="25"/>
  <c r="F49" i="25"/>
  <c r="F52" i="25"/>
  <c r="F51" i="25"/>
  <c r="BC51" i="24"/>
  <c r="BK51" i="24"/>
  <c r="BJ49" i="36"/>
  <c r="BB49" i="36"/>
  <c r="R26" i="41"/>
  <c r="R25" i="41"/>
  <c r="R27" i="41"/>
  <c r="R24" i="41"/>
  <c r="R23" i="41"/>
  <c r="R22" i="41"/>
  <c r="BB53" i="41"/>
  <c r="BJ53" i="41"/>
  <c r="BH32" i="13"/>
  <c r="AZ32" i="13"/>
  <c r="AZ31" i="13"/>
  <c r="BH31" i="13"/>
  <c r="BG24" i="10"/>
  <c r="AY24" i="10"/>
  <c r="AY32" i="36"/>
  <c r="BG32" i="36"/>
  <c r="BF41" i="42"/>
  <c r="AX41" i="42"/>
  <c r="AX45" i="42"/>
  <c r="BF45" i="42"/>
  <c r="BI42" i="13"/>
  <c r="BA42" i="13"/>
  <c r="BB41" i="20"/>
  <c r="BJ41" i="20"/>
  <c r="AY31" i="21"/>
  <c r="BG31" i="21"/>
  <c r="BG33" i="21"/>
  <c r="AY33" i="21"/>
  <c r="BA35" i="27"/>
  <c r="BI35" i="27"/>
  <c r="AZ51" i="27"/>
  <c r="BH51" i="27"/>
  <c r="AZ34" i="31"/>
  <c r="BH34" i="31"/>
  <c r="AY27" i="35"/>
  <c r="BG27" i="35"/>
  <c r="BG26" i="35"/>
  <c r="AY26" i="35"/>
  <c r="AZ50" i="39"/>
  <c r="BH50" i="39"/>
  <c r="AX52" i="40"/>
  <c r="BF52" i="40"/>
  <c r="AX54" i="40"/>
  <c r="BF54" i="40"/>
  <c r="BC27" i="32"/>
  <c r="BK27" i="32"/>
  <c r="J34" i="20"/>
  <c r="J33" i="20"/>
  <c r="J36" i="20"/>
  <c r="J32" i="20"/>
  <c r="J35" i="20"/>
  <c r="J31" i="20"/>
  <c r="AZ31" i="17"/>
  <c r="BH31" i="17"/>
  <c r="AZ33" i="17"/>
  <c r="BH33" i="17"/>
  <c r="BF41" i="21"/>
  <c r="AX41" i="21"/>
  <c r="BC43" i="21"/>
  <c r="BK43" i="21"/>
  <c r="BC41" i="23"/>
  <c r="BK41" i="23"/>
  <c r="BK43" i="23"/>
  <c r="BC43" i="23"/>
  <c r="AZ32" i="29"/>
  <c r="BH32" i="29"/>
  <c r="G26" i="32"/>
  <c r="G22" i="32"/>
  <c r="G25" i="32"/>
  <c r="G24" i="32"/>
  <c r="G27" i="32"/>
  <c r="G23" i="32"/>
  <c r="BJ26" i="27"/>
  <c r="BB26" i="27"/>
  <c r="AY49" i="31"/>
  <c r="BG49" i="31"/>
  <c r="BG51" i="31"/>
  <c r="AY51" i="31"/>
  <c r="BC50" i="39"/>
  <c r="BK50" i="39"/>
  <c r="BK49" i="39"/>
  <c r="BC49" i="39"/>
  <c r="AX53" i="11"/>
  <c r="BF53" i="11"/>
  <c r="BJ49" i="14"/>
  <c r="BB49" i="14"/>
  <c r="BA52" i="31"/>
  <c r="BI52" i="31"/>
  <c r="BA54" i="31"/>
  <c r="BI54" i="31"/>
  <c r="BF40" i="28"/>
  <c r="AX40" i="28"/>
  <c r="BH51" i="12"/>
  <c r="AZ51" i="12"/>
  <c r="AZ50" i="12"/>
  <c r="BH50" i="12"/>
  <c r="AY24" i="15"/>
  <c r="BG24" i="15"/>
  <c r="BA41" i="19"/>
  <c r="BI41" i="19"/>
  <c r="BA45" i="19"/>
  <c r="BI45" i="19"/>
  <c r="O51" i="16"/>
  <c r="O54" i="16"/>
  <c r="O50" i="16"/>
  <c r="O53" i="16"/>
  <c r="O49" i="16"/>
  <c r="O52" i="16"/>
  <c r="BC32" i="25"/>
  <c r="BK32" i="25"/>
  <c r="N42" i="26"/>
  <c r="N45" i="26"/>
  <c r="N41" i="26"/>
  <c r="N44" i="26"/>
  <c r="N40" i="26"/>
  <c r="N43" i="26"/>
  <c r="AX53" i="24"/>
  <c r="BF53" i="24"/>
  <c r="O51" i="32"/>
  <c r="O54" i="32"/>
  <c r="O50" i="32"/>
  <c r="O53" i="32"/>
  <c r="O49" i="32"/>
  <c r="O52" i="32"/>
  <c r="AX41" i="30"/>
  <c r="BF41" i="30"/>
  <c r="BB22" i="30"/>
  <c r="BJ22" i="30"/>
  <c r="BJ24" i="30"/>
  <c r="BB24" i="30"/>
  <c r="N54" i="34"/>
  <c r="N50" i="34"/>
  <c r="N53" i="34"/>
  <c r="N49" i="34"/>
  <c r="N52" i="34"/>
  <c r="N51" i="34"/>
  <c r="BB23" i="36"/>
  <c r="BJ23" i="36"/>
  <c r="BA53" i="14"/>
  <c r="BI53" i="14"/>
  <c r="BA52" i="14"/>
  <c r="BI52" i="14"/>
  <c r="AY43" i="19"/>
  <c r="BG43" i="19"/>
  <c r="BG42" i="19"/>
  <c r="AY42" i="19"/>
  <c r="BI40" i="23"/>
  <c r="BA40" i="23"/>
  <c r="BB35" i="22"/>
  <c r="BJ35" i="22"/>
  <c r="BB34" i="22"/>
  <c r="BJ34" i="22"/>
  <c r="BH31" i="38"/>
  <c r="AZ31" i="38"/>
  <c r="AZ33" i="38"/>
  <c r="BH33" i="38"/>
  <c r="AX49" i="16"/>
  <c r="BF49" i="16"/>
  <c r="BF51" i="16"/>
  <c r="AX51" i="16"/>
  <c r="AX23" i="34"/>
  <c r="BF23" i="34"/>
  <c r="AX49" i="22"/>
  <c r="BF49" i="22"/>
  <c r="BF51" i="22"/>
  <c r="AX51" i="22"/>
  <c r="BK32" i="20"/>
  <c r="BB33" i="13"/>
  <c r="BJ33" i="13"/>
  <c r="BI23" i="27"/>
  <c r="BA23" i="27"/>
  <c r="AY40" i="32"/>
  <c r="BG40" i="32"/>
  <c r="AY42" i="32"/>
  <c r="BG42" i="32"/>
  <c r="BC23" i="28"/>
  <c r="BK23" i="28"/>
  <c r="BH31" i="27"/>
  <c r="AZ31" i="27"/>
  <c r="AZ33" i="27"/>
  <c r="BH33" i="27"/>
  <c r="BC50" i="34"/>
  <c r="BK50" i="34"/>
  <c r="BB49" i="38"/>
  <c r="BJ49" i="38"/>
  <c r="BJ51" i="38"/>
  <c r="BB51" i="38"/>
  <c r="BA49" i="18"/>
  <c r="BI49" i="18"/>
  <c r="BA51" i="18"/>
  <c r="BI51" i="18"/>
  <c r="BB41" i="25"/>
  <c r="BJ41" i="25"/>
  <c r="BC32" i="11"/>
  <c r="BK32" i="11"/>
  <c r="AX44" i="12"/>
  <c r="BF44" i="12"/>
  <c r="AX43" i="12"/>
  <c r="BF43" i="12"/>
  <c r="BC54" i="14"/>
  <c r="BK54" i="14"/>
  <c r="K27" i="11"/>
  <c r="K23" i="11"/>
  <c r="K26" i="11"/>
  <c r="K22" i="11"/>
  <c r="K25" i="11"/>
  <c r="K24" i="11"/>
  <c r="G36" i="23"/>
  <c r="G32" i="23"/>
  <c r="G35" i="23"/>
  <c r="G31" i="23"/>
  <c r="G34" i="23"/>
  <c r="G33" i="23"/>
  <c r="AZ50" i="17"/>
  <c r="BH50" i="17"/>
  <c r="BI34" i="16"/>
  <c r="BA34" i="16"/>
  <c r="BA36" i="16"/>
  <c r="BI36" i="16"/>
  <c r="BF34" i="21"/>
  <c r="AX34" i="21"/>
  <c r="AY23" i="31"/>
  <c r="BG23" i="31"/>
  <c r="BG22" i="31"/>
  <c r="AY22" i="31"/>
  <c r="AY26" i="39"/>
  <c r="BG26" i="39"/>
  <c r="AX23" i="11"/>
  <c r="BF23" i="11"/>
  <c r="AX22" i="11"/>
  <c r="BF22" i="11"/>
  <c r="BJ22" i="16"/>
  <c r="BB22" i="16"/>
  <c r="BH33" i="25"/>
  <c r="AZ33" i="25"/>
  <c r="AZ32" i="25"/>
  <c r="BH32" i="25"/>
  <c r="BI24" i="31"/>
  <c r="BA24" i="31"/>
  <c r="O43" i="11"/>
  <c r="O42" i="11"/>
  <c r="O45" i="11"/>
  <c r="O41" i="11"/>
  <c r="O44" i="11"/>
  <c r="O40" i="11"/>
  <c r="AZ27" i="12"/>
  <c r="BH27" i="12"/>
  <c r="AY27" i="16"/>
  <c r="BG27" i="16"/>
  <c r="AY41" i="22"/>
  <c r="BG41" i="22"/>
  <c r="BC44" i="24"/>
  <c r="BK44" i="24"/>
  <c r="AZ49" i="30"/>
  <c r="BH49" i="30"/>
  <c r="J27" i="42"/>
  <c r="J23" i="42"/>
  <c r="J26" i="42"/>
  <c r="J22" i="42"/>
  <c r="J25" i="42"/>
  <c r="J24" i="42"/>
  <c r="BB23" i="42"/>
  <c r="BJ23" i="42"/>
  <c r="AY24" i="19"/>
  <c r="BG24" i="19"/>
  <c r="BA51" i="23"/>
  <c r="BI51" i="23"/>
  <c r="BA50" i="23"/>
  <c r="BI50" i="23"/>
  <c r="S51" i="12"/>
  <c r="S54" i="12"/>
  <c r="S50" i="12"/>
  <c r="S53" i="12"/>
  <c r="S49" i="12"/>
  <c r="S52" i="12"/>
  <c r="BI44" i="17"/>
  <c r="BA44" i="17"/>
  <c r="BH43" i="21"/>
  <c r="AZ43" i="21"/>
  <c r="AZ45" i="21"/>
  <c r="BH45" i="21"/>
  <c r="BA54" i="39"/>
  <c r="BI54" i="39"/>
  <c r="BA53" i="39"/>
  <c r="BI53" i="39"/>
  <c r="AZ42" i="19"/>
  <c r="BH42" i="19"/>
  <c r="BI43" i="34"/>
  <c r="BA43" i="34"/>
  <c r="BA45" i="34"/>
  <c r="BI45" i="34"/>
  <c r="AY25" i="37"/>
  <c r="BG25" i="37"/>
  <c r="AX31" i="39"/>
  <c r="BF31" i="39"/>
  <c r="AX33" i="39"/>
  <c r="BF33" i="39"/>
  <c r="BF26" i="16"/>
  <c r="AX26" i="16"/>
  <c r="BF26" i="22"/>
  <c r="AX26" i="22"/>
  <c r="BI22" i="29"/>
  <c r="BA22" i="29"/>
  <c r="BA24" i="29"/>
  <c r="BI24" i="29"/>
  <c r="AY40" i="41"/>
  <c r="BG40" i="41"/>
  <c r="BG42" i="41"/>
  <c r="AY42" i="41"/>
  <c r="BF34" i="13"/>
  <c r="AX34" i="13"/>
  <c r="AX23" i="10"/>
  <c r="BF23" i="10"/>
  <c r="AX27" i="10"/>
  <c r="BF27" i="10"/>
  <c r="BH44" i="18"/>
  <c r="AZ44" i="18"/>
  <c r="AZ43" i="18"/>
  <c r="BH43" i="18"/>
  <c r="BI44" i="27"/>
  <c r="BA44" i="27"/>
  <c r="BA45" i="27"/>
  <c r="BI45" i="27"/>
  <c r="BH31" i="28"/>
  <c r="AZ31" i="28"/>
  <c r="AZ33" i="28"/>
  <c r="BH33" i="28"/>
  <c r="AX40" i="40"/>
  <c r="BF40" i="40"/>
  <c r="BF42" i="40"/>
  <c r="AX42" i="40"/>
  <c r="BB42" i="11"/>
  <c r="BJ42" i="11"/>
  <c r="BF31" i="12"/>
  <c r="AX31" i="12"/>
  <c r="BC24" i="14"/>
  <c r="BK24" i="14"/>
  <c r="BK23" i="14"/>
  <c r="BC23" i="14"/>
  <c r="AX40" i="18"/>
  <c r="BF40" i="18"/>
  <c r="BF42" i="18"/>
  <c r="AX42" i="18"/>
  <c r="AX31" i="27"/>
  <c r="BF31" i="27"/>
  <c r="BF33" i="27"/>
  <c r="AX33" i="27"/>
  <c r="AX50" i="28"/>
  <c r="BF50" i="28"/>
  <c r="BH40" i="12"/>
  <c r="AZ40" i="12"/>
  <c r="AZ42" i="12"/>
  <c r="BH42" i="12"/>
  <c r="BH22" i="20"/>
  <c r="AZ22" i="20"/>
  <c r="AZ24" i="20"/>
  <c r="BH24" i="20"/>
  <c r="AZ32" i="22"/>
  <c r="BH32" i="22"/>
  <c r="N33" i="24"/>
  <c r="N36" i="24"/>
  <c r="N32" i="24"/>
  <c r="N35" i="24"/>
  <c r="N31" i="24"/>
  <c r="N34" i="24"/>
  <c r="BH22" i="30"/>
  <c r="AZ22" i="30"/>
  <c r="AZ24" i="30"/>
  <c r="BH24" i="30"/>
  <c r="BB33" i="36"/>
  <c r="BJ33" i="36"/>
  <c r="BB32" i="36"/>
  <c r="BJ32" i="36"/>
  <c r="BB42" i="41"/>
  <c r="BJ42" i="41"/>
  <c r="BB33" i="42"/>
  <c r="BJ33" i="42"/>
  <c r="BB32" i="42"/>
  <c r="BJ32" i="42"/>
  <c r="AY50" i="19"/>
  <c r="BG50" i="19"/>
  <c r="BG49" i="19"/>
  <c r="AY49" i="19"/>
  <c r="AZ41" i="40"/>
  <c r="BH41" i="40"/>
  <c r="BF51" i="10"/>
  <c r="AX51" i="10"/>
  <c r="BA23" i="13"/>
  <c r="BI23" i="13"/>
  <c r="BA22" i="13"/>
  <c r="BI22" i="13"/>
  <c r="AX51" i="14"/>
  <c r="BF51" i="14"/>
  <c r="AX50" i="14"/>
  <c r="BF50" i="14"/>
  <c r="BH23" i="23"/>
  <c r="AZ23" i="23"/>
  <c r="AZ22" i="23"/>
  <c r="BH22" i="23"/>
  <c r="BJ40" i="28"/>
  <c r="BB40" i="28"/>
  <c r="BA50" i="24"/>
  <c r="BI50" i="24"/>
  <c r="BA49" i="24"/>
  <c r="BI49" i="24"/>
  <c r="AZ26" i="31"/>
  <c r="BH26" i="31"/>
  <c r="BA50" i="33"/>
  <c r="BI50" i="33"/>
  <c r="BA49" i="33"/>
  <c r="BI49" i="33"/>
  <c r="BC40" i="34"/>
  <c r="BK40" i="34"/>
  <c r="BA33" i="38"/>
  <c r="BI33" i="38"/>
  <c r="BA32" i="38"/>
  <c r="BI32" i="38"/>
  <c r="AZ35" i="39"/>
  <c r="BH35" i="39"/>
  <c r="AX33" i="40"/>
  <c r="BF33" i="40"/>
  <c r="AX32" i="40"/>
  <c r="BF32" i="40"/>
  <c r="BA40" i="18"/>
  <c r="BI40" i="18"/>
  <c r="BB52" i="25"/>
  <c r="BJ52" i="25"/>
  <c r="BB54" i="25"/>
  <c r="BJ54" i="25"/>
  <c r="BC25" i="31"/>
  <c r="BK25" i="31"/>
  <c r="BH36" i="35"/>
  <c r="AZ36" i="35"/>
  <c r="AZ35" i="35"/>
  <c r="BH35" i="35"/>
  <c r="BF23" i="37"/>
  <c r="AX23" i="37"/>
  <c r="AY52" i="13"/>
  <c r="BG52" i="13"/>
  <c r="AY54" i="13"/>
  <c r="BG54" i="13"/>
  <c r="BA22" i="16"/>
  <c r="BI22" i="16"/>
  <c r="BA24" i="16"/>
  <c r="BI24" i="16"/>
  <c r="BC41" i="27"/>
  <c r="BK41" i="27"/>
  <c r="BB31" i="27"/>
  <c r="BJ31" i="27"/>
  <c r="BJ33" i="27"/>
  <c r="BB33" i="27"/>
  <c r="BB32" i="32"/>
  <c r="BJ32" i="32"/>
  <c r="BB31" i="16"/>
  <c r="BJ31" i="16"/>
  <c r="BJ33" i="16"/>
  <c r="BB33" i="16"/>
  <c r="AZ23" i="25"/>
  <c r="BH23" i="25"/>
  <c r="BH33" i="12"/>
  <c r="AZ33" i="12"/>
  <c r="AZ32" i="12"/>
  <c r="BH32" i="12"/>
  <c r="BA41" i="15"/>
  <c r="BI41" i="15"/>
  <c r="BA40" i="15"/>
  <c r="BI40" i="15"/>
  <c r="AY31" i="16"/>
  <c r="BG31" i="16"/>
  <c r="BC32" i="33"/>
  <c r="BK32" i="33"/>
  <c r="BK31" i="33"/>
  <c r="BC31" i="33"/>
  <c r="BI53" i="21"/>
  <c r="BA53" i="21"/>
  <c r="AY41" i="26"/>
  <c r="BG41" i="26"/>
  <c r="BG40" i="26"/>
  <c r="AY40" i="26"/>
  <c r="AY49" i="22"/>
  <c r="BG49" i="22"/>
  <c r="F36" i="25"/>
  <c r="F32" i="25"/>
  <c r="F35" i="25"/>
  <c r="F31" i="25"/>
  <c r="F34" i="25"/>
  <c r="F33" i="25"/>
  <c r="AX22" i="30"/>
  <c r="BF22" i="30"/>
  <c r="BF24" i="30"/>
  <c r="AX24" i="30"/>
  <c r="S45" i="41"/>
  <c r="S41" i="41"/>
  <c r="S44" i="41"/>
  <c r="S40" i="41"/>
  <c r="S43" i="41"/>
  <c r="S42" i="41"/>
  <c r="BB45" i="42"/>
  <c r="BJ45" i="42"/>
  <c r="BI36" i="14"/>
  <c r="BA36" i="14"/>
  <c r="AY31" i="19"/>
  <c r="BG31" i="19"/>
  <c r="BG33" i="19"/>
  <c r="AY33" i="19"/>
  <c r="BI22" i="23"/>
  <c r="BA22" i="23"/>
  <c r="BA24" i="23"/>
  <c r="BI24" i="23"/>
  <c r="BA26" i="42"/>
  <c r="BI26" i="42"/>
  <c r="AZ26" i="15"/>
  <c r="BH26" i="15"/>
  <c r="AX32" i="26"/>
  <c r="BF32" i="26"/>
  <c r="AX31" i="26"/>
  <c r="BF31" i="26"/>
  <c r="BB44" i="26"/>
  <c r="BJ44" i="26"/>
  <c r="AY42" i="30"/>
  <c r="BG42" i="30"/>
  <c r="BG41" i="30"/>
  <c r="AY41" i="30"/>
  <c r="AZ42" i="41"/>
  <c r="BH42" i="41"/>
  <c r="AY42" i="14"/>
  <c r="BG42" i="14"/>
  <c r="BG41" i="14"/>
  <c r="AY41" i="14"/>
  <c r="BB33" i="19"/>
  <c r="BJ33" i="19"/>
  <c r="BH32" i="37"/>
  <c r="AZ32" i="37"/>
  <c r="AZ31" i="37"/>
  <c r="BH31" i="37"/>
  <c r="AX33" i="15"/>
  <c r="BF33" i="15"/>
  <c r="BA51" i="28"/>
  <c r="BI51" i="28"/>
  <c r="BA50" i="28"/>
  <c r="BI50" i="28"/>
  <c r="BH33" i="40"/>
  <c r="AZ33" i="40"/>
  <c r="AZ32" i="40"/>
  <c r="BH32" i="40"/>
  <c r="AY26" i="23"/>
  <c r="BG26" i="23"/>
  <c r="AX32" i="19"/>
  <c r="BF32" i="19"/>
  <c r="AX31" i="19"/>
  <c r="BF31" i="19"/>
  <c r="AY26" i="24"/>
  <c r="BG26" i="24"/>
  <c r="BB50" i="31"/>
  <c r="BJ50" i="31"/>
  <c r="BB49" i="31"/>
  <c r="BJ49" i="31"/>
  <c r="BI24" i="37"/>
  <c r="BA24" i="37"/>
  <c r="BB50" i="13"/>
  <c r="BJ50" i="13"/>
  <c r="BB49" i="13"/>
  <c r="BJ49" i="13"/>
  <c r="AX42" i="10"/>
  <c r="BF42" i="10"/>
  <c r="BB40" i="23"/>
  <c r="BJ40" i="23"/>
  <c r="AX45" i="20"/>
  <c r="BF45" i="20"/>
  <c r="BB36" i="28"/>
  <c r="BJ36" i="28"/>
  <c r="AY54" i="40"/>
  <c r="BG54" i="40"/>
  <c r="BC35" i="16"/>
  <c r="BK35" i="16"/>
  <c r="BI34" i="22"/>
  <c r="BA34" i="22"/>
  <c r="BA36" i="22"/>
  <c r="BI36" i="22"/>
  <c r="AY43" i="34"/>
  <c r="BG43" i="34"/>
  <c r="BG45" i="34"/>
  <c r="AY45" i="34"/>
  <c r="J52" i="20"/>
  <c r="J51" i="20"/>
  <c r="J54" i="20"/>
  <c r="J50" i="20"/>
  <c r="J53" i="20"/>
  <c r="J49" i="20"/>
  <c r="AY27" i="13"/>
  <c r="BG27" i="13"/>
  <c r="BG26" i="13"/>
  <c r="AY26" i="13"/>
  <c r="BA44" i="16"/>
  <c r="BI44" i="16"/>
  <c r="BA43" i="16"/>
  <c r="BI43" i="16"/>
  <c r="BC23" i="22"/>
  <c r="BK23" i="22"/>
  <c r="AY22" i="27"/>
  <c r="BG22" i="27"/>
  <c r="AY24" i="27"/>
  <c r="BG24" i="27"/>
  <c r="G51" i="32"/>
  <c r="G54" i="32"/>
  <c r="G50" i="32"/>
  <c r="G53" i="32"/>
  <c r="G49" i="32"/>
  <c r="G52" i="32"/>
  <c r="BB40" i="12"/>
  <c r="BJ40" i="12"/>
  <c r="BJ42" i="12"/>
  <c r="BB42" i="12"/>
  <c r="V42" i="15"/>
  <c r="V45" i="15"/>
  <c r="V41" i="15"/>
  <c r="V44" i="15"/>
  <c r="V40" i="15"/>
  <c r="V43" i="15"/>
  <c r="BA42" i="20"/>
  <c r="BI42" i="20"/>
  <c r="BA41" i="20"/>
  <c r="BI41" i="20"/>
  <c r="BC34" i="26"/>
  <c r="BK34" i="26"/>
  <c r="BC36" i="26"/>
  <c r="BK36" i="26"/>
  <c r="AZ31" i="20"/>
  <c r="BH31" i="20"/>
  <c r="BB33" i="21"/>
  <c r="BJ33" i="21"/>
  <c r="BH24" i="22"/>
  <c r="AZ24" i="22"/>
  <c r="AZ23" i="22"/>
  <c r="BH23" i="22"/>
  <c r="O33" i="32"/>
  <c r="O36" i="32"/>
  <c r="O32" i="32"/>
  <c r="O35" i="32"/>
  <c r="O31" i="32"/>
  <c r="O34" i="32"/>
  <c r="BB35" i="33"/>
  <c r="BJ35" i="33"/>
  <c r="N36" i="34"/>
  <c r="N32" i="34"/>
  <c r="N35" i="34"/>
  <c r="N31" i="34"/>
  <c r="N34" i="34"/>
  <c r="N33" i="34"/>
  <c r="BC24" i="40"/>
  <c r="BK24" i="40"/>
  <c r="BK23" i="40"/>
  <c r="BC23" i="40"/>
  <c r="BB53" i="42"/>
  <c r="BJ53" i="42"/>
  <c r="AX41" i="17"/>
  <c r="BF41" i="17"/>
  <c r="AX40" i="17"/>
  <c r="BF40" i="17"/>
  <c r="BB24" i="10"/>
  <c r="BJ24" i="10"/>
  <c r="BI36" i="25"/>
  <c r="BA36" i="25"/>
  <c r="BA35" i="42"/>
  <c r="BI35" i="42"/>
  <c r="BI36" i="42"/>
  <c r="BA36" i="42"/>
  <c r="BA23" i="17"/>
  <c r="BI23" i="17"/>
  <c r="AZ22" i="21"/>
  <c r="BH22" i="21"/>
  <c r="AZ24" i="21"/>
  <c r="BH24" i="21"/>
  <c r="BA34" i="39"/>
  <c r="BI34" i="39"/>
  <c r="BH36" i="19"/>
  <c r="AZ36" i="19"/>
  <c r="AZ35" i="19"/>
  <c r="BH35" i="19"/>
  <c r="BA26" i="34"/>
  <c r="BI26" i="34"/>
  <c r="BI43" i="40"/>
  <c r="BA43" i="40"/>
  <c r="BA45" i="40"/>
  <c r="BI45" i="40"/>
  <c r="AY53" i="28"/>
  <c r="BG53" i="28"/>
  <c r="AY49" i="37"/>
  <c r="BG49" i="37"/>
  <c r="BG51" i="37"/>
  <c r="AY51" i="37"/>
  <c r="BF43" i="39"/>
  <c r="AX43" i="39"/>
  <c r="BA52" i="29"/>
  <c r="BI52" i="29"/>
  <c r="BI52" i="32"/>
  <c r="BA52" i="32"/>
  <c r="BA54" i="32"/>
  <c r="BI54" i="32"/>
  <c r="BG22" i="41"/>
  <c r="AY22" i="41"/>
  <c r="BI31" i="13"/>
  <c r="BA31" i="13"/>
  <c r="BA33" i="13"/>
  <c r="BI33" i="13"/>
  <c r="BJ35" i="18"/>
  <c r="BB35" i="18"/>
  <c r="AY49" i="21"/>
  <c r="BG49" i="21"/>
  <c r="BG51" i="21"/>
  <c r="AY51" i="21"/>
  <c r="AZ51" i="31"/>
  <c r="BH51" i="31"/>
  <c r="AY41" i="35"/>
  <c r="BG41" i="35"/>
  <c r="BG40" i="35"/>
  <c r="AY40" i="35"/>
  <c r="O24" i="36"/>
  <c r="O27" i="36"/>
  <c r="O23" i="36"/>
  <c r="O26" i="36"/>
  <c r="O22" i="36"/>
  <c r="O25" i="36"/>
  <c r="AY24" i="40"/>
  <c r="BG24" i="40"/>
  <c r="BG23" i="40"/>
  <c r="AY23" i="40"/>
  <c r="BC31" i="31"/>
  <c r="BK31" i="31"/>
  <c r="BK33" i="31"/>
  <c r="BC33" i="31"/>
  <c r="AZ23" i="35"/>
  <c r="BH23" i="35"/>
  <c r="K52" i="11"/>
  <c r="K51" i="11"/>
  <c r="K54" i="11"/>
  <c r="K50" i="11"/>
  <c r="K53" i="11"/>
  <c r="K49" i="11"/>
  <c r="AX26" i="18"/>
  <c r="BF26" i="18"/>
  <c r="AX25" i="18"/>
  <c r="BF25" i="18"/>
  <c r="O25" i="11"/>
  <c r="O24" i="11"/>
  <c r="O27" i="11"/>
  <c r="O23" i="11"/>
  <c r="O26" i="11"/>
  <c r="O22" i="11"/>
  <c r="AY45" i="15"/>
  <c r="BG45" i="15"/>
  <c r="BG44" i="15"/>
  <c r="AY44" i="15"/>
  <c r="BA25" i="19"/>
  <c r="BI25" i="19"/>
  <c r="BC50" i="26"/>
  <c r="BK50" i="26"/>
  <c r="BK22" i="33"/>
  <c r="BC22" i="33"/>
  <c r="BA45" i="21"/>
  <c r="BI45" i="21"/>
  <c r="BA44" i="21"/>
  <c r="BI44" i="21"/>
  <c r="AY50" i="26"/>
  <c r="BG50" i="26"/>
  <c r="BF43" i="24"/>
  <c r="AX43" i="24"/>
  <c r="BB41" i="30"/>
  <c r="BJ41" i="30"/>
  <c r="BB22" i="41"/>
  <c r="BJ22" i="41"/>
  <c r="BJ27" i="41"/>
  <c r="BB27" i="41"/>
  <c r="BA26" i="14"/>
  <c r="BI26" i="14"/>
  <c r="BA53" i="25"/>
  <c r="BI53" i="25"/>
  <c r="BA52" i="25"/>
  <c r="BI52" i="25"/>
  <c r="R34" i="12"/>
  <c r="R33" i="12"/>
  <c r="R36" i="12"/>
  <c r="R32" i="12"/>
  <c r="R35" i="12"/>
  <c r="R31" i="12"/>
  <c r="AY53" i="30"/>
  <c r="BG53" i="30"/>
  <c r="BG52" i="30"/>
  <c r="AY52" i="30"/>
  <c r="AY50" i="14"/>
  <c r="BG50" i="14"/>
  <c r="BI41" i="28"/>
  <c r="BA41" i="28"/>
  <c r="AZ23" i="40"/>
  <c r="BH23" i="40"/>
  <c r="BF31" i="14"/>
  <c r="AX31" i="14"/>
  <c r="AY24" i="21"/>
  <c r="BG24" i="21"/>
  <c r="AY33" i="32"/>
  <c r="BG33" i="32"/>
  <c r="BG32" i="32"/>
  <c r="AY32" i="32"/>
  <c r="BC31" i="28"/>
  <c r="BK31" i="28"/>
  <c r="BH24" i="27"/>
  <c r="AZ24" i="27"/>
  <c r="AZ23" i="27"/>
  <c r="BH23" i="27"/>
  <c r="AY35" i="35"/>
  <c r="BG35" i="35"/>
  <c r="AX50" i="35"/>
  <c r="BF50" i="35"/>
  <c r="AX49" i="35"/>
  <c r="BF49" i="35"/>
  <c r="BA49" i="38"/>
  <c r="BI49" i="38"/>
  <c r="BH41" i="39"/>
  <c r="AZ41" i="39"/>
  <c r="AZ40" i="39"/>
  <c r="BH40" i="39"/>
  <c r="AX52" i="41"/>
  <c r="BF52" i="41"/>
  <c r="BF54" i="41"/>
  <c r="AX54" i="41"/>
  <c r="BA24" i="18"/>
  <c r="BI24" i="18"/>
  <c r="BA23" i="18"/>
  <c r="BI23" i="18"/>
  <c r="BJ31" i="25"/>
  <c r="BB31" i="25"/>
  <c r="J35" i="29"/>
  <c r="J31" i="29"/>
  <c r="J34" i="29"/>
  <c r="J33" i="29"/>
  <c r="J36" i="29"/>
  <c r="J32" i="29"/>
  <c r="BC53" i="31"/>
  <c r="BK53" i="31"/>
  <c r="BH43" i="35"/>
  <c r="AZ43" i="35"/>
  <c r="AZ45" i="35"/>
  <c r="BH45" i="35"/>
  <c r="AX51" i="37"/>
  <c r="BF51" i="37"/>
  <c r="AY44" i="17"/>
  <c r="BG44" i="17"/>
  <c r="BC52" i="21"/>
  <c r="BK52" i="21"/>
  <c r="BC54" i="21"/>
  <c r="BK54" i="21"/>
  <c r="BC26" i="23"/>
  <c r="BK26" i="23"/>
  <c r="BB24" i="24"/>
  <c r="BJ24" i="24"/>
  <c r="AY35" i="27"/>
  <c r="BG35" i="27"/>
  <c r="AY45" i="31"/>
  <c r="BG45" i="31"/>
  <c r="BG44" i="31"/>
  <c r="AY44" i="31"/>
  <c r="BJ23" i="37"/>
  <c r="BB23" i="37"/>
  <c r="BB45" i="39"/>
  <c r="BJ45" i="39"/>
  <c r="BB44" i="39"/>
  <c r="BJ44" i="39"/>
  <c r="BC41" i="39"/>
  <c r="BK41" i="39"/>
  <c r="BA32" i="26"/>
  <c r="BI32" i="26"/>
  <c r="BA45" i="31"/>
  <c r="BI45" i="31"/>
  <c r="BA44" i="31"/>
  <c r="BI44" i="31"/>
  <c r="BA25" i="15"/>
  <c r="BI25" i="15"/>
  <c r="BC26" i="25"/>
  <c r="BK26" i="25"/>
  <c r="BB22" i="21"/>
  <c r="BJ22" i="21"/>
  <c r="BB24" i="21"/>
  <c r="BJ24" i="21"/>
  <c r="BF25" i="24"/>
  <c r="AX25" i="24"/>
  <c r="O54" i="24"/>
  <c r="O50" i="24"/>
  <c r="O53" i="24"/>
  <c r="O49" i="24"/>
  <c r="O52" i="24"/>
  <c r="O51" i="24"/>
  <c r="BC34" i="24"/>
  <c r="BK34" i="24"/>
  <c r="BB22" i="33"/>
  <c r="BJ22" i="33"/>
  <c r="BJ25" i="33"/>
  <c r="BB25" i="33"/>
  <c r="R27" i="36"/>
  <c r="R23" i="36"/>
  <c r="R26" i="36"/>
  <c r="R22" i="36"/>
  <c r="R25" i="36"/>
  <c r="R24" i="36"/>
  <c r="AZ23" i="42"/>
  <c r="BH23" i="42"/>
  <c r="BA40" i="14"/>
  <c r="BI40" i="14"/>
  <c r="BA32" i="23"/>
  <c r="BI32" i="23"/>
  <c r="BA31" i="23"/>
  <c r="BI31" i="23"/>
  <c r="BI44" i="42"/>
  <c r="BA44" i="42"/>
  <c r="AZ51" i="15"/>
  <c r="BH51" i="15"/>
  <c r="AX43" i="26"/>
  <c r="BF43" i="26"/>
  <c r="BF45" i="26"/>
  <c r="AX45" i="26"/>
  <c r="BB26" i="26"/>
  <c r="BJ26" i="26"/>
  <c r="AY24" i="30"/>
  <c r="BG24" i="30"/>
  <c r="BG23" i="30"/>
  <c r="AY23" i="30"/>
  <c r="AZ53" i="41"/>
  <c r="BH53" i="41"/>
  <c r="AY24" i="14"/>
  <c r="BG24" i="14"/>
  <c r="BG23" i="14"/>
  <c r="AY23" i="14"/>
  <c r="BB53" i="19"/>
  <c r="BJ53" i="19"/>
  <c r="BH43" i="37"/>
  <c r="AZ43" i="37"/>
  <c r="AZ45" i="37"/>
  <c r="BH45" i="37"/>
  <c r="AX44" i="15"/>
  <c r="BF44" i="15"/>
  <c r="BA33" i="28"/>
  <c r="BI33" i="28"/>
  <c r="BA32" i="28"/>
  <c r="BI32" i="28"/>
  <c r="AY40" i="36"/>
  <c r="BG40" i="36"/>
  <c r="AY49" i="23"/>
  <c r="BG49" i="23"/>
  <c r="AX52" i="19"/>
  <c r="BF52" i="19"/>
  <c r="BF54" i="19"/>
  <c r="AX54" i="19"/>
  <c r="AY51" i="24"/>
  <c r="BG51" i="24"/>
  <c r="BB43" i="31"/>
  <c r="BJ43" i="31"/>
  <c r="BJ45" i="31"/>
  <c r="BB45" i="31"/>
  <c r="BI53" i="37"/>
  <c r="BA53" i="37"/>
  <c r="AX52" i="42"/>
  <c r="BF52" i="42"/>
  <c r="BF54" i="42"/>
  <c r="AX54" i="42"/>
  <c r="BB44" i="13"/>
  <c r="BJ44" i="13"/>
  <c r="BH49" i="28"/>
  <c r="AZ49" i="28"/>
  <c r="AZ51" i="28"/>
  <c r="BH51" i="28"/>
  <c r="BB31" i="38"/>
  <c r="BJ31" i="38"/>
  <c r="BJ33" i="38"/>
  <c r="BB33" i="38"/>
  <c r="AY32" i="40"/>
  <c r="BG32" i="40"/>
  <c r="BC41" i="16"/>
  <c r="BK41" i="16"/>
  <c r="BA40" i="22"/>
  <c r="BI40" i="22"/>
  <c r="BA42" i="22"/>
  <c r="BI42" i="22"/>
  <c r="AY36" i="17"/>
  <c r="BG36" i="17"/>
  <c r="BG35" i="17"/>
  <c r="AY35" i="17"/>
  <c r="BC52" i="22"/>
  <c r="BK52" i="22"/>
  <c r="BK54" i="22"/>
  <c r="BC54" i="22"/>
  <c r="AZ42" i="29"/>
  <c r="BH42" i="29"/>
  <c r="AY34" i="31"/>
  <c r="BG34" i="31"/>
  <c r="AY36" i="31"/>
  <c r="BG36" i="31"/>
  <c r="AY49" i="38"/>
  <c r="BG49" i="38"/>
  <c r="BB51" i="40"/>
  <c r="BJ51" i="40"/>
  <c r="BB50" i="40"/>
  <c r="BJ50" i="40"/>
  <c r="BC33" i="39"/>
  <c r="BK33" i="39"/>
  <c r="AX35" i="11"/>
  <c r="BF35" i="11"/>
  <c r="BB33" i="14"/>
  <c r="BJ33" i="14"/>
  <c r="BB32" i="14"/>
  <c r="BJ32" i="14"/>
  <c r="BI31" i="35"/>
  <c r="BA31" i="35"/>
  <c r="BA33" i="35"/>
  <c r="BI33" i="35"/>
  <c r="BB27" i="12"/>
  <c r="BJ27" i="12"/>
  <c r="BH44" i="20"/>
  <c r="AZ44" i="20"/>
  <c r="AZ43" i="20"/>
  <c r="BH43" i="20"/>
  <c r="AZ54" i="22"/>
  <c r="BH54" i="22"/>
  <c r="G27" i="31"/>
  <c r="G23" i="31"/>
  <c r="G26" i="31"/>
  <c r="G22" i="31"/>
  <c r="G25" i="31"/>
  <c r="G24" i="31"/>
  <c r="BB52" i="30"/>
  <c r="BJ52" i="30"/>
  <c r="BB54" i="30"/>
  <c r="BJ54" i="30"/>
  <c r="BB45" i="33"/>
  <c r="BJ45" i="33"/>
  <c r="BB44" i="33"/>
  <c r="BJ44" i="33"/>
  <c r="R53" i="41"/>
  <c r="R49" i="41"/>
  <c r="R52" i="41"/>
  <c r="R51" i="41"/>
  <c r="R54" i="41"/>
  <c r="R50" i="41"/>
  <c r="BF25" i="17"/>
  <c r="AX25" i="17"/>
  <c r="BI54" i="34"/>
  <c r="BA54" i="34"/>
  <c r="AX35" i="16"/>
  <c r="BF35" i="16"/>
  <c r="AX34" i="16"/>
  <c r="BF34" i="16"/>
  <c r="AX35" i="22"/>
  <c r="BF35" i="22"/>
  <c r="AX34" i="22"/>
  <c r="BF34" i="22"/>
  <c r="AY32" i="41"/>
  <c r="BG32" i="41"/>
  <c r="AZ53" i="18"/>
  <c r="BH53" i="18"/>
  <c r="AZ43" i="23"/>
  <c r="BH43" i="23"/>
  <c r="BA23" i="24"/>
  <c r="BI23" i="24"/>
  <c r="BA23" i="33"/>
  <c r="BI23" i="33"/>
  <c r="BA27" i="33"/>
  <c r="BI27" i="33"/>
  <c r="AZ26" i="28"/>
  <c r="BH26" i="28"/>
  <c r="AX40" i="35"/>
  <c r="BF40" i="35"/>
  <c r="AX42" i="35"/>
  <c r="BF42" i="35"/>
  <c r="BJ26" i="38"/>
  <c r="BB26" i="38"/>
  <c r="BF23" i="41"/>
  <c r="AX23" i="41"/>
  <c r="BA31" i="18"/>
  <c r="BI31" i="18"/>
  <c r="BA33" i="18"/>
  <c r="BI33" i="18"/>
  <c r="BB22" i="25"/>
  <c r="BJ22" i="25"/>
  <c r="BJ24" i="25"/>
  <c r="BB24" i="25"/>
  <c r="BC41" i="42"/>
  <c r="BK41" i="42"/>
  <c r="AX23" i="12"/>
  <c r="BF23" i="12"/>
  <c r="BC31" i="14"/>
  <c r="BK31" i="14"/>
  <c r="BC33" i="14"/>
  <c r="BK33" i="14"/>
  <c r="AY51" i="17"/>
  <c r="BG51" i="17"/>
  <c r="K27" i="33"/>
  <c r="K26" i="33"/>
  <c r="K25" i="33"/>
  <c r="K24" i="33"/>
  <c r="K22" i="33"/>
  <c r="K23" i="33"/>
  <c r="BJ34" i="37"/>
  <c r="BB34" i="37"/>
  <c r="BJ50" i="39"/>
  <c r="BB50" i="39"/>
  <c r="AY54" i="39"/>
  <c r="BG54" i="39"/>
  <c r="BG53" i="39"/>
  <c r="AY53" i="39"/>
  <c r="BF53" i="18"/>
  <c r="AX53" i="18"/>
  <c r="BA27" i="26"/>
  <c r="BI27" i="26"/>
  <c r="BA26" i="26"/>
  <c r="BI26" i="26"/>
  <c r="BF40" i="27"/>
  <c r="AX40" i="27"/>
  <c r="BI49" i="35"/>
  <c r="BA49" i="35"/>
  <c r="BA51" i="35"/>
  <c r="BI51" i="35"/>
  <c r="BI31" i="15"/>
  <c r="BA31" i="15"/>
  <c r="BA33" i="15"/>
  <c r="BI33" i="15"/>
  <c r="AY26" i="22"/>
  <c r="BG26" i="22"/>
  <c r="BG25" i="22"/>
  <c r="AY25" i="22"/>
  <c r="BB33" i="10"/>
  <c r="BJ33" i="10"/>
  <c r="O36" i="10"/>
  <c r="O35" i="10"/>
  <c r="O34" i="10"/>
  <c r="O33" i="10"/>
  <c r="O32" i="10"/>
  <c r="O31" i="10"/>
  <c r="BI40" i="11"/>
  <c r="BA40" i="11"/>
  <c r="BA42" i="11"/>
  <c r="BI42" i="11"/>
  <c r="AY36" i="30"/>
  <c r="BG36" i="30"/>
  <c r="AY31" i="14"/>
  <c r="BG31" i="14"/>
  <c r="AY33" i="14"/>
  <c r="BG33" i="14"/>
  <c r="BA22" i="28"/>
  <c r="BI22" i="28"/>
  <c r="BA24" i="28"/>
  <c r="BI24" i="28"/>
  <c r="AY50" i="36"/>
  <c r="BG50" i="36"/>
  <c r="AX22" i="42"/>
  <c r="BF22" i="42"/>
  <c r="BF24" i="42"/>
  <c r="AX24" i="42"/>
  <c r="AX50" i="13"/>
  <c r="BF50" i="13"/>
  <c r="AX49" i="13"/>
  <c r="BF49" i="13"/>
  <c r="AX31" i="10"/>
  <c r="BF31" i="10"/>
  <c r="AX35" i="10"/>
  <c r="BF35" i="10"/>
  <c r="AX40" i="14"/>
  <c r="BF40" i="14"/>
  <c r="BF42" i="14"/>
  <c r="AX42" i="14"/>
  <c r="BH22" i="18"/>
  <c r="AZ22" i="18"/>
  <c r="AZ24" i="18"/>
  <c r="BH24" i="18"/>
  <c r="BH49" i="23"/>
  <c r="AZ49" i="23"/>
  <c r="AZ51" i="23"/>
  <c r="BH51" i="23"/>
  <c r="BB50" i="28"/>
  <c r="BJ50" i="28"/>
  <c r="N54" i="36"/>
  <c r="N50" i="36"/>
  <c r="N53" i="36"/>
  <c r="N49" i="36"/>
  <c r="N52" i="36"/>
  <c r="N51" i="36"/>
  <c r="BA22" i="38"/>
  <c r="BI22" i="38"/>
  <c r="BA24" i="38"/>
  <c r="BI24" i="38"/>
  <c r="AX22" i="40"/>
  <c r="BF22" i="40"/>
  <c r="BF24" i="40"/>
  <c r="AX24" i="40"/>
  <c r="BC41" i="32"/>
  <c r="BK41" i="32"/>
  <c r="AY31" i="34"/>
  <c r="BG31" i="34"/>
  <c r="AY33" i="34"/>
  <c r="BG33" i="34"/>
  <c r="AX33" i="37"/>
  <c r="BF33" i="37"/>
  <c r="G25" i="23"/>
  <c r="G24" i="23"/>
  <c r="G27" i="23"/>
  <c r="G23" i="23"/>
  <c r="G26" i="23"/>
  <c r="G22" i="23"/>
  <c r="AY23" i="17"/>
  <c r="BG23" i="17"/>
  <c r="BC34" i="27"/>
  <c r="BK34" i="27"/>
  <c r="BK36" i="27"/>
  <c r="BC36" i="27"/>
  <c r="BC35" i="21"/>
  <c r="BK35" i="21"/>
  <c r="BC51" i="23"/>
  <c r="BK51" i="23"/>
  <c r="BK50" i="23"/>
  <c r="BC50" i="23"/>
  <c r="AZ53" i="29"/>
  <c r="BH53" i="29"/>
  <c r="BB42" i="27"/>
  <c r="BJ42" i="27"/>
  <c r="BJ44" i="27"/>
  <c r="BB44" i="27"/>
  <c r="BB25" i="32"/>
  <c r="BJ25" i="32"/>
  <c r="BB27" i="32"/>
  <c r="BJ27" i="32"/>
  <c r="BJ52" i="37"/>
  <c r="BB52" i="37"/>
  <c r="BB27" i="39"/>
  <c r="BJ27" i="39"/>
  <c r="BB26" i="39"/>
  <c r="BJ26" i="39"/>
  <c r="BC23" i="39"/>
  <c r="BK23" i="39"/>
  <c r="BA43" i="26"/>
  <c r="BI43" i="26"/>
  <c r="AX54" i="27"/>
  <c r="BF54" i="27"/>
  <c r="AX53" i="27"/>
  <c r="BF53" i="27"/>
  <c r="BA25" i="35"/>
  <c r="BI25" i="35"/>
  <c r="BC50" i="25"/>
  <c r="BK50" i="25"/>
  <c r="AX33" i="30"/>
  <c r="BF33" i="30"/>
  <c r="AX32" i="30"/>
  <c r="BD32" i="30" s="1"/>
  <c r="AH7" i="30" s="1"/>
  <c r="BF32" i="30"/>
  <c r="BL32" i="30" s="1"/>
  <c r="AM7" i="30" s="1"/>
  <c r="BB52" i="33"/>
  <c r="BJ52" i="33"/>
  <c r="BJ54" i="33"/>
  <c r="BB54" i="33"/>
  <c r="BB40" i="36"/>
  <c r="BJ40" i="36"/>
  <c r="BJ42" i="36"/>
  <c r="BB42" i="36"/>
  <c r="BA34" i="11"/>
  <c r="BI34" i="11"/>
  <c r="BA52" i="42"/>
  <c r="BI52" i="42"/>
  <c r="S26" i="12"/>
  <c r="S22" i="12"/>
  <c r="S25" i="12"/>
  <c r="S24" i="12"/>
  <c r="S27" i="12"/>
  <c r="S23" i="12"/>
  <c r="AZ34" i="15"/>
  <c r="BH34" i="15"/>
  <c r="AX22" i="26"/>
  <c r="BF22" i="26"/>
  <c r="AX24" i="26"/>
  <c r="BF24" i="26"/>
  <c r="BJ52" i="26"/>
  <c r="BB52" i="26"/>
  <c r="AZ31" i="41"/>
  <c r="BH31" i="41"/>
  <c r="BJ23" i="19"/>
  <c r="BB23" i="19"/>
  <c r="AZ22" i="37"/>
  <c r="BH22" i="37"/>
  <c r="AZ24" i="37"/>
  <c r="BH24" i="37"/>
  <c r="BF23" i="15"/>
  <c r="AX23" i="15"/>
  <c r="AY26" i="36"/>
  <c r="BG26" i="36"/>
  <c r="AY34" i="23"/>
  <c r="BG34" i="23"/>
  <c r="AX41" i="19"/>
  <c r="BF41" i="19"/>
  <c r="AX44" i="19"/>
  <c r="BF44" i="19"/>
  <c r="AY34" i="24"/>
  <c r="BG34" i="24"/>
  <c r="BB22" i="31"/>
  <c r="BJ22" i="31"/>
  <c r="BB24" i="31"/>
  <c r="BJ24" i="31"/>
  <c r="BA32" i="37"/>
  <c r="BI32" i="37"/>
  <c r="AX34" i="42"/>
  <c r="BF34" i="42"/>
  <c r="BF36" i="42"/>
  <c r="AX36" i="42"/>
  <c r="BB22" i="13"/>
  <c r="BJ22" i="13"/>
  <c r="BB24" i="13"/>
  <c r="BJ24" i="13"/>
  <c r="BC23" i="16"/>
  <c r="BK23" i="16"/>
  <c r="BF32" i="29"/>
  <c r="AX32" i="29"/>
  <c r="BI27" i="22"/>
  <c r="BA27" i="22"/>
  <c r="AY53" i="34"/>
  <c r="BG53" i="34"/>
  <c r="BG52" i="34"/>
  <c r="AY52" i="34"/>
  <c r="AY32" i="13"/>
  <c r="BG32" i="13"/>
  <c r="BB44" i="14"/>
  <c r="BJ44" i="14"/>
  <c r="BB43" i="14"/>
  <c r="BJ43" i="14"/>
  <c r="AY44" i="16"/>
  <c r="BG44" i="16"/>
  <c r="BG43" i="16"/>
  <c r="AY43" i="16"/>
  <c r="BI36" i="20"/>
  <c r="BA36" i="20"/>
  <c r="O54" i="33"/>
  <c r="O50" i="33"/>
  <c r="O53" i="33"/>
  <c r="O49" i="33"/>
  <c r="O52" i="33"/>
  <c r="O51" i="33"/>
  <c r="AZ40" i="13"/>
  <c r="BH40" i="13"/>
  <c r="AZ42" i="13"/>
  <c r="BH42" i="13"/>
  <c r="BF50" i="17"/>
  <c r="AX50" i="17"/>
  <c r="AY32" i="10"/>
  <c r="BG32" i="10"/>
  <c r="AY36" i="10"/>
  <c r="BG36" i="10"/>
  <c r="BA52" i="11"/>
  <c r="BI52" i="11"/>
  <c r="BA35" i="34"/>
  <c r="BI35" i="34"/>
  <c r="BA34" i="34"/>
  <c r="BI34" i="34"/>
  <c r="BI54" i="40"/>
  <c r="BA54" i="40"/>
  <c r="AY26" i="28"/>
  <c r="BG26" i="28"/>
  <c r="BG25" i="28"/>
  <c r="AY25" i="28"/>
  <c r="BI45" i="32"/>
  <c r="BA45" i="32"/>
  <c r="BH33" i="18"/>
  <c r="AZ33" i="18"/>
  <c r="AZ32" i="18"/>
  <c r="BH32" i="18"/>
  <c r="AY42" i="21"/>
  <c r="BG42" i="21"/>
  <c r="BA52" i="27"/>
  <c r="BI52" i="27"/>
  <c r="BA54" i="27"/>
  <c r="BI54" i="27"/>
  <c r="AY53" i="32"/>
  <c r="BG53" i="32"/>
  <c r="BC52" i="28"/>
  <c r="BK52" i="28"/>
  <c r="BK54" i="28"/>
  <c r="BC54" i="28"/>
  <c r="AZ44" i="27"/>
  <c r="BH44" i="27"/>
  <c r="AY52" i="35"/>
  <c r="BG52" i="35"/>
  <c r="AY54" i="35"/>
  <c r="BG54" i="35"/>
  <c r="AX25" i="35"/>
  <c r="BF25" i="35"/>
  <c r="BF27" i="35"/>
  <c r="AX27" i="35"/>
  <c r="BF36" i="41"/>
  <c r="AX36" i="41"/>
  <c r="BC49" i="32"/>
  <c r="BK49" i="32"/>
  <c r="AY24" i="34"/>
  <c r="BG24" i="34"/>
  <c r="BG23" i="34"/>
  <c r="AY23" i="34"/>
  <c r="BB31" i="11"/>
  <c r="BJ31" i="11"/>
  <c r="BB33" i="11"/>
  <c r="BJ33" i="11"/>
  <c r="BF53" i="12"/>
  <c r="AX53" i="12"/>
  <c r="BC43" i="14"/>
  <c r="BK43" i="14"/>
  <c r="BK45" i="14"/>
  <c r="BC45" i="14"/>
  <c r="AY53" i="15"/>
  <c r="BG53" i="15"/>
  <c r="BA50" i="19"/>
  <c r="BI50" i="19"/>
  <c r="BA49" i="19"/>
  <c r="BI49" i="19"/>
  <c r="BC41" i="26"/>
  <c r="BK41" i="26"/>
  <c r="BK40" i="26"/>
  <c r="BC40" i="26"/>
  <c r="BC42" i="25"/>
  <c r="BK42" i="25"/>
  <c r="BK41" i="25"/>
  <c r="BC41" i="25"/>
  <c r="BB44" i="21"/>
  <c r="BJ44" i="21"/>
  <c r="AX35" i="24"/>
  <c r="BF35" i="24"/>
  <c r="G24" i="25"/>
  <c r="G27" i="25"/>
  <c r="G23" i="25"/>
  <c r="G26" i="25"/>
  <c r="G22" i="25"/>
  <c r="G25" i="25"/>
  <c r="BH40" i="30"/>
  <c r="AZ40" i="30"/>
  <c r="AZ42" i="30"/>
  <c r="BH42" i="30"/>
  <c r="R33" i="41"/>
  <c r="R36" i="41"/>
  <c r="R32" i="41"/>
  <c r="R35" i="41"/>
  <c r="R34" i="41"/>
  <c r="R31" i="41"/>
  <c r="BC49" i="40"/>
  <c r="BK49" i="40"/>
  <c r="BC51" i="40"/>
  <c r="BK51" i="40"/>
  <c r="BH40" i="42"/>
  <c r="AZ40" i="42"/>
  <c r="BA25" i="11"/>
  <c r="BI25" i="11"/>
  <c r="BA27" i="11"/>
  <c r="BI27" i="11"/>
  <c r="BA40" i="25"/>
  <c r="BI40" i="25"/>
  <c r="AX51" i="36"/>
  <c r="BF51" i="36"/>
  <c r="AX50" i="36"/>
  <c r="BF50" i="36"/>
  <c r="BI51" i="17"/>
  <c r="BA51" i="17"/>
  <c r="BH50" i="21"/>
  <c r="AZ50" i="21"/>
  <c r="AZ49" i="21"/>
  <c r="BH49" i="21"/>
  <c r="BJ40" i="22"/>
  <c r="BB40" i="22"/>
  <c r="BH42" i="38"/>
  <c r="AZ42" i="38"/>
  <c r="AZ41" i="38"/>
  <c r="BH41" i="38"/>
  <c r="BI44" i="39"/>
  <c r="BA44" i="39"/>
  <c r="BH52" i="19"/>
  <c r="AZ52" i="19"/>
  <c r="AZ54" i="19"/>
  <c r="BH54" i="19"/>
  <c r="BA24" i="40"/>
  <c r="BI24" i="40"/>
  <c r="BA23" i="40"/>
  <c r="BI23" i="40"/>
  <c r="AY31" i="28"/>
  <c r="BG31" i="28"/>
  <c r="AY34" i="37"/>
  <c r="BG34" i="37"/>
  <c r="AY36" i="37"/>
  <c r="BG36" i="37"/>
  <c r="AX24" i="39"/>
  <c r="BF24" i="39"/>
  <c r="BF49" i="34"/>
  <c r="AX49" i="34"/>
  <c r="BI33" i="29"/>
  <c r="BA33" i="29"/>
  <c r="BA33" i="32"/>
  <c r="BI33" i="32"/>
  <c r="BA32" i="32"/>
  <c r="BI32" i="32"/>
  <c r="AX43" i="13"/>
  <c r="BF43" i="13"/>
  <c r="BF45" i="13"/>
  <c r="AX45" i="13"/>
  <c r="AX23" i="14"/>
  <c r="BF23" i="14"/>
  <c r="BB40" i="18"/>
  <c r="BJ40" i="18"/>
  <c r="BJ42" i="18"/>
  <c r="BB42" i="18"/>
  <c r="AY22" i="32"/>
  <c r="BG22" i="32"/>
  <c r="AY24" i="32"/>
  <c r="BG24" i="32"/>
  <c r="BC41" i="28"/>
  <c r="BK41" i="28"/>
  <c r="BC35" i="34"/>
  <c r="BK35" i="34"/>
  <c r="BK34" i="34"/>
  <c r="BC34" i="34"/>
  <c r="BI43" i="38"/>
  <c r="BA43" i="38"/>
  <c r="BC43" i="31"/>
  <c r="BK43" i="31"/>
  <c r="BH54" i="35"/>
  <c r="AZ54" i="35"/>
  <c r="AZ53" i="35"/>
  <c r="BH53" i="35"/>
  <c r="BF41" i="37"/>
  <c r="AX41" i="37"/>
  <c r="BB53" i="11"/>
  <c r="BJ53" i="11"/>
  <c r="BC23" i="27"/>
  <c r="BK23" i="27"/>
  <c r="F45" i="32"/>
  <c r="F41" i="32"/>
  <c r="F44" i="32"/>
  <c r="F40" i="32"/>
  <c r="F43" i="32"/>
  <c r="F42" i="32"/>
  <c r="BB50" i="32"/>
  <c r="BJ50" i="32"/>
  <c r="AY22" i="38"/>
  <c r="BG22" i="38"/>
  <c r="AY24" i="38"/>
  <c r="BG24" i="38"/>
  <c r="BB22" i="40"/>
  <c r="BJ22" i="40"/>
  <c r="BJ24" i="40"/>
  <c r="BB24" i="40"/>
  <c r="BB53" i="16"/>
  <c r="BJ53" i="16"/>
  <c r="BB52" i="16"/>
  <c r="BJ52" i="16"/>
  <c r="AZ45" i="25"/>
  <c r="BH45" i="25"/>
  <c r="AY52" i="16"/>
  <c r="BG52" i="16"/>
  <c r="BG54" i="16"/>
  <c r="AY54" i="16"/>
  <c r="BC54" i="33"/>
  <c r="BK54" i="33"/>
  <c r="BK53" i="33"/>
  <c r="BC53" i="33"/>
  <c r="BA25" i="21"/>
  <c r="BI25" i="21"/>
  <c r="AY31" i="26"/>
  <c r="BG31" i="26"/>
  <c r="BG33" i="26"/>
  <c r="AY33" i="26"/>
  <c r="O34" i="26"/>
  <c r="O33" i="26"/>
  <c r="O36" i="26"/>
  <c r="O32" i="26"/>
  <c r="O35" i="26"/>
  <c r="O31" i="26"/>
  <c r="BC22" i="24"/>
  <c r="BK22" i="24"/>
  <c r="BK24" i="24"/>
  <c r="BC24" i="24"/>
  <c r="AZ34" i="30"/>
  <c r="BH34" i="30"/>
  <c r="AZ36" i="30"/>
  <c r="BH36" i="30"/>
  <c r="G33" i="38"/>
  <c r="G36" i="38"/>
  <c r="G32" i="38"/>
  <c r="G35" i="38"/>
  <c r="G31" i="38"/>
  <c r="G34" i="38"/>
  <c r="BJ34" i="41"/>
  <c r="BB34" i="41"/>
  <c r="AZ49" i="42"/>
  <c r="BH49" i="42"/>
  <c r="AZ54" i="42"/>
  <c r="BH54" i="42"/>
  <c r="AZ51" i="13"/>
  <c r="BH51" i="13"/>
  <c r="BC42" i="10"/>
  <c r="BK42" i="10"/>
  <c r="AY50" i="10"/>
  <c r="BG50" i="10"/>
  <c r="AY54" i="10"/>
  <c r="BG54" i="10"/>
  <c r="AX27" i="36"/>
  <c r="BF27" i="36"/>
  <c r="AZ41" i="15"/>
  <c r="BH41" i="15"/>
  <c r="AX54" i="26"/>
  <c r="BF54" i="26"/>
  <c r="AX53" i="26"/>
  <c r="BF53" i="26"/>
  <c r="BJ34" i="26"/>
  <c r="BB34" i="26"/>
  <c r="AZ23" i="41"/>
  <c r="BH23" i="41"/>
  <c r="BB42" i="19"/>
  <c r="BJ42" i="19"/>
  <c r="BH54" i="37"/>
  <c r="AZ54" i="37"/>
  <c r="AZ53" i="37"/>
  <c r="BH53" i="37"/>
  <c r="BF52" i="15"/>
  <c r="AX52" i="15"/>
  <c r="AZ52" i="40"/>
  <c r="BH52" i="40"/>
  <c r="AZ54" i="40"/>
  <c r="BH54" i="40"/>
  <c r="AY44" i="23"/>
  <c r="BG44" i="23"/>
  <c r="AX22" i="19"/>
  <c r="BF22" i="19"/>
  <c r="AX24" i="19"/>
  <c r="BF24" i="19"/>
  <c r="AY41" i="24"/>
  <c r="BG41" i="24"/>
  <c r="BB36" i="31"/>
  <c r="BJ36" i="31"/>
  <c r="BB35" i="31"/>
  <c r="BJ35" i="31"/>
  <c r="BA43" i="37"/>
  <c r="BI43" i="37"/>
  <c r="BF35" i="20"/>
  <c r="AX35" i="20"/>
  <c r="BI40" i="24"/>
  <c r="BA40" i="24"/>
  <c r="BA42" i="24"/>
  <c r="BI42" i="24"/>
  <c r="BI44" i="33"/>
  <c r="BA44" i="33"/>
  <c r="BH42" i="28"/>
  <c r="AZ42" i="28"/>
  <c r="AZ41" i="28"/>
  <c r="BH41" i="28"/>
  <c r="AX33" i="35"/>
  <c r="BF33" i="35"/>
  <c r="N36" i="36"/>
  <c r="N32" i="36"/>
  <c r="N35" i="36"/>
  <c r="N31" i="36"/>
  <c r="N34" i="36"/>
  <c r="N33" i="36"/>
  <c r="AZ24" i="39"/>
  <c r="BH24" i="39"/>
  <c r="AX41" i="41"/>
  <c r="BF41" i="41"/>
  <c r="AX40" i="41"/>
  <c r="BF40" i="41"/>
  <c r="BC49" i="16"/>
  <c r="BK49" i="16"/>
  <c r="BA51" i="22"/>
  <c r="BI51" i="22"/>
  <c r="BA50" i="22"/>
  <c r="BI50" i="22"/>
  <c r="BJ25" i="11"/>
  <c r="BB25" i="11"/>
  <c r="AY45" i="13"/>
  <c r="BG45" i="13"/>
  <c r="BG44" i="13"/>
  <c r="AY44" i="13"/>
  <c r="K45" i="11"/>
  <c r="K41" i="11"/>
  <c r="K44" i="11"/>
  <c r="K40" i="11"/>
  <c r="K43" i="11"/>
  <c r="K42" i="11"/>
  <c r="F52" i="23"/>
  <c r="F51" i="23"/>
  <c r="F54" i="23"/>
  <c r="F50" i="23"/>
  <c r="F53" i="23"/>
  <c r="F49" i="23"/>
  <c r="BC44" i="22"/>
  <c r="BK44" i="22"/>
  <c r="BK43" i="22"/>
  <c r="BC43" i="22"/>
  <c r="AY45" i="27"/>
  <c r="BG45" i="27"/>
  <c r="AY42" i="38"/>
  <c r="BG42" i="38"/>
  <c r="BB44" i="40"/>
  <c r="BJ44" i="40"/>
  <c r="BB43" i="40"/>
  <c r="BJ43" i="40"/>
  <c r="BB26" i="14"/>
  <c r="BJ26" i="14"/>
  <c r="BB25" i="14"/>
  <c r="BJ25" i="14"/>
  <c r="AX35" i="28"/>
  <c r="BF35" i="28"/>
  <c r="AX34" i="28"/>
  <c r="BF34" i="28"/>
  <c r="BB34" i="12"/>
  <c r="BJ34" i="12"/>
  <c r="BB36" i="12"/>
  <c r="BJ36" i="12"/>
  <c r="BA50" i="15"/>
  <c r="BI50" i="15"/>
  <c r="BI25" i="20"/>
  <c r="BA25" i="20"/>
  <c r="BA27" i="20"/>
  <c r="BI27" i="20"/>
  <c r="AZ53" i="20"/>
  <c r="BH53" i="20"/>
  <c r="BJ52" i="21"/>
  <c r="BB52" i="21"/>
  <c r="AZ43" i="22"/>
  <c r="BH43" i="22"/>
  <c r="AZ45" i="22"/>
  <c r="BH45" i="22"/>
  <c r="BC44" i="40"/>
  <c r="BK44" i="40"/>
  <c r="J42" i="42"/>
  <c r="J41" i="42"/>
  <c r="J44" i="42"/>
  <c r="J45" i="42"/>
  <c r="J43" i="42"/>
  <c r="J40" i="42"/>
  <c r="AZ35" i="42"/>
  <c r="BH35" i="42"/>
  <c r="AZ22" i="13"/>
  <c r="BH22" i="13"/>
  <c r="AZ24" i="13"/>
  <c r="BH24" i="13"/>
  <c r="AX31" i="17"/>
  <c r="BD31" i="17" s="1"/>
  <c r="AH6" i="17" s="1"/>
  <c r="BF31" i="17"/>
  <c r="BL31" i="17" s="1"/>
  <c r="AM6" i="17" s="1"/>
  <c r="AX33" i="17"/>
  <c r="BF33" i="17"/>
  <c r="AY43" i="10"/>
  <c r="BG43" i="10"/>
  <c r="AX45" i="36"/>
  <c r="BF45" i="36"/>
  <c r="BB53" i="22"/>
  <c r="BJ53" i="22"/>
  <c r="BB52" i="22"/>
  <c r="BJ52" i="22"/>
  <c r="AZ54" i="38"/>
  <c r="BH54" i="38"/>
  <c r="BI36" i="40"/>
  <c r="BA36" i="40"/>
  <c r="AY44" i="28"/>
  <c r="BG44" i="28"/>
  <c r="BG43" i="28"/>
  <c r="AY43" i="28"/>
  <c r="AX44" i="34"/>
  <c r="BF44" i="34"/>
  <c r="AX43" i="34"/>
  <c r="BF43" i="34"/>
  <c r="BI27" i="32"/>
  <c r="BA27" i="32"/>
  <c r="BA50" i="13"/>
  <c r="BI50" i="13"/>
  <c r="BB52" i="18"/>
  <c r="BJ52" i="18"/>
  <c r="BB54" i="18"/>
  <c r="BJ54" i="18"/>
  <c r="BF53" i="20"/>
  <c r="AX53" i="20"/>
  <c r="AZ31" i="23"/>
  <c r="BH31" i="23"/>
  <c r="AZ33" i="23"/>
  <c r="BH33" i="23"/>
  <c r="BB25" i="28"/>
  <c r="BJ25" i="28"/>
  <c r="BB27" i="28"/>
  <c r="BJ27" i="28"/>
  <c r="BA34" i="24"/>
  <c r="BI34" i="24"/>
  <c r="AZ40" i="31"/>
  <c r="BH40" i="31"/>
  <c r="AZ42" i="31"/>
  <c r="BH42" i="31"/>
  <c r="BA36" i="33"/>
  <c r="BI36" i="33"/>
  <c r="BA35" i="33"/>
  <c r="BI35" i="33"/>
  <c r="BC26" i="34"/>
  <c r="BK26" i="34"/>
  <c r="BB43" i="38"/>
  <c r="BJ43" i="38"/>
  <c r="BJ45" i="38"/>
  <c r="BB45" i="38"/>
  <c r="AY44" i="40"/>
  <c r="BG44" i="40"/>
  <c r="BC34" i="32"/>
  <c r="BK34" i="32"/>
  <c r="BK36" i="32"/>
  <c r="BC36" i="32"/>
  <c r="BH27" i="17"/>
  <c r="AZ27" i="17"/>
  <c r="AZ26" i="17"/>
  <c r="BH26" i="17"/>
  <c r="BI52" i="16"/>
  <c r="BA52" i="16"/>
  <c r="BA54" i="16"/>
  <c r="BI54" i="16"/>
  <c r="BF52" i="21"/>
  <c r="AX52" i="21"/>
  <c r="BK53" i="27"/>
  <c r="BC53" i="27"/>
  <c r="BC34" i="22"/>
  <c r="BK34" i="22"/>
  <c r="BK36" i="22"/>
  <c r="BC36" i="22"/>
  <c r="AZ25" i="29"/>
  <c r="BH25" i="29"/>
  <c r="BB51" i="27"/>
  <c r="BJ51" i="27"/>
  <c r="BJ44" i="32"/>
  <c r="BB44" i="32"/>
  <c r="AY34" i="38"/>
  <c r="BG34" i="38"/>
  <c r="BG36" i="38"/>
  <c r="AY36" i="38"/>
  <c r="BJ35" i="40"/>
  <c r="BB35" i="40"/>
  <c r="AY41" i="39"/>
  <c r="BG41" i="39"/>
  <c r="AX45" i="11"/>
  <c r="BF45" i="11"/>
  <c r="AX44" i="11"/>
  <c r="BF44" i="11"/>
  <c r="BB43" i="16"/>
  <c r="BJ43" i="16"/>
  <c r="BB45" i="16"/>
  <c r="BJ45" i="16"/>
  <c r="AZ53" i="25"/>
  <c r="BH53" i="25"/>
  <c r="BA45" i="35"/>
  <c r="BI45" i="35"/>
  <c r="BA44" i="35"/>
  <c r="BI44" i="35"/>
  <c r="BJ53" i="12"/>
  <c r="BB53" i="12"/>
  <c r="AY32" i="15"/>
  <c r="BG32" i="15"/>
  <c r="BI31" i="19"/>
  <c r="BA31" i="19"/>
  <c r="BA33" i="19"/>
  <c r="BI33" i="19"/>
  <c r="BC25" i="26"/>
  <c r="BK25" i="26"/>
  <c r="BC40" i="33"/>
  <c r="BK40" i="33"/>
  <c r="BK42" i="33"/>
  <c r="BC42" i="33"/>
  <c r="BA32" i="21"/>
  <c r="BI32" i="21"/>
  <c r="AY27" i="26"/>
  <c r="BG27" i="26"/>
  <c r="BG26" i="26"/>
  <c r="AY26" i="26"/>
  <c r="AY35" i="22"/>
  <c r="BG35" i="22"/>
  <c r="O25" i="24"/>
  <c r="O24" i="24"/>
  <c r="O27" i="24"/>
  <c r="O23" i="24"/>
  <c r="O26" i="24"/>
  <c r="O22" i="24"/>
  <c r="BF53" i="30"/>
  <c r="AX53" i="30"/>
  <c r="BB34" i="30"/>
  <c r="BJ34" i="30"/>
  <c r="BB36" i="30"/>
  <c r="BJ36" i="30"/>
  <c r="R34" i="36"/>
  <c r="R33" i="36"/>
  <c r="R36" i="36"/>
  <c r="R32" i="36"/>
  <c r="R35" i="36"/>
  <c r="R31" i="36"/>
  <c r="BC35" i="40"/>
  <c r="BK35" i="40"/>
  <c r="BK34" i="40"/>
  <c r="BC34" i="40"/>
  <c r="BI25" i="25"/>
  <c r="BA25" i="25"/>
  <c r="BA27" i="25"/>
  <c r="BI27" i="25"/>
  <c r="BF35" i="36"/>
  <c r="AX35" i="36"/>
  <c r="BA36" i="17"/>
  <c r="BI36" i="17"/>
  <c r="BA35" i="17"/>
  <c r="BI35" i="17"/>
  <c r="AZ34" i="21"/>
  <c r="BH34" i="21"/>
  <c r="BB25" i="22"/>
  <c r="BJ25" i="22"/>
  <c r="BB27" i="22"/>
  <c r="BJ27" i="22"/>
  <c r="AZ26" i="38"/>
  <c r="BH26" i="38"/>
  <c r="BI22" i="39"/>
  <c r="BA22" i="39"/>
  <c r="BA24" i="39"/>
  <c r="BI24" i="39"/>
  <c r="AZ23" i="19"/>
  <c r="BH23" i="19"/>
  <c r="AY43" i="37"/>
  <c r="BG43" i="37"/>
  <c r="AX49" i="39"/>
  <c r="BF49" i="39"/>
  <c r="AX51" i="39"/>
  <c r="BF51" i="39"/>
  <c r="BF44" i="16"/>
  <c r="AX44" i="16"/>
  <c r="AX34" i="34"/>
  <c r="BF34" i="34"/>
  <c r="AX36" i="34"/>
  <c r="BF36" i="34"/>
  <c r="BF44" i="22"/>
  <c r="AX44" i="22"/>
  <c r="BI40" i="29"/>
  <c r="BA40" i="29"/>
  <c r="BA42" i="29"/>
  <c r="BI42" i="29"/>
  <c r="AY54" i="41"/>
  <c r="BG54" i="41"/>
  <c r="BG53" i="41"/>
  <c r="AY53" i="41"/>
  <c r="BB27" i="18"/>
  <c r="BJ27" i="18"/>
  <c r="BF23" i="21"/>
  <c r="AX23" i="21"/>
  <c r="AY52" i="27"/>
  <c r="BG52" i="27"/>
  <c r="BB31" i="39"/>
  <c r="BJ31" i="39"/>
  <c r="AX25" i="27"/>
  <c r="BF25" i="27"/>
  <c r="AX27" i="28"/>
  <c r="BF27" i="28"/>
  <c r="BA52" i="20"/>
  <c r="BI52" i="20"/>
  <c r="BC54" i="24"/>
  <c r="BK54" i="24"/>
  <c r="BB54" i="36"/>
  <c r="BJ54" i="36"/>
  <c r="BG23" i="10"/>
  <c r="AY23" i="10"/>
  <c r="AY35" i="36"/>
  <c r="BG35" i="36"/>
  <c r="BH50" i="27"/>
  <c r="AZ50" i="27"/>
  <c r="BG22" i="35"/>
  <c r="AY22" i="35"/>
  <c r="BC23" i="32"/>
  <c r="BK23" i="32"/>
  <c r="AZ35" i="29"/>
  <c r="BH35" i="29"/>
  <c r="BB52" i="14"/>
  <c r="BJ52" i="14"/>
  <c r="AY27" i="15"/>
  <c r="BG27" i="15"/>
  <c r="BC35" i="25"/>
  <c r="BK35" i="25"/>
  <c r="AX43" i="30"/>
  <c r="BF43" i="30"/>
  <c r="AY45" i="19"/>
  <c r="BG45" i="19"/>
  <c r="AX26" i="34"/>
  <c r="BF26" i="34"/>
  <c r="BB36" i="13"/>
  <c r="BJ36" i="13"/>
  <c r="BC26" i="28"/>
  <c r="BK26" i="28"/>
  <c r="BF42" i="12"/>
  <c r="AX42" i="12"/>
  <c r="BA33" i="16"/>
  <c r="BI33" i="16"/>
  <c r="AY22" i="39"/>
  <c r="BG22" i="39"/>
  <c r="BA27" i="31"/>
  <c r="BI27" i="31"/>
  <c r="BG43" i="22"/>
  <c r="AY43" i="22"/>
  <c r="BK42" i="24"/>
  <c r="BC42" i="24"/>
  <c r="BA53" i="23"/>
  <c r="BI53" i="23"/>
  <c r="BA42" i="17"/>
  <c r="BI42" i="17"/>
  <c r="BH45" i="19"/>
  <c r="AZ45" i="19"/>
  <c r="BF36" i="39"/>
  <c r="AX36" i="39"/>
  <c r="BA27" i="29"/>
  <c r="BI27" i="29"/>
  <c r="BB44" i="11"/>
  <c r="BJ44" i="11"/>
  <c r="BB26" i="18"/>
  <c r="BJ26" i="18"/>
  <c r="AX23" i="20"/>
  <c r="BF23" i="20"/>
  <c r="AZ43" i="17"/>
  <c r="BH43" i="17"/>
  <c r="AX24" i="21"/>
  <c r="BD24" i="21" s="1"/>
  <c r="AG8" i="21" s="1"/>
  <c r="BF24" i="21"/>
  <c r="BL24" i="21" s="1"/>
  <c r="AL8" i="21" s="1"/>
  <c r="BC36" i="23"/>
  <c r="BK36" i="23"/>
  <c r="BG53" i="27"/>
  <c r="AY53" i="27"/>
  <c r="BB40" i="37"/>
  <c r="BJ40" i="37"/>
  <c r="AY36" i="39"/>
  <c r="BG36" i="39"/>
  <c r="BI49" i="26"/>
  <c r="BA49" i="26"/>
  <c r="BI31" i="31"/>
  <c r="BA31" i="31"/>
  <c r="BF26" i="28"/>
  <c r="AX26" i="28"/>
  <c r="BC52" i="24"/>
  <c r="BK52" i="24"/>
  <c r="S25" i="41"/>
  <c r="S24" i="41"/>
  <c r="S26" i="41"/>
  <c r="S27" i="41"/>
  <c r="S23" i="41"/>
  <c r="S22" i="41"/>
  <c r="AZ35" i="13"/>
  <c r="BH35" i="13"/>
  <c r="AY36" i="36"/>
  <c r="BG36" i="36"/>
  <c r="AX42" i="42"/>
  <c r="BF42" i="42"/>
  <c r="AY35" i="21"/>
  <c r="BG35" i="21"/>
  <c r="BA32" i="27"/>
  <c r="BI32" i="27"/>
  <c r="AZ49" i="27"/>
  <c r="BH49" i="27"/>
  <c r="AZ31" i="31"/>
  <c r="BH31" i="31"/>
  <c r="BF49" i="40"/>
  <c r="AX49" i="40"/>
  <c r="BC24" i="32"/>
  <c r="BK24" i="32"/>
  <c r="N36" i="14"/>
  <c r="N32" i="14"/>
  <c r="N35" i="14"/>
  <c r="N31" i="14"/>
  <c r="N34" i="14"/>
  <c r="N33" i="14"/>
  <c r="AX43" i="21"/>
  <c r="BF43" i="21"/>
  <c r="BK40" i="21"/>
  <c r="BC40" i="21"/>
  <c r="BH34" i="29"/>
  <c r="AZ34" i="29"/>
  <c r="BB24" i="27"/>
  <c r="BJ24" i="27"/>
  <c r="AY53" i="31"/>
  <c r="BG53" i="31"/>
  <c r="BC49" i="38"/>
  <c r="BK49" i="38"/>
  <c r="BK53" i="39"/>
  <c r="BC53" i="39"/>
  <c r="BJ53" i="14"/>
  <c r="BB53" i="14"/>
  <c r="BI49" i="31"/>
  <c r="BA49" i="31"/>
  <c r="BF44" i="28"/>
  <c r="AX44" i="28"/>
  <c r="AZ54" i="12"/>
  <c r="BH54" i="12"/>
  <c r="BA40" i="19"/>
  <c r="BI40" i="19"/>
  <c r="N52" i="16"/>
  <c r="N51" i="16"/>
  <c r="N54" i="16"/>
  <c r="N50" i="16"/>
  <c r="N53" i="16"/>
  <c r="N49" i="16"/>
  <c r="BC36" i="25"/>
  <c r="BK36" i="25"/>
  <c r="O45" i="26"/>
  <c r="O41" i="26"/>
  <c r="O44" i="26"/>
  <c r="O40" i="26"/>
  <c r="O43" i="26"/>
  <c r="O42" i="26"/>
  <c r="N52" i="32"/>
  <c r="N51" i="32"/>
  <c r="N54" i="32"/>
  <c r="N50" i="32"/>
  <c r="N53" i="32"/>
  <c r="N49" i="32"/>
  <c r="BB26" i="30"/>
  <c r="BJ26" i="30"/>
  <c r="BC51" i="10"/>
  <c r="BK51" i="10"/>
  <c r="BI50" i="14"/>
  <c r="BA50" i="14"/>
  <c r="BG40" i="19"/>
  <c r="AY40" i="19"/>
  <c r="BA43" i="23"/>
  <c r="BI43" i="23"/>
  <c r="BA41" i="23"/>
  <c r="BI41" i="23"/>
  <c r="BB32" i="22"/>
  <c r="BJ32" i="22"/>
  <c r="AX51" i="33"/>
  <c r="BF51" i="33"/>
  <c r="BH35" i="38"/>
  <c r="AZ35" i="38"/>
  <c r="AZ34" i="38"/>
  <c r="BH34" i="38"/>
  <c r="AX53" i="16"/>
  <c r="BF53" i="16"/>
  <c r="AX52" i="16"/>
  <c r="BF52" i="16"/>
  <c r="AX27" i="34"/>
  <c r="BF27" i="34"/>
  <c r="AX53" i="22"/>
  <c r="BF53" i="22"/>
  <c r="AX52" i="22"/>
  <c r="BF52" i="22"/>
  <c r="BJ34" i="13"/>
  <c r="BB34" i="13"/>
  <c r="BI27" i="27"/>
  <c r="BA27" i="27"/>
  <c r="AY44" i="32"/>
  <c r="BG44" i="32"/>
  <c r="BG43" i="32"/>
  <c r="AY43" i="32"/>
  <c r="BC27" i="28"/>
  <c r="BK27" i="28"/>
  <c r="BH35" i="27"/>
  <c r="AZ35" i="27"/>
  <c r="AZ34" i="27"/>
  <c r="BH34" i="27"/>
  <c r="BC54" i="34"/>
  <c r="BK54" i="34"/>
  <c r="BC42" i="36"/>
  <c r="BK42" i="36"/>
  <c r="BB53" i="38"/>
  <c r="BJ53" i="38"/>
  <c r="BB52" i="38"/>
  <c r="BJ52" i="38"/>
  <c r="BA53" i="18"/>
  <c r="BI53" i="18"/>
  <c r="BA52" i="18"/>
  <c r="BI52" i="18"/>
  <c r="BB45" i="25"/>
  <c r="BJ45" i="25"/>
  <c r="AX41" i="12"/>
  <c r="BF41" i="12"/>
  <c r="BC49" i="14"/>
  <c r="BK49" i="14"/>
  <c r="BC51" i="14"/>
  <c r="BK51" i="14"/>
  <c r="BH52" i="17"/>
  <c r="AZ52" i="17"/>
  <c r="AZ54" i="17"/>
  <c r="BH54" i="17"/>
  <c r="BA31" i="16"/>
  <c r="BI31" i="16"/>
  <c r="AX32" i="21"/>
  <c r="BF32" i="21"/>
  <c r="AX31" i="21"/>
  <c r="BF31" i="21"/>
  <c r="AY27" i="31"/>
  <c r="BG27" i="31"/>
  <c r="BG26" i="31"/>
  <c r="AY26" i="31"/>
  <c r="AY23" i="39"/>
  <c r="BG23" i="39"/>
  <c r="AX27" i="11"/>
  <c r="BF27" i="11"/>
  <c r="AX26" i="11"/>
  <c r="BF26" i="11"/>
  <c r="BJ26" i="16"/>
  <c r="BB26" i="16"/>
  <c r="AZ34" i="25"/>
  <c r="BH34" i="25"/>
  <c r="AZ36" i="25"/>
  <c r="BH36" i="25"/>
  <c r="BA25" i="31"/>
  <c r="BI25" i="31"/>
  <c r="BH22" i="12"/>
  <c r="AZ22" i="12"/>
  <c r="AZ24" i="12"/>
  <c r="BH24" i="12"/>
  <c r="AY22" i="16"/>
  <c r="BG22" i="16"/>
  <c r="AY24" i="16"/>
  <c r="BG24" i="16"/>
  <c r="AY45" i="22"/>
  <c r="BG45" i="22"/>
  <c r="BC41" i="24"/>
  <c r="BK41" i="24"/>
  <c r="AZ53" i="30"/>
  <c r="BH53" i="30"/>
  <c r="K26" i="42"/>
  <c r="K22" i="42"/>
  <c r="K25" i="42"/>
  <c r="K24" i="42"/>
  <c r="K27" i="42"/>
  <c r="K23" i="42"/>
  <c r="BB27" i="42"/>
  <c r="BJ27" i="42"/>
  <c r="AY25" i="19"/>
  <c r="BG25" i="19"/>
  <c r="BI52" i="23"/>
  <c r="BA52" i="23"/>
  <c r="BA54" i="23"/>
  <c r="BI54" i="23"/>
  <c r="R52" i="12"/>
  <c r="R51" i="12"/>
  <c r="R54" i="12"/>
  <c r="R50" i="12"/>
  <c r="R53" i="12"/>
  <c r="R49" i="12"/>
  <c r="BA41" i="17"/>
  <c r="BI41" i="17"/>
  <c r="AZ40" i="21"/>
  <c r="BH40" i="21"/>
  <c r="AZ42" i="21"/>
  <c r="BH42" i="21"/>
  <c r="BI51" i="39"/>
  <c r="BA51" i="39"/>
  <c r="AZ40" i="19"/>
  <c r="BH40" i="19"/>
  <c r="AZ43" i="19"/>
  <c r="BH43" i="19"/>
  <c r="BA40" i="34"/>
  <c r="BI40" i="34"/>
  <c r="AY23" i="37"/>
  <c r="BG23" i="37"/>
  <c r="BG22" i="37"/>
  <c r="AY22" i="37"/>
  <c r="AX35" i="39"/>
  <c r="BF35" i="39"/>
  <c r="AX24" i="16"/>
  <c r="BF24" i="16"/>
  <c r="AX23" i="16"/>
  <c r="BF23" i="16"/>
  <c r="AX24" i="22"/>
  <c r="BF24" i="22"/>
  <c r="AX23" i="22"/>
  <c r="BF23" i="22"/>
  <c r="BI26" i="29"/>
  <c r="BA26" i="29"/>
  <c r="AY44" i="41"/>
  <c r="BG44" i="41"/>
  <c r="AX32" i="13"/>
  <c r="BF32" i="13"/>
  <c r="AX31" i="13"/>
  <c r="BF31" i="13"/>
  <c r="AX24" i="10"/>
  <c r="BF24" i="10"/>
  <c r="AZ41" i="18"/>
  <c r="BH41" i="18"/>
  <c r="BI41" i="27"/>
  <c r="BA41" i="27"/>
  <c r="AX33" i="33"/>
  <c r="BF33" i="33"/>
  <c r="BH35" i="28"/>
  <c r="AZ35" i="28"/>
  <c r="AZ34" i="28"/>
  <c r="BH34" i="28"/>
  <c r="AX44" i="40"/>
  <c r="BF44" i="40"/>
  <c r="AX43" i="40"/>
  <c r="BF43" i="40"/>
  <c r="BJ43" i="11"/>
  <c r="BB43" i="11"/>
  <c r="BF35" i="12"/>
  <c r="AX35" i="12"/>
  <c r="BC25" i="14"/>
  <c r="BK25" i="14"/>
  <c r="BK27" i="14"/>
  <c r="BC27" i="14"/>
  <c r="AX44" i="18"/>
  <c r="BF44" i="18"/>
  <c r="AX43" i="18"/>
  <c r="BF43" i="18"/>
  <c r="AX35" i="27"/>
  <c r="BF35" i="27"/>
  <c r="AX34" i="27"/>
  <c r="BF34" i="27"/>
  <c r="AX54" i="28"/>
  <c r="BF54" i="28"/>
  <c r="BH44" i="12"/>
  <c r="AZ44" i="12"/>
  <c r="AZ43" i="12"/>
  <c r="BH43" i="12"/>
  <c r="BH26" i="20"/>
  <c r="AZ26" i="20"/>
  <c r="AZ25" i="20"/>
  <c r="BH25" i="20"/>
  <c r="AZ36" i="22"/>
  <c r="BH36" i="22"/>
  <c r="O36" i="24"/>
  <c r="O32" i="24"/>
  <c r="O35" i="24"/>
  <c r="O31" i="24"/>
  <c r="O34" i="24"/>
  <c r="O33" i="24"/>
  <c r="BH26" i="30"/>
  <c r="AZ26" i="30"/>
  <c r="AZ25" i="30"/>
  <c r="BH25" i="30"/>
  <c r="BC43" i="36"/>
  <c r="BK43" i="36"/>
  <c r="BB34" i="36"/>
  <c r="BJ34" i="36"/>
  <c r="BB36" i="36"/>
  <c r="BJ36" i="36"/>
  <c r="BJ43" i="41"/>
  <c r="BB43" i="41"/>
  <c r="BB34" i="42"/>
  <c r="BJ34" i="42"/>
  <c r="BJ36" i="42"/>
  <c r="BB36" i="42"/>
  <c r="AY54" i="19"/>
  <c r="BG54" i="19"/>
  <c r="BG53" i="19"/>
  <c r="AY53" i="19"/>
  <c r="AZ45" i="40"/>
  <c r="BH45" i="40"/>
  <c r="BF52" i="10"/>
  <c r="AX52" i="10"/>
  <c r="BA27" i="13"/>
  <c r="BI27" i="13"/>
  <c r="BA26" i="13"/>
  <c r="BI26" i="13"/>
  <c r="AX52" i="14"/>
  <c r="BF52" i="14"/>
  <c r="AX54" i="14"/>
  <c r="BF54" i="14"/>
  <c r="BH27" i="23"/>
  <c r="AZ27" i="23"/>
  <c r="AZ26" i="23"/>
  <c r="BH26" i="23"/>
  <c r="BJ44" i="28"/>
  <c r="BB44" i="28"/>
  <c r="BA54" i="24"/>
  <c r="BI54" i="24"/>
  <c r="BA53" i="24"/>
  <c r="BI53" i="24"/>
  <c r="AZ23" i="31"/>
  <c r="BH23" i="31"/>
  <c r="BA54" i="33"/>
  <c r="BI54" i="33"/>
  <c r="BA53" i="33"/>
  <c r="BI53" i="33"/>
  <c r="BC44" i="34"/>
  <c r="BK44" i="34"/>
  <c r="BI34" i="38"/>
  <c r="BA34" i="38"/>
  <c r="BA36" i="38"/>
  <c r="BI36" i="38"/>
  <c r="AZ32" i="39"/>
  <c r="BH32" i="39"/>
  <c r="AX34" i="40"/>
  <c r="BF34" i="40"/>
  <c r="AX36" i="40"/>
  <c r="BF36" i="40"/>
  <c r="BA44" i="18"/>
  <c r="BI44" i="18"/>
  <c r="BJ49" i="25"/>
  <c r="BB49" i="25"/>
  <c r="BC23" i="31"/>
  <c r="BK23" i="31"/>
  <c r="BK22" i="31"/>
  <c r="BC22" i="31"/>
  <c r="AZ33" i="35"/>
  <c r="BH33" i="35"/>
  <c r="AX25" i="37"/>
  <c r="BF25" i="37"/>
  <c r="BF27" i="37"/>
  <c r="AX27" i="37"/>
  <c r="AY49" i="13"/>
  <c r="BG49" i="13"/>
  <c r="BG51" i="13"/>
  <c r="AY51" i="13"/>
  <c r="BA26" i="16"/>
  <c r="BI26" i="16"/>
  <c r="BA25" i="16"/>
  <c r="BI25" i="16"/>
  <c r="BC45" i="27"/>
  <c r="BK45" i="27"/>
  <c r="BB35" i="27"/>
  <c r="BJ35" i="27"/>
  <c r="BB34" i="27"/>
  <c r="BJ34" i="27"/>
  <c r="BB36" i="32"/>
  <c r="BJ36" i="32"/>
  <c r="BB35" i="16"/>
  <c r="BJ35" i="16"/>
  <c r="BB34" i="16"/>
  <c r="BJ34" i="16"/>
  <c r="AZ27" i="25"/>
  <c r="BH27" i="25"/>
  <c r="AZ34" i="12"/>
  <c r="BH34" i="12"/>
  <c r="AZ36" i="12"/>
  <c r="BH36" i="12"/>
  <c r="BA45" i="15"/>
  <c r="BI45" i="15"/>
  <c r="BA44" i="15"/>
  <c r="BI44" i="15"/>
  <c r="AY35" i="16"/>
  <c r="BG35" i="16"/>
  <c r="BC36" i="33"/>
  <c r="BK36" i="33"/>
  <c r="BK35" i="33"/>
  <c r="BC35" i="33"/>
  <c r="BA50" i="21"/>
  <c r="BI50" i="21"/>
  <c r="AY45" i="26"/>
  <c r="BG45" i="26"/>
  <c r="BG44" i="26"/>
  <c r="AY44" i="26"/>
  <c r="AY53" i="22"/>
  <c r="BG53" i="22"/>
  <c r="G35" i="25"/>
  <c r="G31" i="25"/>
  <c r="G34" i="25"/>
  <c r="G33" i="25"/>
  <c r="G36" i="25"/>
  <c r="G32" i="25"/>
  <c r="AX26" i="30"/>
  <c r="BD26" i="30" s="1"/>
  <c r="AG10" i="30" s="1"/>
  <c r="BF26" i="30"/>
  <c r="AX25" i="30"/>
  <c r="BF25" i="30"/>
  <c r="BB41" i="42"/>
  <c r="BJ41" i="42"/>
  <c r="BB42" i="42"/>
  <c r="BJ42" i="42"/>
  <c r="BA31" i="14"/>
  <c r="BI31" i="14"/>
  <c r="BA33" i="14"/>
  <c r="BI33" i="14"/>
  <c r="AY35" i="19"/>
  <c r="BG35" i="19"/>
  <c r="BI26" i="23"/>
  <c r="BA26" i="23"/>
  <c r="BA24" i="42"/>
  <c r="BI24" i="42"/>
  <c r="BA23" i="42"/>
  <c r="BI23" i="42"/>
  <c r="AZ23" i="15"/>
  <c r="BH23" i="15"/>
  <c r="AX36" i="26"/>
  <c r="BF36" i="26"/>
  <c r="AX35" i="26"/>
  <c r="BF35" i="26"/>
  <c r="BJ41" i="26"/>
  <c r="BB41" i="26"/>
  <c r="AY43" i="30"/>
  <c r="BG43" i="30"/>
  <c r="BG45" i="30"/>
  <c r="AY45" i="30"/>
  <c r="AZ43" i="41"/>
  <c r="BH43" i="41"/>
  <c r="AY43" i="14"/>
  <c r="BG43" i="14"/>
  <c r="BG45" i="14"/>
  <c r="AY45" i="14"/>
  <c r="BJ34" i="19"/>
  <c r="BB34" i="19"/>
  <c r="BH36" i="37"/>
  <c r="AZ36" i="37"/>
  <c r="AZ35" i="37"/>
  <c r="BH35" i="37"/>
  <c r="BF34" i="15"/>
  <c r="AX34" i="15"/>
  <c r="BI52" i="28"/>
  <c r="BA52" i="28"/>
  <c r="BA54" i="28"/>
  <c r="BI54" i="28"/>
  <c r="AZ34" i="40"/>
  <c r="BH34" i="40"/>
  <c r="AZ36" i="40"/>
  <c r="BH36" i="40"/>
  <c r="AY23" i="23"/>
  <c r="BG23" i="23"/>
  <c r="AX36" i="19"/>
  <c r="BD36" i="19" s="1"/>
  <c r="AH11" i="19" s="1"/>
  <c r="BF36" i="19"/>
  <c r="BL36" i="19" s="1"/>
  <c r="AM11" i="19" s="1"/>
  <c r="AX35" i="19"/>
  <c r="BF35" i="19"/>
  <c r="AY23" i="24"/>
  <c r="BG23" i="24"/>
  <c r="BB54" i="31"/>
  <c r="BJ54" i="31"/>
  <c r="BB53" i="31"/>
  <c r="BJ53" i="31"/>
  <c r="BA25" i="37"/>
  <c r="BI25" i="37"/>
  <c r="BB54" i="13"/>
  <c r="BJ54" i="13"/>
  <c r="BB53" i="13"/>
  <c r="BJ53" i="13"/>
  <c r="AX43" i="10"/>
  <c r="BF43" i="10"/>
  <c r="AX40" i="20"/>
  <c r="BF40" i="20"/>
  <c r="BF42" i="20"/>
  <c r="AX42" i="20"/>
  <c r="BB31" i="28"/>
  <c r="BJ31" i="28"/>
  <c r="BJ33" i="28"/>
  <c r="BB33" i="28"/>
  <c r="AY49" i="40"/>
  <c r="BG49" i="40"/>
  <c r="AY51" i="40"/>
  <c r="BG51" i="40"/>
  <c r="BC33" i="16"/>
  <c r="BK33" i="16"/>
  <c r="BK32" i="16"/>
  <c r="BC32" i="16"/>
  <c r="BA31" i="22"/>
  <c r="BI31" i="22"/>
  <c r="AY40" i="34"/>
  <c r="BG40" i="34"/>
  <c r="AY24" i="13"/>
  <c r="BG24" i="13"/>
  <c r="O42" i="14"/>
  <c r="O45" i="14"/>
  <c r="O41" i="14"/>
  <c r="O44" i="14"/>
  <c r="O40" i="14"/>
  <c r="O43" i="14"/>
  <c r="BI41" i="16"/>
  <c r="BA41" i="16"/>
  <c r="BC27" i="22"/>
  <c r="BK27" i="22"/>
  <c r="AY26" i="27"/>
  <c r="BG26" i="27"/>
  <c r="BG25" i="27"/>
  <c r="AY25" i="27"/>
  <c r="F52" i="32"/>
  <c r="F51" i="32"/>
  <c r="F54" i="32"/>
  <c r="F50" i="32"/>
  <c r="F53" i="32"/>
  <c r="F49" i="32"/>
  <c r="BB44" i="12"/>
  <c r="BJ44" i="12"/>
  <c r="BB43" i="12"/>
  <c r="BJ43" i="12"/>
  <c r="W45" i="15"/>
  <c r="W41" i="15"/>
  <c r="W44" i="15"/>
  <c r="W40" i="15"/>
  <c r="W43" i="15"/>
  <c r="W42" i="15"/>
  <c r="BI43" i="20"/>
  <c r="BA43" i="20"/>
  <c r="BA45" i="20"/>
  <c r="BI45" i="20"/>
  <c r="BC31" i="26"/>
  <c r="BK31" i="26"/>
  <c r="BK33" i="26"/>
  <c r="BC33" i="26"/>
  <c r="AZ35" i="20"/>
  <c r="BH35" i="20"/>
  <c r="BJ34" i="21"/>
  <c r="BB34" i="21"/>
  <c r="AZ25" i="22"/>
  <c r="BH25" i="22"/>
  <c r="AZ27" i="22"/>
  <c r="BH27" i="22"/>
  <c r="N34" i="32"/>
  <c r="N33" i="32"/>
  <c r="N36" i="32"/>
  <c r="N32" i="32"/>
  <c r="N35" i="32"/>
  <c r="N31" i="32"/>
  <c r="BJ32" i="33"/>
  <c r="BB32" i="33"/>
  <c r="O35" i="34"/>
  <c r="O31" i="34"/>
  <c r="O34" i="34"/>
  <c r="O33" i="34"/>
  <c r="O36" i="34"/>
  <c r="O32" i="34"/>
  <c r="BC25" i="40"/>
  <c r="BK25" i="40"/>
  <c r="BK27" i="40"/>
  <c r="BC27" i="40"/>
  <c r="BJ50" i="42"/>
  <c r="BB50" i="42"/>
  <c r="AX45" i="17"/>
  <c r="BF45" i="17"/>
  <c r="AX44" i="17"/>
  <c r="BD44" i="17" s="1"/>
  <c r="AI10" i="17" s="1"/>
  <c r="BF44" i="17"/>
  <c r="BL44" i="17" s="1"/>
  <c r="AN10" i="17" s="1"/>
  <c r="BK24" i="10"/>
  <c r="BC24" i="10"/>
  <c r="N27" i="10"/>
  <c r="N26" i="10"/>
  <c r="N25" i="10"/>
  <c r="N24" i="10"/>
  <c r="N23" i="10"/>
  <c r="N22" i="10"/>
  <c r="BA31" i="25"/>
  <c r="BI31" i="25"/>
  <c r="BA33" i="25"/>
  <c r="BI33" i="25"/>
  <c r="BI32" i="42"/>
  <c r="BA32" i="42"/>
  <c r="BA25" i="17"/>
  <c r="BI25" i="17"/>
  <c r="BA27" i="17"/>
  <c r="BI27" i="17"/>
  <c r="AZ26" i="21"/>
  <c r="BH26" i="21"/>
  <c r="BA32" i="39"/>
  <c r="BI32" i="39"/>
  <c r="BA31" i="39"/>
  <c r="BI31" i="39"/>
  <c r="AZ33" i="19"/>
  <c r="BH33" i="19"/>
  <c r="BA24" i="34"/>
  <c r="BI24" i="34"/>
  <c r="BA23" i="34"/>
  <c r="BI23" i="34"/>
  <c r="BA40" i="40"/>
  <c r="BI40" i="40"/>
  <c r="AY51" i="28"/>
  <c r="BG51" i="28"/>
  <c r="BG50" i="28"/>
  <c r="AY50" i="28"/>
  <c r="AY53" i="37"/>
  <c r="BG53" i="37"/>
  <c r="AX41" i="39"/>
  <c r="BF41" i="39"/>
  <c r="AX40" i="39"/>
  <c r="BF40" i="39"/>
  <c r="BA50" i="29"/>
  <c r="BI50" i="29"/>
  <c r="BA49" i="29"/>
  <c r="BI49" i="29"/>
  <c r="BA49" i="32"/>
  <c r="BI49" i="32"/>
  <c r="BG23" i="41"/>
  <c r="AY23" i="41"/>
  <c r="AY25" i="41"/>
  <c r="BG25" i="41"/>
  <c r="BI35" i="13"/>
  <c r="BA35" i="13"/>
  <c r="BB33" i="18"/>
  <c r="BJ33" i="18"/>
  <c r="BB32" i="18"/>
  <c r="BJ32" i="18"/>
  <c r="AY53" i="21"/>
  <c r="BG53" i="21"/>
  <c r="AZ52" i="31"/>
  <c r="BH52" i="31"/>
  <c r="AY45" i="35"/>
  <c r="BG45" i="35"/>
  <c r="BG44" i="35"/>
  <c r="AY44" i="35"/>
  <c r="N25" i="36"/>
  <c r="N24" i="36"/>
  <c r="N27" i="36"/>
  <c r="N23" i="36"/>
  <c r="N26" i="36"/>
  <c r="N22" i="36"/>
  <c r="AY25" i="40"/>
  <c r="BG25" i="40"/>
  <c r="BG27" i="40"/>
  <c r="AY27" i="40"/>
  <c r="BC35" i="31"/>
  <c r="BK35" i="31"/>
  <c r="BH25" i="35"/>
  <c r="AZ25" i="35"/>
  <c r="AZ27" i="35"/>
  <c r="BH27" i="35"/>
  <c r="F45" i="23"/>
  <c r="F44" i="23"/>
  <c r="F40" i="23"/>
  <c r="F43" i="23"/>
  <c r="F42" i="23"/>
  <c r="F41" i="23"/>
  <c r="AX23" i="18"/>
  <c r="BF23" i="18"/>
  <c r="AY42" i="15"/>
  <c r="BG42" i="15"/>
  <c r="BA23" i="19"/>
  <c r="BI23" i="19"/>
  <c r="BA22" i="19"/>
  <c r="BI22" i="19"/>
  <c r="BC52" i="26"/>
  <c r="BK52" i="26"/>
  <c r="BC54" i="26"/>
  <c r="BK54" i="26"/>
  <c r="BK24" i="33"/>
  <c r="BC24" i="33"/>
  <c r="BC26" i="33"/>
  <c r="BK26" i="33"/>
  <c r="BI42" i="21"/>
  <c r="BA42" i="21"/>
  <c r="AY52" i="26"/>
  <c r="BG52" i="26"/>
  <c r="AY54" i="26"/>
  <c r="BG54" i="26"/>
  <c r="AX41" i="24"/>
  <c r="BF41" i="24"/>
  <c r="AX40" i="24"/>
  <c r="BF40" i="24"/>
  <c r="BB45" i="30"/>
  <c r="BJ45" i="30"/>
  <c r="BB26" i="41"/>
  <c r="BJ26" i="41"/>
  <c r="BB24" i="41"/>
  <c r="BJ24" i="41"/>
  <c r="BA24" i="14"/>
  <c r="BI24" i="14"/>
  <c r="BA23" i="14"/>
  <c r="BI23" i="14"/>
  <c r="BI50" i="25"/>
  <c r="BA50" i="25"/>
  <c r="AY50" i="30"/>
  <c r="BG50" i="30"/>
  <c r="BK52" i="36"/>
  <c r="BC52" i="36"/>
  <c r="AY54" i="14"/>
  <c r="BG54" i="14"/>
  <c r="BI45" i="28"/>
  <c r="BA45" i="28"/>
  <c r="AZ27" i="40"/>
  <c r="BH27" i="40"/>
  <c r="BF35" i="14"/>
  <c r="AX35" i="14"/>
  <c r="AY25" i="21"/>
  <c r="BG25" i="21"/>
  <c r="AY34" i="32"/>
  <c r="BG34" i="32"/>
  <c r="BG36" i="32"/>
  <c r="AY36" i="32"/>
  <c r="BC35" i="28"/>
  <c r="BK35" i="28"/>
  <c r="AZ25" i="27"/>
  <c r="BH25" i="27"/>
  <c r="AZ27" i="27"/>
  <c r="BH27" i="27"/>
  <c r="AY32" i="35"/>
  <c r="BG32" i="35"/>
  <c r="AX54" i="35"/>
  <c r="BD54" i="35" s="1"/>
  <c r="AJ11" i="35" s="1"/>
  <c r="BF54" i="35"/>
  <c r="BL54" i="35" s="1"/>
  <c r="AO11" i="35" s="1"/>
  <c r="AX53" i="35"/>
  <c r="BF53" i="35"/>
  <c r="BA53" i="38"/>
  <c r="BI53" i="38"/>
  <c r="BH45" i="39"/>
  <c r="AZ45" i="39"/>
  <c r="AZ44" i="39"/>
  <c r="BH44" i="39"/>
  <c r="AX49" i="41"/>
  <c r="BF49" i="41"/>
  <c r="AX51" i="41"/>
  <c r="BF51" i="41"/>
  <c r="BI25" i="18"/>
  <c r="BA25" i="18"/>
  <c r="BA27" i="18"/>
  <c r="BI27" i="18"/>
  <c r="BJ35" i="25"/>
  <c r="BB35" i="25"/>
  <c r="K34" i="29"/>
  <c r="K33" i="29"/>
  <c r="K36" i="29"/>
  <c r="K32" i="29"/>
  <c r="K35" i="29"/>
  <c r="K31" i="29"/>
  <c r="BC50" i="31"/>
  <c r="BK50" i="31"/>
  <c r="AZ40" i="35"/>
  <c r="BH40" i="35"/>
  <c r="AZ42" i="35"/>
  <c r="BH42" i="35"/>
  <c r="BF52" i="37"/>
  <c r="AX52" i="37"/>
  <c r="AY41" i="17"/>
  <c r="BG41" i="17"/>
  <c r="BC49" i="21"/>
  <c r="BK49" i="21"/>
  <c r="BK51" i="21"/>
  <c r="BC51" i="21"/>
  <c r="BC23" i="23"/>
  <c r="BK23" i="23"/>
  <c r="AY33" i="27"/>
  <c r="BG33" i="27"/>
  <c r="BG32" i="27"/>
  <c r="AY32" i="27"/>
  <c r="AY42" i="31"/>
  <c r="BG42" i="31"/>
  <c r="BB25" i="37"/>
  <c r="BJ25" i="37"/>
  <c r="BJ27" i="37"/>
  <c r="BB27" i="37"/>
  <c r="BB42" i="39"/>
  <c r="BJ42" i="39"/>
  <c r="BC43" i="39"/>
  <c r="BK43" i="39"/>
  <c r="BC45" i="39"/>
  <c r="BK45" i="39"/>
  <c r="BA34" i="26"/>
  <c r="BI34" i="26"/>
  <c r="BA36" i="26"/>
  <c r="BI36" i="26"/>
  <c r="BI42" i="31"/>
  <c r="BA42" i="31"/>
  <c r="BA23" i="15"/>
  <c r="BI23" i="15"/>
  <c r="BA22" i="15"/>
  <c r="BI22" i="15"/>
  <c r="BC24" i="25"/>
  <c r="BK24" i="25"/>
  <c r="BK23" i="25"/>
  <c r="BC23" i="25"/>
  <c r="BB26" i="21"/>
  <c r="BJ26" i="21"/>
  <c r="AX23" i="24"/>
  <c r="BF23" i="24"/>
  <c r="AX22" i="24"/>
  <c r="BF22" i="24"/>
  <c r="BC32" i="24"/>
  <c r="BK32" i="24"/>
  <c r="BK31" i="24"/>
  <c r="BC31" i="24"/>
  <c r="BB23" i="33"/>
  <c r="BJ23" i="33"/>
  <c r="BB26" i="33"/>
  <c r="BJ26" i="33"/>
  <c r="S26" i="36"/>
  <c r="S22" i="36"/>
  <c r="S25" i="36"/>
  <c r="S24" i="36"/>
  <c r="S27" i="36"/>
  <c r="S23" i="36"/>
  <c r="AZ27" i="42"/>
  <c r="BH27" i="42"/>
  <c r="BA44" i="14"/>
  <c r="BI44" i="14"/>
  <c r="BA36" i="23"/>
  <c r="BI36" i="23"/>
  <c r="BA35" i="23"/>
  <c r="BI35" i="23"/>
  <c r="BA41" i="42"/>
  <c r="BI41" i="42"/>
  <c r="AZ52" i="15"/>
  <c r="BH52" i="15"/>
  <c r="AX40" i="26"/>
  <c r="BF40" i="26"/>
  <c r="AX42" i="26"/>
  <c r="BF42" i="26"/>
  <c r="BJ23" i="26"/>
  <c r="BB23" i="26"/>
  <c r="AY25" i="30"/>
  <c r="BG25" i="30"/>
  <c r="BG27" i="30"/>
  <c r="AY27" i="30"/>
  <c r="AZ50" i="41"/>
  <c r="BH50" i="41"/>
  <c r="AY25" i="14"/>
  <c r="BG25" i="14"/>
  <c r="BG27" i="14"/>
  <c r="AY27" i="14"/>
  <c r="BJ50" i="19"/>
  <c r="BB50" i="19"/>
  <c r="AZ40" i="37"/>
  <c r="BH40" i="37"/>
  <c r="AZ42" i="37"/>
  <c r="BH42" i="37"/>
  <c r="BF41" i="15"/>
  <c r="AX41" i="15"/>
  <c r="BI34" i="28"/>
  <c r="BA34" i="28"/>
  <c r="BA36" i="28"/>
  <c r="BI36" i="28"/>
  <c r="AY44" i="36"/>
  <c r="BG44" i="36"/>
  <c r="AY53" i="23"/>
  <c r="BG53" i="23"/>
  <c r="AX49" i="19"/>
  <c r="BF49" i="19"/>
  <c r="BL49" i="19" s="1"/>
  <c r="AO6" i="19" s="1"/>
  <c r="AX51" i="19"/>
  <c r="BF51" i="19"/>
  <c r="AY52" i="24"/>
  <c r="BG52" i="24"/>
  <c r="BB40" i="31"/>
  <c r="BJ40" i="31"/>
  <c r="BB42" i="31"/>
  <c r="BJ42" i="31"/>
  <c r="BA50" i="37"/>
  <c r="BI50" i="37"/>
  <c r="AX49" i="42"/>
  <c r="BF49" i="42"/>
  <c r="BF51" i="42"/>
  <c r="AX51" i="42"/>
  <c r="BJ41" i="13"/>
  <c r="BB41" i="13"/>
  <c r="BH53" i="28"/>
  <c r="AZ53" i="28"/>
  <c r="AZ52" i="28"/>
  <c r="BH52" i="28"/>
  <c r="BB35" i="38"/>
  <c r="BJ35" i="38"/>
  <c r="BB34" i="38"/>
  <c r="BJ34" i="38"/>
  <c r="AY36" i="40"/>
  <c r="BG36" i="40"/>
  <c r="BC45" i="16"/>
  <c r="BK45" i="16"/>
  <c r="BA44" i="22"/>
  <c r="BI44" i="22"/>
  <c r="BA43" i="22"/>
  <c r="BI43" i="22"/>
  <c r="AY33" i="17"/>
  <c r="BG33" i="17"/>
  <c r="BC49" i="22"/>
  <c r="BK49" i="22"/>
  <c r="AZ43" i="29"/>
  <c r="BH43" i="29"/>
  <c r="AY31" i="31"/>
  <c r="BG31" i="31"/>
  <c r="BG33" i="31"/>
  <c r="AY33" i="31"/>
  <c r="AY53" i="38"/>
  <c r="BG53" i="38"/>
  <c r="BB52" i="40"/>
  <c r="BJ52" i="40"/>
  <c r="BB54" i="40"/>
  <c r="BJ54" i="40"/>
  <c r="BC34" i="39"/>
  <c r="BK34" i="39"/>
  <c r="BF32" i="11"/>
  <c r="AX32" i="11"/>
  <c r="BB34" i="14"/>
  <c r="BJ34" i="14"/>
  <c r="BB36" i="14"/>
  <c r="BJ36" i="14"/>
  <c r="BI35" i="35"/>
  <c r="BA35" i="35"/>
  <c r="BB22" i="12"/>
  <c r="BJ22" i="12"/>
  <c r="BJ24" i="12"/>
  <c r="BB24" i="12"/>
  <c r="AZ41" i="20"/>
  <c r="BH41" i="20"/>
  <c r="BH49" i="22"/>
  <c r="AZ49" i="22"/>
  <c r="AZ51" i="22"/>
  <c r="BH51" i="22"/>
  <c r="G42" i="25"/>
  <c r="G45" i="25"/>
  <c r="G41" i="25"/>
  <c r="G44" i="25"/>
  <c r="G40" i="25"/>
  <c r="G43" i="25"/>
  <c r="BJ49" i="30"/>
  <c r="BB49" i="30"/>
  <c r="BB42" i="33"/>
  <c r="BJ42" i="33"/>
  <c r="S52" i="41"/>
  <c r="S51" i="41"/>
  <c r="S54" i="41"/>
  <c r="S50" i="41"/>
  <c r="S53" i="41"/>
  <c r="S49" i="41"/>
  <c r="AX23" i="17"/>
  <c r="BD23" i="17" s="1"/>
  <c r="AG7" i="17" s="1"/>
  <c r="BF23" i="17"/>
  <c r="BL23" i="17" s="1"/>
  <c r="AL7" i="17" s="1"/>
  <c r="AX22" i="17"/>
  <c r="BF22" i="17"/>
  <c r="BA49" i="34"/>
  <c r="BI49" i="34"/>
  <c r="BA51" i="34"/>
  <c r="BI51" i="34"/>
  <c r="AX32" i="16"/>
  <c r="BF32" i="16"/>
  <c r="AX32" i="22"/>
  <c r="BF32" i="22"/>
  <c r="BL32" i="22" s="1"/>
  <c r="AM7" i="22" s="1"/>
  <c r="AY31" i="41"/>
  <c r="BG31" i="41"/>
  <c r="AY36" i="41"/>
  <c r="BG36" i="41"/>
  <c r="BH51" i="18"/>
  <c r="AZ51" i="18"/>
  <c r="AZ50" i="18"/>
  <c r="BH50" i="18"/>
  <c r="AZ40" i="23"/>
  <c r="BH40" i="23"/>
  <c r="BA25" i="24"/>
  <c r="BI25" i="24"/>
  <c r="BA27" i="24"/>
  <c r="BI27" i="24"/>
  <c r="BA25" i="33"/>
  <c r="BI25" i="33"/>
  <c r="BH24" i="28"/>
  <c r="AZ24" i="28"/>
  <c r="AZ23" i="28"/>
  <c r="BH23" i="28"/>
  <c r="AX44" i="35"/>
  <c r="BF44" i="35"/>
  <c r="BB24" i="38"/>
  <c r="BJ24" i="38"/>
  <c r="BB23" i="38"/>
  <c r="BJ23" i="38"/>
  <c r="BF22" i="41"/>
  <c r="AX22" i="41"/>
  <c r="BF27" i="41"/>
  <c r="AX27" i="41"/>
  <c r="BA35" i="18"/>
  <c r="BI35" i="18"/>
  <c r="BA34" i="18"/>
  <c r="BI34" i="18"/>
  <c r="BB26" i="25"/>
  <c r="BJ26" i="25"/>
  <c r="BB25" i="25"/>
  <c r="BJ25" i="25"/>
  <c r="AX27" i="12"/>
  <c r="BF27" i="12"/>
  <c r="BC35" i="14"/>
  <c r="BK35" i="14"/>
  <c r="BK34" i="14"/>
  <c r="BC34" i="14"/>
  <c r="AY52" i="17"/>
  <c r="BG52" i="17"/>
  <c r="G33" i="32"/>
  <c r="G36" i="32"/>
  <c r="G32" i="32"/>
  <c r="G35" i="32"/>
  <c r="G31" i="32"/>
  <c r="G34" i="32"/>
  <c r="BB41" i="29"/>
  <c r="BJ41" i="29"/>
  <c r="BB32" i="37"/>
  <c r="BJ32" i="37"/>
  <c r="BB31" i="37"/>
  <c r="BJ31" i="37"/>
  <c r="BB52" i="39"/>
  <c r="BJ52" i="39"/>
  <c r="BJ54" i="39"/>
  <c r="BB54" i="39"/>
  <c r="AY51" i="39"/>
  <c r="BG51" i="39"/>
  <c r="AX51" i="18"/>
  <c r="BD51" i="18" s="1"/>
  <c r="AJ8" i="18" s="1"/>
  <c r="BF51" i="18"/>
  <c r="BL51" i="18" s="1"/>
  <c r="AO8" i="18" s="1"/>
  <c r="AX50" i="18"/>
  <c r="BF50" i="18"/>
  <c r="BI24" i="26"/>
  <c r="BA24" i="26"/>
  <c r="BF45" i="27"/>
  <c r="AX45" i="27"/>
  <c r="BF44" i="27"/>
  <c r="AX44" i="27"/>
  <c r="BD44" i="27" s="1"/>
  <c r="AI10" i="27" s="1"/>
  <c r="BI53" i="35"/>
  <c r="BA53" i="35"/>
  <c r="BI35" i="15"/>
  <c r="BA35" i="15"/>
  <c r="V24" i="15"/>
  <c r="V27" i="15"/>
  <c r="V23" i="15"/>
  <c r="V26" i="15"/>
  <c r="V22" i="15"/>
  <c r="V25" i="15"/>
  <c r="N45" i="16"/>
  <c r="N41" i="16"/>
  <c r="N44" i="16"/>
  <c r="N40" i="16"/>
  <c r="N43" i="16"/>
  <c r="N42" i="16"/>
  <c r="AY23" i="22"/>
  <c r="BG23" i="22"/>
  <c r="N53" i="26"/>
  <c r="N49" i="26"/>
  <c r="N52" i="26"/>
  <c r="N51" i="26"/>
  <c r="N54" i="26"/>
  <c r="N50" i="26"/>
  <c r="N45" i="32"/>
  <c r="N41" i="32"/>
  <c r="N44" i="32"/>
  <c r="N40" i="32"/>
  <c r="N43" i="32"/>
  <c r="N42" i="32"/>
  <c r="O42" i="34"/>
  <c r="O45" i="34"/>
  <c r="O41" i="34"/>
  <c r="O44" i="34"/>
  <c r="O40" i="34"/>
  <c r="O43" i="34"/>
  <c r="BC22" i="38"/>
  <c r="BK22" i="38"/>
  <c r="BA33" i="10"/>
  <c r="BI33" i="10"/>
  <c r="BI44" i="11"/>
  <c r="BA44" i="11"/>
  <c r="AY31" i="30"/>
  <c r="BG31" i="30"/>
  <c r="AY33" i="30"/>
  <c r="BG33" i="30"/>
  <c r="AY35" i="14"/>
  <c r="BG35" i="14"/>
  <c r="BG34" i="14"/>
  <c r="AY34" i="14"/>
  <c r="BA26" i="28"/>
  <c r="BI26" i="28"/>
  <c r="BA25" i="28"/>
  <c r="BI25" i="28"/>
  <c r="AY54" i="36"/>
  <c r="BG54" i="36"/>
  <c r="AX26" i="42"/>
  <c r="BF26" i="42"/>
  <c r="AX25" i="42"/>
  <c r="BF25" i="42"/>
  <c r="AX54" i="13"/>
  <c r="BF54" i="13"/>
  <c r="AX53" i="13"/>
  <c r="BF53" i="13"/>
  <c r="BL53" i="13" s="1"/>
  <c r="AO10" i="13" s="1"/>
  <c r="AX32" i="10"/>
  <c r="BF32" i="10"/>
  <c r="AX36" i="10"/>
  <c r="BF36" i="10"/>
  <c r="AX44" i="14"/>
  <c r="BF44" i="14"/>
  <c r="AX43" i="14"/>
  <c r="BF43" i="14"/>
  <c r="BH26" i="18"/>
  <c r="AZ26" i="18"/>
  <c r="AZ25" i="18"/>
  <c r="BH25" i="18"/>
  <c r="BH53" i="23"/>
  <c r="AZ53" i="23"/>
  <c r="AZ52" i="23"/>
  <c r="BH52" i="23"/>
  <c r="BB54" i="28"/>
  <c r="BJ54" i="28"/>
  <c r="O53" i="36"/>
  <c r="O49" i="36"/>
  <c r="O52" i="36"/>
  <c r="O51" i="36"/>
  <c r="O54" i="36"/>
  <c r="O50" i="36"/>
  <c r="BA26" i="38"/>
  <c r="BI26" i="38"/>
  <c r="BA25" i="38"/>
  <c r="BI25" i="38"/>
  <c r="AX26" i="40"/>
  <c r="BF26" i="40"/>
  <c r="AX25" i="40"/>
  <c r="BF25" i="40"/>
  <c r="BC45" i="32"/>
  <c r="BK45" i="32"/>
  <c r="AY35" i="34"/>
  <c r="BG35" i="34"/>
  <c r="BG34" i="34"/>
  <c r="AY34" i="34"/>
  <c r="BF34" i="37"/>
  <c r="AX34" i="37"/>
  <c r="BD34" i="37" s="1"/>
  <c r="AH9" i="37" s="1"/>
  <c r="J35" i="11"/>
  <c r="J31" i="11"/>
  <c r="J34" i="11"/>
  <c r="J33" i="11"/>
  <c r="J36" i="11"/>
  <c r="J32" i="11"/>
  <c r="AY25" i="17"/>
  <c r="BG25" i="17"/>
  <c r="AY27" i="17"/>
  <c r="BG27" i="17"/>
  <c r="BC31" i="27"/>
  <c r="BK31" i="27"/>
  <c r="BC32" i="21"/>
  <c r="BK32" i="21"/>
  <c r="BC52" i="23"/>
  <c r="BK52" i="23"/>
  <c r="BK54" i="23"/>
  <c r="BC54" i="23"/>
  <c r="AZ50" i="29"/>
  <c r="BH50" i="29"/>
  <c r="BJ45" i="27"/>
  <c r="BB45" i="27"/>
  <c r="BB41" i="27"/>
  <c r="BJ41" i="27"/>
  <c r="BJ22" i="32"/>
  <c r="BB22" i="32"/>
  <c r="BB50" i="37"/>
  <c r="BJ50" i="37"/>
  <c r="BB49" i="37"/>
  <c r="BJ49" i="37"/>
  <c r="BB24" i="39"/>
  <c r="BJ24" i="39"/>
  <c r="BC25" i="39"/>
  <c r="BK25" i="39"/>
  <c r="BC27" i="39"/>
  <c r="BK27" i="39"/>
  <c r="BA41" i="26"/>
  <c r="BI41" i="26"/>
  <c r="BA40" i="26"/>
  <c r="BI40" i="26"/>
  <c r="BF52" i="27"/>
  <c r="AX52" i="27"/>
  <c r="BA23" i="35"/>
  <c r="BI23" i="35"/>
  <c r="BA22" i="35"/>
  <c r="BI22" i="35"/>
  <c r="N51" i="11"/>
  <c r="N54" i="11"/>
  <c r="N50" i="11"/>
  <c r="N53" i="11"/>
  <c r="N49" i="11"/>
  <c r="N52" i="11"/>
  <c r="BB33" i="24"/>
  <c r="BJ33" i="24"/>
  <c r="BC54" i="25"/>
  <c r="BK54" i="25"/>
  <c r="AX34" i="30"/>
  <c r="BF34" i="30"/>
  <c r="AX36" i="30"/>
  <c r="BD36" i="30" s="1"/>
  <c r="AH11" i="30" s="1"/>
  <c r="BF36" i="30"/>
  <c r="BL36" i="30" s="1"/>
  <c r="AM11" i="30" s="1"/>
  <c r="BB49" i="33"/>
  <c r="BJ49" i="33"/>
  <c r="BB51" i="33"/>
  <c r="BJ51" i="33"/>
  <c r="BB44" i="36"/>
  <c r="BJ44" i="36"/>
  <c r="BB43" i="36"/>
  <c r="BJ43" i="36"/>
  <c r="J53" i="42"/>
  <c r="J49" i="42"/>
  <c r="J52" i="42"/>
  <c r="J54" i="42"/>
  <c r="J51" i="42"/>
  <c r="J50" i="42"/>
  <c r="BA32" i="11"/>
  <c r="BI32" i="11"/>
  <c r="BA31" i="11"/>
  <c r="BI31" i="11"/>
  <c r="BA50" i="42"/>
  <c r="BI50" i="42"/>
  <c r="BA49" i="42"/>
  <c r="BI49" i="42"/>
  <c r="BH32" i="15"/>
  <c r="AZ32" i="15"/>
  <c r="AZ31" i="15"/>
  <c r="BH31" i="15"/>
  <c r="AX26" i="26"/>
  <c r="BF26" i="26"/>
  <c r="BB50" i="26"/>
  <c r="BJ50" i="26"/>
  <c r="BB49" i="26"/>
  <c r="BJ49" i="26"/>
  <c r="BK51" i="36"/>
  <c r="BH33" i="41"/>
  <c r="AZ33" i="41"/>
  <c r="AZ35" i="41"/>
  <c r="BH35" i="41"/>
  <c r="BB25" i="19"/>
  <c r="BJ25" i="19"/>
  <c r="BJ27" i="19"/>
  <c r="BB27" i="19"/>
  <c r="AZ26" i="37"/>
  <c r="BH26" i="37"/>
  <c r="AX25" i="15"/>
  <c r="BF25" i="15"/>
  <c r="BF27" i="15"/>
  <c r="AX27" i="15"/>
  <c r="AY24" i="36"/>
  <c r="BG24" i="36"/>
  <c r="BG23" i="36"/>
  <c r="AY23" i="36"/>
  <c r="AY32" i="23"/>
  <c r="BG32" i="23"/>
  <c r="BG31" i="23"/>
  <c r="AY31" i="23"/>
  <c r="AX45" i="19"/>
  <c r="BF45" i="19"/>
  <c r="AY32" i="24"/>
  <c r="BG32" i="24"/>
  <c r="BG31" i="24"/>
  <c r="AY31" i="24"/>
  <c r="BB26" i="31"/>
  <c r="BJ26" i="31"/>
  <c r="BA34" i="37"/>
  <c r="BI34" i="37"/>
  <c r="BA36" i="37"/>
  <c r="BI36" i="37"/>
  <c r="BF31" i="42"/>
  <c r="AX31" i="42"/>
  <c r="BK51" i="11"/>
  <c r="BB26" i="13"/>
  <c r="BJ26" i="13"/>
  <c r="BC27" i="16"/>
  <c r="BK27" i="16"/>
  <c r="BA22" i="22"/>
  <c r="BI22" i="22"/>
  <c r="BA24" i="22"/>
  <c r="BI24" i="22"/>
  <c r="J42" i="29"/>
  <c r="J45" i="29"/>
  <c r="J41" i="29"/>
  <c r="J44" i="29"/>
  <c r="J40" i="29"/>
  <c r="J43" i="29"/>
  <c r="AY50" i="34"/>
  <c r="BG50" i="34"/>
  <c r="AY34" i="13"/>
  <c r="BG34" i="13"/>
  <c r="AY36" i="13"/>
  <c r="BG36" i="13"/>
  <c r="BB32" i="29"/>
  <c r="BB41" i="14"/>
  <c r="BJ41" i="14"/>
  <c r="AY41" i="16"/>
  <c r="BG41" i="16"/>
  <c r="BA31" i="20"/>
  <c r="BI31" i="20"/>
  <c r="BA33" i="20"/>
  <c r="BI33" i="20"/>
  <c r="N44" i="24"/>
  <c r="N40" i="24"/>
  <c r="N43" i="24"/>
  <c r="N42" i="24"/>
  <c r="N45" i="24"/>
  <c r="N41" i="24"/>
  <c r="S51" i="36"/>
  <c r="S54" i="36"/>
  <c r="S50" i="36"/>
  <c r="S53" i="36"/>
  <c r="S49" i="36"/>
  <c r="S52" i="36"/>
  <c r="AZ44" i="13"/>
  <c r="BH44" i="13"/>
  <c r="AX52" i="17"/>
  <c r="BF52" i="17"/>
  <c r="BL52" i="17" s="1"/>
  <c r="AO9" i="17" s="1"/>
  <c r="BF54" i="17"/>
  <c r="BL54" i="17" s="1"/>
  <c r="AO11" i="17" s="1"/>
  <c r="AX54" i="17"/>
  <c r="BD54" i="17" s="1"/>
  <c r="AJ11" i="17" s="1"/>
  <c r="AY33" i="10"/>
  <c r="BG33" i="10"/>
  <c r="BA50" i="11"/>
  <c r="BI50" i="11"/>
  <c r="BA49" i="11"/>
  <c r="BI49" i="11"/>
  <c r="BI32" i="34"/>
  <c r="BA32" i="34"/>
  <c r="BA49" i="40"/>
  <c r="BI49" i="40"/>
  <c r="BA51" i="40"/>
  <c r="BI51" i="40"/>
  <c r="AY23" i="28"/>
  <c r="BG23" i="28"/>
  <c r="BA40" i="32"/>
  <c r="BI40" i="32"/>
  <c r="BA42" i="32"/>
  <c r="BI42" i="32"/>
  <c r="AZ34" i="18"/>
  <c r="BH34" i="18"/>
  <c r="AZ36" i="18"/>
  <c r="BH36" i="18"/>
  <c r="AY43" i="21"/>
  <c r="BG43" i="21"/>
  <c r="BA50" i="27"/>
  <c r="BI50" i="27"/>
  <c r="BI51" i="27"/>
  <c r="BA51" i="27"/>
  <c r="AY51" i="32"/>
  <c r="BG51" i="32"/>
  <c r="BG50" i="32"/>
  <c r="AY50" i="32"/>
  <c r="BC49" i="28"/>
  <c r="BK49" i="28"/>
  <c r="BH42" i="27"/>
  <c r="AZ42" i="27"/>
  <c r="BH45" i="27"/>
  <c r="AZ45" i="27"/>
  <c r="AY49" i="35"/>
  <c r="BG49" i="35"/>
  <c r="BG51" i="35"/>
  <c r="AY51" i="35"/>
  <c r="AX22" i="35"/>
  <c r="BF22" i="35"/>
  <c r="AX24" i="35"/>
  <c r="BF24" i="35"/>
  <c r="BF34" i="41"/>
  <c r="AX34" i="41"/>
  <c r="BC53" i="32"/>
  <c r="BK53" i="32"/>
  <c r="AY25" i="34"/>
  <c r="BG25" i="34"/>
  <c r="BG27" i="34"/>
  <c r="AY27" i="34"/>
  <c r="BB35" i="11"/>
  <c r="BJ35" i="11"/>
  <c r="AX51" i="12"/>
  <c r="BF51" i="12"/>
  <c r="AX50" i="12"/>
  <c r="BF50" i="12"/>
  <c r="BC40" i="14"/>
  <c r="BK40" i="14"/>
  <c r="AY43" i="12"/>
  <c r="BG43" i="12"/>
  <c r="AY50" i="15"/>
  <c r="BG50" i="15"/>
  <c r="BA54" i="19"/>
  <c r="BI54" i="19"/>
  <c r="BA53" i="19"/>
  <c r="BI53" i="19"/>
  <c r="BC45" i="26"/>
  <c r="BK45" i="26"/>
  <c r="BK44" i="26"/>
  <c r="BC44" i="26"/>
  <c r="BC43" i="25"/>
  <c r="BK43" i="25"/>
  <c r="BK45" i="25"/>
  <c r="BC45" i="25"/>
  <c r="BJ41" i="21"/>
  <c r="BB41" i="21"/>
  <c r="BF32" i="24"/>
  <c r="AX32" i="24"/>
  <c r="F25" i="25"/>
  <c r="F24" i="25"/>
  <c r="F27" i="25"/>
  <c r="F23" i="25"/>
  <c r="F26" i="25"/>
  <c r="F22" i="25"/>
  <c r="BH44" i="30"/>
  <c r="AZ44" i="30"/>
  <c r="AZ43" i="30"/>
  <c r="BH43" i="30"/>
  <c r="S36" i="41"/>
  <c r="S32" i="41"/>
  <c r="S35" i="41"/>
  <c r="S31" i="41"/>
  <c r="S33" i="41"/>
  <c r="S34" i="41"/>
  <c r="BC53" i="40"/>
  <c r="BK53" i="40"/>
  <c r="BK52" i="40"/>
  <c r="BC52" i="40"/>
  <c r="AZ42" i="42"/>
  <c r="BH42" i="42"/>
  <c r="BI22" i="11"/>
  <c r="BA22" i="11"/>
  <c r="BA24" i="11"/>
  <c r="BI24" i="11"/>
  <c r="BA44" i="25"/>
  <c r="BI44" i="25"/>
  <c r="AX52" i="36"/>
  <c r="BF52" i="36"/>
  <c r="AX54" i="36"/>
  <c r="BF54" i="36"/>
  <c r="BA52" i="17"/>
  <c r="BI52" i="17"/>
  <c r="BH54" i="21"/>
  <c r="AZ54" i="21"/>
  <c r="AZ53" i="21"/>
  <c r="BH53" i="21"/>
  <c r="BJ44" i="22"/>
  <c r="BB44" i="22"/>
  <c r="AZ44" i="38"/>
  <c r="BH44" i="38"/>
  <c r="AZ45" i="38"/>
  <c r="BH45" i="38"/>
  <c r="BA41" i="39"/>
  <c r="BI41" i="39"/>
  <c r="AZ49" i="19"/>
  <c r="BH49" i="19"/>
  <c r="AZ51" i="19"/>
  <c r="BH51" i="19"/>
  <c r="BI25" i="40"/>
  <c r="BA25" i="40"/>
  <c r="BA27" i="40"/>
  <c r="BI27" i="40"/>
  <c r="AY35" i="28"/>
  <c r="BG35" i="28"/>
  <c r="AY31" i="37"/>
  <c r="BG31" i="37"/>
  <c r="BG33" i="37"/>
  <c r="AY33" i="37"/>
  <c r="BF25" i="39"/>
  <c r="AX25" i="39"/>
  <c r="BF53" i="34"/>
  <c r="AX53" i="34"/>
  <c r="BA34" i="29"/>
  <c r="BI34" i="29"/>
  <c r="BI34" i="32"/>
  <c r="BA34" i="32"/>
  <c r="BA36" i="32"/>
  <c r="BI36" i="32"/>
  <c r="AX40" i="13"/>
  <c r="BD40" i="13" s="1"/>
  <c r="AI6" i="13" s="1"/>
  <c r="BF40" i="13"/>
  <c r="AX42" i="13"/>
  <c r="BF42" i="13"/>
  <c r="AX27" i="14"/>
  <c r="BF27" i="14"/>
  <c r="BB44" i="18"/>
  <c r="BJ44" i="18"/>
  <c r="BB43" i="18"/>
  <c r="BJ43" i="18"/>
  <c r="AY26" i="32"/>
  <c r="BG26" i="32"/>
  <c r="BG25" i="32"/>
  <c r="AY25" i="32"/>
  <c r="BC45" i="28"/>
  <c r="BK45" i="28"/>
  <c r="BC32" i="34"/>
  <c r="BK32" i="34"/>
  <c r="BA40" i="38"/>
  <c r="BI40" i="38"/>
  <c r="BI45" i="38"/>
  <c r="BA45" i="38"/>
  <c r="BC41" i="31"/>
  <c r="BK41" i="31"/>
  <c r="BK40" i="31"/>
  <c r="BC40" i="31"/>
  <c r="AZ51" i="35"/>
  <c r="BH51" i="35"/>
  <c r="AX43" i="37"/>
  <c r="BD43" i="37" s="1"/>
  <c r="AI9" i="37" s="1"/>
  <c r="BF43" i="37"/>
  <c r="BL43" i="37" s="1"/>
  <c r="AN9" i="37" s="1"/>
  <c r="BF45" i="37"/>
  <c r="AX45" i="37"/>
  <c r="BD45" i="37" s="1"/>
  <c r="AI11" i="37" s="1"/>
  <c r="BC53" i="15"/>
  <c r="BK53" i="15"/>
  <c r="BJ50" i="11"/>
  <c r="BB50" i="11"/>
  <c r="BC27" i="27"/>
  <c r="BK27" i="27"/>
  <c r="G44" i="32"/>
  <c r="G40" i="32"/>
  <c r="G43" i="32"/>
  <c r="G42" i="32"/>
  <c r="G45" i="32"/>
  <c r="G41" i="32"/>
  <c r="BB54" i="32"/>
  <c r="BJ54" i="32"/>
  <c r="AY26" i="38"/>
  <c r="BG26" i="38"/>
  <c r="BG25" i="38"/>
  <c r="AY25" i="38"/>
  <c r="BB26" i="40"/>
  <c r="BJ26" i="40"/>
  <c r="BB25" i="40"/>
  <c r="BJ25" i="40"/>
  <c r="BB50" i="16"/>
  <c r="BJ50" i="16"/>
  <c r="BH40" i="25"/>
  <c r="AZ40" i="25"/>
  <c r="AZ42" i="25"/>
  <c r="BH42" i="25"/>
  <c r="V53" i="15"/>
  <c r="V49" i="15"/>
  <c r="V52" i="15"/>
  <c r="V51" i="15"/>
  <c r="V54" i="15"/>
  <c r="V50" i="15"/>
  <c r="AY49" i="16"/>
  <c r="BG49" i="16"/>
  <c r="N27" i="16"/>
  <c r="N23" i="16"/>
  <c r="N26" i="16"/>
  <c r="N22" i="16"/>
  <c r="N25" i="16"/>
  <c r="N24" i="16"/>
  <c r="BC51" i="33"/>
  <c r="BK51" i="33"/>
  <c r="BA23" i="21"/>
  <c r="BI23" i="21"/>
  <c r="BA22" i="21"/>
  <c r="BI22" i="21"/>
  <c r="AY35" i="26"/>
  <c r="BG35" i="26"/>
  <c r="BC26" i="24"/>
  <c r="BK26" i="24"/>
  <c r="N27" i="32"/>
  <c r="N23" i="32"/>
  <c r="N26" i="32"/>
  <c r="N22" i="32"/>
  <c r="N25" i="32"/>
  <c r="N24" i="32"/>
  <c r="AZ31" i="30"/>
  <c r="BH31" i="30"/>
  <c r="O24" i="34"/>
  <c r="O27" i="34"/>
  <c r="O23" i="34"/>
  <c r="O26" i="34"/>
  <c r="O22" i="34"/>
  <c r="O25" i="34"/>
  <c r="F34" i="38"/>
  <c r="F33" i="38"/>
  <c r="F36" i="38"/>
  <c r="F32" i="38"/>
  <c r="F35" i="38"/>
  <c r="F31" i="38"/>
  <c r="BB31" i="41"/>
  <c r="BJ31" i="41"/>
  <c r="AZ53" i="42"/>
  <c r="BH53" i="42"/>
  <c r="AZ51" i="42"/>
  <c r="BH51" i="42"/>
  <c r="AZ52" i="13"/>
  <c r="BH52" i="13"/>
  <c r="BI42" i="10"/>
  <c r="BA42" i="10"/>
  <c r="N45" i="10"/>
  <c r="N44" i="10"/>
  <c r="N43" i="10"/>
  <c r="N42" i="10"/>
  <c r="N41" i="10"/>
  <c r="N40" i="10"/>
  <c r="AY51" i="10"/>
  <c r="BG51" i="10"/>
  <c r="AX22" i="36"/>
  <c r="BF22" i="36"/>
  <c r="BF24" i="36"/>
  <c r="AX24" i="36"/>
  <c r="BH43" i="15"/>
  <c r="AZ43" i="15"/>
  <c r="AZ45" i="15"/>
  <c r="BH45" i="15"/>
  <c r="AX51" i="26"/>
  <c r="BF51" i="26"/>
  <c r="BB32" i="26"/>
  <c r="BJ32" i="26"/>
  <c r="BB31" i="26"/>
  <c r="BJ31" i="26"/>
  <c r="AZ26" i="41"/>
  <c r="BH26" i="41"/>
  <c r="AZ27" i="41"/>
  <c r="BH27" i="41"/>
  <c r="BB45" i="19"/>
  <c r="BJ45" i="19"/>
  <c r="BJ43" i="19"/>
  <c r="BB43" i="19"/>
  <c r="AZ51" i="37"/>
  <c r="BH51" i="37"/>
  <c r="AX50" i="15"/>
  <c r="BF50" i="15"/>
  <c r="AX49" i="15"/>
  <c r="BF49" i="15"/>
  <c r="AZ49" i="40"/>
  <c r="BH49" i="40"/>
  <c r="BG43" i="23"/>
  <c r="AY43" i="23"/>
  <c r="AY45" i="23"/>
  <c r="BG45" i="23"/>
  <c r="AX26" i="19"/>
  <c r="BF26" i="19"/>
  <c r="AY43" i="24"/>
  <c r="BG43" i="24"/>
  <c r="AY45" i="24"/>
  <c r="BG45" i="24"/>
  <c r="BB33" i="31"/>
  <c r="BJ33" i="31"/>
  <c r="BA41" i="37"/>
  <c r="BI41" i="37"/>
  <c r="BA40" i="37"/>
  <c r="BI40" i="37"/>
  <c r="AX33" i="20"/>
  <c r="BF33" i="20"/>
  <c r="AX32" i="20"/>
  <c r="BF32" i="20"/>
  <c r="BI44" i="24"/>
  <c r="BA44" i="24"/>
  <c r="BA41" i="33"/>
  <c r="BI41" i="33"/>
  <c r="AZ43" i="28"/>
  <c r="BH43" i="28"/>
  <c r="AZ45" i="28"/>
  <c r="BH45" i="28"/>
  <c r="BF34" i="35"/>
  <c r="AX34" i="35"/>
  <c r="O35" i="36"/>
  <c r="O31" i="36"/>
  <c r="O34" i="36"/>
  <c r="O33" i="36"/>
  <c r="O36" i="36"/>
  <c r="O32" i="36"/>
  <c r="AZ25" i="39"/>
  <c r="BH25" i="39"/>
  <c r="AX45" i="41"/>
  <c r="BF45" i="41"/>
  <c r="AX44" i="41"/>
  <c r="BF44" i="41"/>
  <c r="BC53" i="16"/>
  <c r="BK53" i="16"/>
  <c r="BI52" i="22"/>
  <c r="BA52" i="22"/>
  <c r="BA54" i="22"/>
  <c r="BI54" i="22"/>
  <c r="BB23" i="11"/>
  <c r="BJ23" i="11"/>
  <c r="BB22" i="11"/>
  <c r="BJ22" i="11"/>
  <c r="AY42" i="13"/>
  <c r="BG42" i="13"/>
  <c r="BC41" i="22"/>
  <c r="BK41" i="22"/>
  <c r="AY40" i="27"/>
  <c r="BG40" i="27"/>
  <c r="AY42" i="27"/>
  <c r="BG42" i="27"/>
  <c r="AY40" i="38"/>
  <c r="BG40" i="38"/>
  <c r="BG43" i="38"/>
  <c r="AY43" i="38"/>
  <c r="BB41" i="40"/>
  <c r="BJ41" i="40"/>
  <c r="BB23" i="14"/>
  <c r="BJ23" i="14"/>
  <c r="AX32" i="28"/>
  <c r="BF32" i="28"/>
  <c r="N33" i="11"/>
  <c r="N36" i="11"/>
  <c r="N32" i="11"/>
  <c r="N35" i="11"/>
  <c r="N31" i="11"/>
  <c r="N34" i="11"/>
  <c r="BJ31" i="12"/>
  <c r="BB31" i="12"/>
  <c r="BA52" i="15"/>
  <c r="BI52" i="15"/>
  <c r="BA54" i="15"/>
  <c r="BI54" i="15"/>
  <c r="BA22" i="20"/>
  <c r="BI22" i="20"/>
  <c r="BH51" i="20"/>
  <c r="AZ51" i="20"/>
  <c r="AZ50" i="20"/>
  <c r="BH50" i="20"/>
  <c r="BB50" i="21"/>
  <c r="BJ50" i="21"/>
  <c r="BB49" i="21"/>
  <c r="BJ49" i="21"/>
  <c r="AZ40" i="22"/>
  <c r="BH40" i="22"/>
  <c r="V54" i="34"/>
  <c r="V50" i="34"/>
  <c r="V53" i="34"/>
  <c r="V49" i="34"/>
  <c r="V52" i="34"/>
  <c r="V51" i="34"/>
  <c r="BC42" i="40"/>
  <c r="BK42" i="40"/>
  <c r="BK41" i="40"/>
  <c r="BC41" i="40"/>
  <c r="BH33" i="42"/>
  <c r="AZ33" i="42"/>
  <c r="AZ32" i="42"/>
  <c r="BH32" i="42"/>
  <c r="AZ26" i="13"/>
  <c r="BH26" i="13"/>
  <c r="AX35" i="17"/>
  <c r="BF35" i="17"/>
  <c r="AY40" i="10"/>
  <c r="BG40" i="10"/>
  <c r="AY44" i="10"/>
  <c r="BG44" i="10"/>
  <c r="AX40" i="36"/>
  <c r="BF40" i="36"/>
  <c r="BF42" i="36"/>
  <c r="AX42" i="36"/>
  <c r="R45" i="12"/>
  <c r="R41" i="12"/>
  <c r="R44" i="12"/>
  <c r="R40" i="12"/>
  <c r="R43" i="12"/>
  <c r="R42" i="12"/>
  <c r="BB50" i="22"/>
  <c r="BJ50" i="22"/>
  <c r="BH49" i="38"/>
  <c r="AZ49" i="38"/>
  <c r="AZ51" i="38"/>
  <c r="BH51" i="38"/>
  <c r="BA31" i="40"/>
  <c r="BI31" i="40"/>
  <c r="BA33" i="40"/>
  <c r="BI33" i="40"/>
  <c r="AY41" i="28"/>
  <c r="BG41" i="28"/>
  <c r="AX41" i="34"/>
  <c r="BF41" i="34"/>
  <c r="BA22" i="32"/>
  <c r="BI22" i="32"/>
  <c r="BA24" i="32"/>
  <c r="BI24" i="32"/>
  <c r="BA52" i="13"/>
  <c r="BI52" i="13"/>
  <c r="BA54" i="13"/>
  <c r="BI54" i="13"/>
  <c r="BJ49" i="18"/>
  <c r="BB49" i="18"/>
  <c r="AX51" i="20"/>
  <c r="BF51" i="20"/>
  <c r="AX50" i="20"/>
  <c r="BF50" i="20"/>
  <c r="AZ35" i="23"/>
  <c r="BH35" i="23"/>
  <c r="BJ22" i="28"/>
  <c r="BB22" i="28"/>
  <c r="BA32" i="24"/>
  <c r="BI32" i="24"/>
  <c r="BA31" i="24"/>
  <c r="BI31" i="24"/>
  <c r="AZ44" i="31"/>
  <c r="BH44" i="31"/>
  <c r="BI33" i="33"/>
  <c r="BA33" i="33"/>
  <c r="BC24" i="34"/>
  <c r="BK24" i="34"/>
  <c r="BK23" i="34"/>
  <c r="BC23" i="34"/>
  <c r="BJ40" i="38"/>
  <c r="BB40" i="38"/>
  <c r="AY42" i="40"/>
  <c r="BG42" i="40"/>
  <c r="BG41" i="40"/>
  <c r="AY41" i="40"/>
  <c r="BC31" i="32"/>
  <c r="BK31" i="32"/>
  <c r="J24" i="29"/>
  <c r="J27" i="29"/>
  <c r="J23" i="29"/>
  <c r="J26" i="29"/>
  <c r="J22" i="29"/>
  <c r="J25" i="29"/>
  <c r="AZ24" i="17"/>
  <c r="BH24" i="17"/>
  <c r="BA49" i="16"/>
  <c r="BI49" i="16"/>
  <c r="AX50" i="21"/>
  <c r="BF50" i="21"/>
  <c r="AX49" i="21"/>
  <c r="BD49" i="21" s="1"/>
  <c r="AJ6" i="21" s="1"/>
  <c r="BF49" i="21"/>
  <c r="BL49" i="21" s="1"/>
  <c r="AO6" i="21" s="1"/>
  <c r="BC50" i="27"/>
  <c r="BK50" i="27"/>
  <c r="BC54" i="27"/>
  <c r="BK54" i="27"/>
  <c r="BC31" i="22"/>
  <c r="BK31" i="22"/>
  <c r="BH23" i="29"/>
  <c r="AZ23" i="29"/>
  <c r="AZ22" i="29"/>
  <c r="BH22" i="29"/>
  <c r="BJ50" i="27"/>
  <c r="BB50" i="27"/>
  <c r="BB49" i="27"/>
  <c r="BJ49" i="27"/>
  <c r="BB42" i="32"/>
  <c r="BJ42" i="32"/>
  <c r="BB41" i="32"/>
  <c r="BJ41" i="32"/>
  <c r="AY31" i="38"/>
  <c r="BG31" i="38"/>
  <c r="BB33" i="40"/>
  <c r="BJ33" i="40"/>
  <c r="BB32" i="40"/>
  <c r="BJ32" i="40"/>
  <c r="AY43" i="39"/>
  <c r="BG43" i="39"/>
  <c r="AY45" i="39"/>
  <c r="BG45" i="39"/>
  <c r="AX42" i="11"/>
  <c r="BF42" i="11"/>
  <c r="BJ40" i="16"/>
  <c r="BB40" i="16"/>
  <c r="BH51" i="25"/>
  <c r="AZ51" i="25"/>
  <c r="AZ50" i="25"/>
  <c r="BH50" i="25"/>
  <c r="BI42" i="35"/>
  <c r="BA42" i="35"/>
  <c r="BB51" i="12"/>
  <c r="BJ51" i="12"/>
  <c r="BB50" i="12"/>
  <c r="BJ50" i="12"/>
  <c r="AY34" i="15"/>
  <c r="BG34" i="15"/>
  <c r="AY36" i="15"/>
  <c r="BG36" i="15"/>
  <c r="BI35" i="19"/>
  <c r="BA35" i="19"/>
  <c r="BC23" i="26"/>
  <c r="BK23" i="26"/>
  <c r="BK22" i="26"/>
  <c r="BC22" i="26"/>
  <c r="BC44" i="33"/>
  <c r="BK44" i="33"/>
  <c r="BA34" i="21"/>
  <c r="BI34" i="21"/>
  <c r="BA36" i="21"/>
  <c r="BI36" i="21"/>
  <c r="AY24" i="26"/>
  <c r="BG24" i="26"/>
  <c r="AY33" i="22"/>
  <c r="BG33" i="22"/>
  <c r="BG32" i="22"/>
  <c r="AY32" i="22"/>
  <c r="AX51" i="30"/>
  <c r="BF51" i="30"/>
  <c r="AX50" i="30"/>
  <c r="BF50" i="30"/>
  <c r="BL50" i="30" s="1"/>
  <c r="AO7" i="30" s="1"/>
  <c r="BJ31" i="30"/>
  <c r="BB31" i="30"/>
  <c r="N33" i="33"/>
  <c r="N36" i="33"/>
  <c r="N32" i="33"/>
  <c r="N35" i="33"/>
  <c r="N31" i="33"/>
  <c r="N34" i="33"/>
  <c r="BC32" i="40"/>
  <c r="BK32" i="40"/>
  <c r="BA22" i="25"/>
  <c r="BI22" i="25"/>
  <c r="AX33" i="36"/>
  <c r="BF33" i="36"/>
  <c r="AX32" i="36"/>
  <c r="BF32" i="36"/>
  <c r="BI33" i="17"/>
  <c r="BA33" i="17"/>
  <c r="BH32" i="21"/>
  <c r="AZ32" i="21"/>
  <c r="AZ31" i="21"/>
  <c r="BH31" i="21"/>
  <c r="BJ22" i="22"/>
  <c r="BB22" i="22"/>
  <c r="BH24" i="38"/>
  <c r="AZ24" i="38"/>
  <c r="AZ23" i="38"/>
  <c r="BH23" i="38"/>
  <c r="BI26" i="39"/>
  <c r="BA26" i="39"/>
  <c r="BH25" i="19"/>
  <c r="AZ25" i="19"/>
  <c r="AZ27" i="19"/>
  <c r="BH27" i="19"/>
  <c r="AY41" i="37"/>
  <c r="BG41" i="37"/>
  <c r="BG40" i="37"/>
  <c r="AY40" i="37"/>
  <c r="AX53" i="39"/>
  <c r="BD53" i="39" s="1"/>
  <c r="AJ10" i="39" s="1"/>
  <c r="BF53" i="39"/>
  <c r="BL53" i="39" s="1"/>
  <c r="AO10" i="39" s="1"/>
  <c r="AX42" i="16"/>
  <c r="BF42" i="16"/>
  <c r="AX41" i="16"/>
  <c r="BF41" i="16"/>
  <c r="BF31" i="34"/>
  <c r="AX31" i="34"/>
  <c r="AX42" i="22"/>
  <c r="BF42" i="22"/>
  <c r="BL42" i="22" s="1"/>
  <c r="AN8" i="22" s="1"/>
  <c r="AX41" i="22"/>
  <c r="BF41" i="22"/>
  <c r="BI44" i="29"/>
  <c r="BA44" i="29"/>
  <c r="AY51" i="41"/>
  <c r="BG51" i="41"/>
  <c r="BK25" i="36"/>
  <c r="BF23" i="13"/>
  <c r="AX23" i="13"/>
  <c r="AX22" i="20"/>
  <c r="BF22" i="20"/>
  <c r="BC27" i="21"/>
  <c r="BK27" i="21"/>
  <c r="AX41" i="33"/>
  <c r="BF41" i="33"/>
  <c r="AY34" i="39"/>
  <c r="BG34" i="39"/>
  <c r="AX36" i="18"/>
  <c r="BF36" i="18"/>
  <c r="BA32" i="31"/>
  <c r="BI32" i="31"/>
  <c r="BA53" i="20"/>
  <c r="BI53" i="20"/>
  <c r="G52" i="31"/>
  <c r="G51" i="31"/>
  <c r="G54" i="31"/>
  <c r="G50" i="31"/>
  <c r="G53" i="31"/>
  <c r="G49" i="31"/>
  <c r="BB51" i="41"/>
  <c r="BJ51" i="41"/>
  <c r="BF43" i="42"/>
  <c r="AX43" i="42"/>
  <c r="BA44" i="13"/>
  <c r="BI44" i="13"/>
  <c r="BA31" i="27"/>
  <c r="BI31" i="27"/>
  <c r="AX51" i="40"/>
  <c r="BD51" i="40" s="1"/>
  <c r="AJ8" i="40" s="1"/>
  <c r="BF51" i="40"/>
  <c r="BL51" i="40" s="1"/>
  <c r="AO8" i="40" s="1"/>
  <c r="K33" i="20"/>
  <c r="K36" i="20"/>
  <c r="K32" i="20"/>
  <c r="K35" i="20"/>
  <c r="K31" i="20"/>
  <c r="K34" i="20"/>
  <c r="BH34" i="17"/>
  <c r="AZ34" i="17"/>
  <c r="BK42" i="23"/>
  <c r="BC42" i="23"/>
  <c r="F27" i="32"/>
  <c r="F23" i="32"/>
  <c r="F26" i="32"/>
  <c r="F22" i="32"/>
  <c r="F25" i="32"/>
  <c r="F24" i="32"/>
  <c r="AY52" i="31"/>
  <c r="BG52" i="31"/>
  <c r="BC52" i="39"/>
  <c r="BK52" i="39"/>
  <c r="AX51" i="11"/>
  <c r="BF51" i="11"/>
  <c r="AX45" i="28"/>
  <c r="BF45" i="28"/>
  <c r="BG26" i="15"/>
  <c r="AY26" i="15"/>
  <c r="W34" i="15"/>
  <c r="W33" i="15"/>
  <c r="W36" i="15"/>
  <c r="W32" i="15"/>
  <c r="W35" i="15"/>
  <c r="W31" i="15"/>
  <c r="AX51" i="24"/>
  <c r="BF51" i="24"/>
  <c r="BB26" i="36"/>
  <c r="BJ26" i="36"/>
  <c r="BA51" i="10"/>
  <c r="BI51" i="10"/>
  <c r="AY41" i="19"/>
  <c r="BG41" i="19"/>
  <c r="BB31" i="22"/>
  <c r="BJ31" i="22"/>
  <c r="AX54" i="22"/>
  <c r="BF54" i="22"/>
  <c r="BA25" i="27"/>
  <c r="BI25" i="27"/>
  <c r="BK25" i="28"/>
  <c r="BC25" i="28"/>
  <c r="BB54" i="38"/>
  <c r="BJ54" i="38"/>
  <c r="BB43" i="25"/>
  <c r="BJ43" i="25"/>
  <c r="BC50" i="14"/>
  <c r="BK50" i="14"/>
  <c r="J24" i="11"/>
  <c r="J27" i="11"/>
  <c r="J23" i="11"/>
  <c r="J26" i="11"/>
  <c r="J22" i="11"/>
  <c r="J25" i="11"/>
  <c r="AX33" i="21"/>
  <c r="BF33" i="21"/>
  <c r="BB25" i="16"/>
  <c r="BJ25" i="16"/>
  <c r="BA26" i="31"/>
  <c r="BI26" i="31"/>
  <c r="BF50" i="29"/>
  <c r="AX50" i="29"/>
  <c r="BC40" i="24"/>
  <c r="BK40" i="24"/>
  <c r="AZ54" i="30"/>
  <c r="BH54" i="30"/>
  <c r="BG26" i="19"/>
  <c r="AY26" i="19"/>
  <c r="BI40" i="17"/>
  <c r="BA40" i="17"/>
  <c r="BA49" i="39"/>
  <c r="BI49" i="39"/>
  <c r="BA41" i="34"/>
  <c r="BI41" i="34"/>
  <c r="AY24" i="37"/>
  <c r="BG24" i="37"/>
  <c r="BF22" i="22"/>
  <c r="AX22" i="22"/>
  <c r="AY43" i="41"/>
  <c r="BG43" i="41"/>
  <c r="AX22" i="10"/>
  <c r="BF22" i="10"/>
  <c r="AZ42" i="18"/>
  <c r="BH42" i="18"/>
  <c r="AZ36" i="28"/>
  <c r="BH36" i="28"/>
  <c r="BB45" i="11"/>
  <c r="BJ45" i="11"/>
  <c r="BC26" i="14"/>
  <c r="BK26" i="14"/>
  <c r="AX22" i="13"/>
  <c r="BD22" i="13" s="1"/>
  <c r="AG6" i="13" s="1"/>
  <c r="BF22" i="13"/>
  <c r="BL22" i="13" s="1"/>
  <c r="AL6" i="13" s="1"/>
  <c r="AX24" i="13"/>
  <c r="BF24" i="13"/>
  <c r="BB25" i="18"/>
  <c r="BJ25" i="18"/>
  <c r="AX22" i="21"/>
  <c r="BD22" i="21" s="1"/>
  <c r="AG6" i="21" s="1"/>
  <c r="BF22" i="21"/>
  <c r="BC25" i="21"/>
  <c r="BK25" i="21"/>
  <c r="BK35" i="23"/>
  <c r="BC35" i="23"/>
  <c r="BB42" i="37"/>
  <c r="BJ42" i="37"/>
  <c r="BJ32" i="39"/>
  <c r="BB32" i="39"/>
  <c r="BG35" i="39"/>
  <c r="AY35" i="39"/>
  <c r="BF35" i="18"/>
  <c r="BL35" i="18" s="1"/>
  <c r="AM10" i="18" s="1"/>
  <c r="AX35" i="18"/>
  <c r="BA51" i="26"/>
  <c r="BI51" i="26"/>
  <c r="BF26" i="27"/>
  <c r="BL26" i="27" s="1"/>
  <c r="AL10" i="27" s="1"/>
  <c r="AX26" i="27"/>
  <c r="BD26" i="27" s="1"/>
  <c r="AG10" i="27" s="1"/>
  <c r="BA33" i="31"/>
  <c r="BI33" i="31"/>
  <c r="BI54" i="20"/>
  <c r="BA54" i="20"/>
  <c r="G53" i="25"/>
  <c r="G49" i="25"/>
  <c r="G52" i="25"/>
  <c r="G51" i="25"/>
  <c r="G54" i="25"/>
  <c r="G50" i="25"/>
  <c r="BJ53" i="36"/>
  <c r="BB53" i="36"/>
  <c r="BJ50" i="41"/>
  <c r="BB50" i="41"/>
  <c r="BH36" i="13"/>
  <c r="AZ36" i="13"/>
  <c r="BG25" i="10"/>
  <c r="AY25" i="10"/>
  <c r="AX44" i="42"/>
  <c r="BF44" i="42"/>
  <c r="BA43" i="13"/>
  <c r="BI43" i="13"/>
  <c r="BA33" i="27"/>
  <c r="BI33" i="27"/>
  <c r="BH52" i="27"/>
  <c r="AZ52" i="27"/>
  <c r="BH32" i="31"/>
  <c r="AZ32" i="31"/>
  <c r="AY24" i="35"/>
  <c r="BG24" i="35"/>
  <c r="BH52" i="39"/>
  <c r="AZ52" i="39"/>
  <c r="AZ54" i="39"/>
  <c r="BH54" i="39"/>
  <c r="BC22" i="32"/>
  <c r="BK22" i="32"/>
  <c r="AZ35" i="17"/>
  <c r="BH35" i="17"/>
  <c r="BF45" i="21"/>
  <c r="AX45" i="21"/>
  <c r="BC41" i="21"/>
  <c r="BK41" i="21"/>
  <c r="BC44" i="23"/>
  <c r="BK44" i="23"/>
  <c r="AZ36" i="29"/>
  <c r="BH36" i="29"/>
  <c r="J35" i="33"/>
  <c r="J31" i="33"/>
  <c r="J34" i="33"/>
  <c r="J33" i="33"/>
  <c r="J36" i="33"/>
  <c r="J32" i="33"/>
  <c r="BB23" i="27"/>
  <c r="BJ23" i="27"/>
  <c r="BC54" i="39"/>
  <c r="BK54" i="39"/>
  <c r="BF50" i="11"/>
  <c r="AX50" i="11"/>
  <c r="BA51" i="31"/>
  <c r="BI51" i="31"/>
  <c r="AZ52" i="12"/>
  <c r="BH52" i="12"/>
  <c r="AY25" i="15"/>
  <c r="BG25" i="15"/>
  <c r="BA42" i="19"/>
  <c r="BI42" i="19"/>
  <c r="BF50" i="24"/>
  <c r="AX50" i="24"/>
  <c r="AX45" i="30"/>
  <c r="BD45" i="30" s="1"/>
  <c r="AI11" i="30" s="1"/>
  <c r="BF45" i="30"/>
  <c r="BL45" i="30" s="1"/>
  <c r="AN11" i="30" s="1"/>
  <c r="BB25" i="30"/>
  <c r="BJ25" i="30"/>
  <c r="O53" i="34"/>
  <c r="O49" i="34"/>
  <c r="O52" i="34"/>
  <c r="O51" i="34"/>
  <c r="O54" i="34"/>
  <c r="O50" i="34"/>
  <c r="BB27" i="36"/>
  <c r="BJ27" i="36"/>
  <c r="O54" i="10"/>
  <c r="O53" i="10"/>
  <c r="O52" i="10"/>
  <c r="O51" i="10"/>
  <c r="O50" i="10"/>
  <c r="O49" i="10"/>
  <c r="AX26" i="13"/>
  <c r="BF26" i="13"/>
  <c r="BL26" i="13" s="1"/>
  <c r="AL10" i="13" s="1"/>
  <c r="BB23" i="18"/>
  <c r="BJ23" i="18"/>
  <c r="AX27" i="20"/>
  <c r="BF27" i="20"/>
  <c r="BH41" i="17"/>
  <c r="AZ41" i="17"/>
  <c r="AZ40" i="17"/>
  <c r="BH40" i="17"/>
  <c r="AX26" i="21"/>
  <c r="BD26" i="21" s="1"/>
  <c r="AG10" i="21" s="1"/>
  <c r="BF26" i="21"/>
  <c r="BC23" i="21"/>
  <c r="BK23" i="21"/>
  <c r="BK22" i="21"/>
  <c r="BC22" i="21"/>
  <c r="BC33" i="23"/>
  <c r="BK33" i="23"/>
  <c r="AY50" i="27"/>
  <c r="BG50" i="27"/>
  <c r="AY54" i="27"/>
  <c r="BG54" i="27"/>
  <c r="BB44" i="37"/>
  <c r="BJ44" i="37"/>
  <c r="BB34" i="39"/>
  <c r="BJ34" i="39"/>
  <c r="BJ36" i="39"/>
  <c r="BB36" i="39"/>
  <c r="AY33" i="39"/>
  <c r="BG33" i="39"/>
  <c r="AX33" i="18"/>
  <c r="BD33" i="18" s="1"/>
  <c r="AH8" i="18" s="1"/>
  <c r="BF33" i="18"/>
  <c r="BL33" i="18" s="1"/>
  <c r="AM8" i="18" s="1"/>
  <c r="AX32" i="18"/>
  <c r="BF32" i="18"/>
  <c r="BI53" i="26"/>
  <c r="BA53" i="26"/>
  <c r="AX24" i="27"/>
  <c r="BF24" i="27"/>
  <c r="AX23" i="27"/>
  <c r="BF23" i="27"/>
  <c r="BI35" i="31"/>
  <c r="BA35" i="31"/>
  <c r="AX24" i="28"/>
  <c r="BF24" i="28"/>
  <c r="AX23" i="28"/>
  <c r="BF23" i="28"/>
  <c r="BA49" i="20"/>
  <c r="BI49" i="20"/>
  <c r="BA51" i="20"/>
  <c r="BI51" i="20"/>
  <c r="F53" i="31"/>
  <c r="F49" i="31"/>
  <c r="F52" i="31"/>
  <c r="F51" i="31"/>
  <c r="F54" i="31"/>
  <c r="F50" i="31"/>
  <c r="BC50" i="24"/>
  <c r="BK50" i="24"/>
  <c r="BK49" i="24"/>
  <c r="BC49" i="24"/>
  <c r="BB51" i="36"/>
  <c r="BJ51" i="36"/>
  <c r="BB50" i="36"/>
  <c r="BJ50" i="36"/>
  <c r="BB52" i="41"/>
  <c r="BJ52" i="41"/>
  <c r="BJ54" i="41"/>
  <c r="BB54" i="41"/>
  <c r="AZ33" i="13"/>
  <c r="BH33" i="13"/>
  <c r="BG22" i="10"/>
  <c r="AY22" i="10"/>
  <c r="BG26" i="10"/>
  <c r="AY26" i="10"/>
  <c r="AY31" i="36"/>
  <c r="BG31" i="36"/>
  <c r="AY33" i="36"/>
  <c r="BG33" i="36"/>
  <c r="AX40" i="42"/>
  <c r="BF40" i="42"/>
  <c r="BK52" i="12"/>
  <c r="BC52" i="12"/>
  <c r="BA41" i="13"/>
  <c r="BI41" i="13"/>
  <c r="BA40" i="13"/>
  <c r="BI40" i="13"/>
  <c r="AY32" i="21"/>
  <c r="BG32" i="21"/>
  <c r="BI34" i="27"/>
  <c r="BA34" i="27"/>
  <c r="BA36" i="27"/>
  <c r="BI36" i="27"/>
  <c r="BH54" i="27"/>
  <c r="AZ54" i="27"/>
  <c r="AZ53" i="27"/>
  <c r="BH53" i="27"/>
  <c r="BH36" i="31"/>
  <c r="AZ36" i="31"/>
  <c r="AZ35" i="31"/>
  <c r="BH35" i="31"/>
  <c r="AY25" i="35"/>
  <c r="BG25" i="35"/>
  <c r="AZ49" i="39"/>
  <c r="BH49" i="39"/>
  <c r="AZ51" i="39"/>
  <c r="BH51" i="39"/>
  <c r="BF53" i="40"/>
  <c r="AX53" i="40"/>
  <c r="BC26" i="32"/>
  <c r="BK26" i="32"/>
  <c r="BK25" i="32"/>
  <c r="BC25" i="32"/>
  <c r="O35" i="14"/>
  <c r="O31" i="14"/>
  <c r="O34" i="14"/>
  <c r="O33" i="14"/>
  <c r="O36" i="14"/>
  <c r="O32" i="14"/>
  <c r="AZ32" i="17"/>
  <c r="BH32" i="17"/>
  <c r="AX40" i="21"/>
  <c r="BF40" i="21"/>
  <c r="AX42" i="21"/>
  <c r="BD42" i="21" s="1"/>
  <c r="AI8" i="21" s="1"/>
  <c r="BF42" i="21"/>
  <c r="BL42" i="21" s="1"/>
  <c r="AN8" i="21" s="1"/>
  <c r="BC45" i="21"/>
  <c r="BK45" i="21"/>
  <c r="BK44" i="21"/>
  <c r="BC44" i="21"/>
  <c r="BC45" i="23"/>
  <c r="BK45" i="23"/>
  <c r="AZ31" i="29"/>
  <c r="BH31" i="29"/>
  <c r="AZ33" i="29"/>
  <c r="BH33" i="29"/>
  <c r="K34" i="33"/>
  <c r="K33" i="33"/>
  <c r="K36" i="33"/>
  <c r="K32" i="33"/>
  <c r="K35" i="33"/>
  <c r="K31" i="33"/>
  <c r="BB25" i="27"/>
  <c r="BJ25" i="27"/>
  <c r="BB27" i="27"/>
  <c r="BJ27" i="27"/>
  <c r="AY50" i="31"/>
  <c r="BG50" i="31"/>
  <c r="BC51" i="39"/>
  <c r="BK51" i="39"/>
  <c r="AX52" i="11"/>
  <c r="BF52" i="11"/>
  <c r="BF54" i="11"/>
  <c r="AX54" i="11"/>
  <c r="BB51" i="14"/>
  <c r="BJ51" i="14"/>
  <c r="BB50" i="14"/>
  <c r="BJ50" i="14"/>
  <c r="BI53" i="31"/>
  <c r="BA53" i="31"/>
  <c r="AX42" i="28"/>
  <c r="BF42" i="28"/>
  <c r="AX41" i="28"/>
  <c r="BF41" i="28"/>
  <c r="AZ49" i="12"/>
  <c r="BH49" i="12"/>
  <c r="AY23" i="15"/>
  <c r="BG23" i="15"/>
  <c r="BG22" i="15"/>
  <c r="AY22" i="15"/>
  <c r="BA43" i="19"/>
  <c r="BI43" i="19"/>
  <c r="V35" i="15"/>
  <c r="V31" i="15"/>
  <c r="V34" i="15"/>
  <c r="V33" i="15"/>
  <c r="V36" i="15"/>
  <c r="V32" i="15"/>
  <c r="BC31" i="25"/>
  <c r="BK31" i="25"/>
  <c r="BC33" i="25"/>
  <c r="BK33" i="25"/>
  <c r="AX52" i="24"/>
  <c r="BF52" i="24"/>
  <c r="BF54" i="24"/>
  <c r="AX54" i="24"/>
  <c r="AX40" i="30"/>
  <c r="BF40" i="30"/>
  <c r="BF42" i="30"/>
  <c r="AX42" i="30"/>
  <c r="BB23" i="30"/>
  <c r="BJ23" i="30"/>
  <c r="BB22" i="36"/>
  <c r="BJ22" i="36"/>
  <c r="BJ24" i="36"/>
  <c r="BB24" i="36"/>
  <c r="G51" i="38"/>
  <c r="G54" i="38"/>
  <c r="G50" i="38"/>
  <c r="G53" i="38"/>
  <c r="G49" i="38"/>
  <c r="G52" i="38"/>
  <c r="BJ51" i="10"/>
  <c r="BB51" i="10"/>
  <c r="N54" i="10"/>
  <c r="N53" i="10"/>
  <c r="N52" i="10"/>
  <c r="N51" i="10"/>
  <c r="N50" i="10"/>
  <c r="N49" i="10"/>
  <c r="BI54" i="14"/>
  <c r="BA54" i="14"/>
  <c r="AY44" i="19"/>
  <c r="BG44" i="19"/>
  <c r="BA44" i="23"/>
  <c r="BI44" i="23"/>
  <c r="BA42" i="23"/>
  <c r="BI42" i="23"/>
  <c r="BB36" i="22"/>
  <c r="BJ36" i="22"/>
  <c r="AZ32" i="38"/>
  <c r="BH32" i="38"/>
  <c r="AX50" i="16"/>
  <c r="BF50" i="16"/>
  <c r="AX22" i="34"/>
  <c r="BF22" i="34"/>
  <c r="BF24" i="34"/>
  <c r="AX24" i="34"/>
  <c r="AX50" i="22"/>
  <c r="BF50" i="22"/>
  <c r="BB32" i="13"/>
  <c r="BJ32" i="13"/>
  <c r="BB31" i="13"/>
  <c r="BJ31" i="13"/>
  <c r="BA22" i="27"/>
  <c r="BI22" i="27"/>
  <c r="BA24" i="27"/>
  <c r="BI24" i="27"/>
  <c r="AY41" i="32"/>
  <c r="BG41" i="32"/>
  <c r="BC22" i="28"/>
  <c r="BK22" i="28"/>
  <c r="BC24" i="28"/>
  <c r="BK24" i="28"/>
  <c r="AZ32" i="27"/>
  <c r="BH32" i="27"/>
  <c r="BC49" i="34"/>
  <c r="BK49" i="34"/>
  <c r="BC51" i="34"/>
  <c r="BK51" i="34"/>
  <c r="O42" i="36"/>
  <c r="O45" i="36"/>
  <c r="O41" i="36"/>
  <c r="O44" i="36"/>
  <c r="O40" i="36"/>
  <c r="O43" i="36"/>
  <c r="BB50" i="38"/>
  <c r="BJ50" i="38"/>
  <c r="BI50" i="18"/>
  <c r="BA50" i="18"/>
  <c r="BB40" i="25"/>
  <c r="BJ40" i="25"/>
  <c r="BJ42" i="25"/>
  <c r="BB42" i="25"/>
  <c r="AX45" i="12"/>
  <c r="BF45" i="12"/>
  <c r="BC53" i="14"/>
  <c r="BK53" i="14"/>
  <c r="BK52" i="14"/>
  <c r="BC52" i="14"/>
  <c r="AZ49" i="17"/>
  <c r="BH49" i="17"/>
  <c r="AZ51" i="17"/>
  <c r="BH51" i="17"/>
  <c r="BA35" i="16"/>
  <c r="BI35" i="16"/>
  <c r="AX36" i="21"/>
  <c r="BF36" i="21"/>
  <c r="BL36" i="21" s="1"/>
  <c r="AM11" i="21" s="1"/>
  <c r="AX35" i="21"/>
  <c r="BF35" i="21"/>
  <c r="AY24" i="31"/>
  <c r="BG24" i="31"/>
  <c r="AY25" i="39"/>
  <c r="BG25" i="39"/>
  <c r="AY27" i="39"/>
  <c r="BG27" i="39"/>
  <c r="AX24" i="11"/>
  <c r="BF24" i="11"/>
  <c r="BB24" i="16"/>
  <c r="BJ24" i="16"/>
  <c r="BB23" i="16"/>
  <c r="BJ23" i="16"/>
  <c r="AZ31" i="25"/>
  <c r="BH31" i="25"/>
  <c r="BA23" i="31"/>
  <c r="BI23" i="31"/>
  <c r="BA22" i="31"/>
  <c r="BI22" i="31"/>
  <c r="BC25" i="12"/>
  <c r="BK25" i="12"/>
  <c r="BH26" i="12"/>
  <c r="AZ26" i="12"/>
  <c r="AZ25" i="12"/>
  <c r="BH25" i="12"/>
  <c r="AY26" i="16"/>
  <c r="BG26" i="16"/>
  <c r="BG25" i="16"/>
  <c r="AY25" i="16"/>
  <c r="AY40" i="22"/>
  <c r="BG40" i="22"/>
  <c r="AY42" i="22"/>
  <c r="BG42" i="22"/>
  <c r="BC43" i="24"/>
  <c r="BK43" i="24"/>
  <c r="BC45" i="24"/>
  <c r="BK45" i="24"/>
  <c r="BH51" i="30"/>
  <c r="AZ51" i="30"/>
  <c r="AZ50" i="30"/>
  <c r="BH50" i="30"/>
  <c r="V36" i="34"/>
  <c r="V32" i="34"/>
  <c r="V35" i="34"/>
  <c r="V31" i="34"/>
  <c r="V34" i="34"/>
  <c r="V33" i="34"/>
  <c r="BB22" i="42"/>
  <c r="BJ22" i="42"/>
  <c r="BJ24" i="42"/>
  <c r="BB24" i="42"/>
  <c r="AY23" i="19"/>
  <c r="BG23" i="19"/>
  <c r="BG22" i="19"/>
  <c r="AY22" i="19"/>
  <c r="BA49" i="23"/>
  <c r="BI49" i="23"/>
  <c r="BA43" i="17"/>
  <c r="BI43" i="17"/>
  <c r="BA45" i="17"/>
  <c r="BI45" i="17"/>
  <c r="AZ44" i="21"/>
  <c r="BH44" i="21"/>
  <c r="BA52" i="39"/>
  <c r="BI52" i="39"/>
  <c r="BH41" i="19"/>
  <c r="AZ41" i="19"/>
  <c r="AZ44" i="19"/>
  <c r="BH44" i="19"/>
  <c r="BA44" i="34"/>
  <c r="BI44" i="34"/>
  <c r="AY27" i="37"/>
  <c r="BG27" i="37"/>
  <c r="BG26" i="37"/>
  <c r="AY26" i="37"/>
  <c r="BF32" i="39"/>
  <c r="AX32" i="39"/>
  <c r="AX25" i="16"/>
  <c r="BF25" i="16"/>
  <c r="AX27" i="16"/>
  <c r="BF27" i="16"/>
  <c r="AX25" i="22"/>
  <c r="BD25" i="22" s="1"/>
  <c r="AG9" i="22" s="1"/>
  <c r="BF25" i="22"/>
  <c r="AX27" i="22"/>
  <c r="BF27" i="22"/>
  <c r="BA23" i="29"/>
  <c r="BI23" i="29"/>
  <c r="AY41" i="41"/>
  <c r="BG41" i="41"/>
  <c r="AX36" i="13"/>
  <c r="BD36" i="13" s="1"/>
  <c r="AH11" i="13" s="1"/>
  <c r="BF36" i="13"/>
  <c r="BL36" i="13" s="1"/>
  <c r="AM11" i="13" s="1"/>
  <c r="AX35" i="13"/>
  <c r="BD35" i="13" s="1"/>
  <c r="AH10" i="13" s="1"/>
  <c r="BF35" i="13"/>
  <c r="BL35" i="13" s="1"/>
  <c r="AM10" i="13" s="1"/>
  <c r="AX25" i="10"/>
  <c r="BF25" i="10"/>
  <c r="AZ45" i="18"/>
  <c r="BH45" i="18"/>
  <c r="BA42" i="27"/>
  <c r="BI42" i="27"/>
  <c r="AZ32" i="28"/>
  <c r="BH32" i="28"/>
  <c r="AX41" i="40"/>
  <c r="BF41" i="40"/>
  <c r="BL41" i="40" s="1"/>
  <c r="AN7" i="40" s="1"/>
  <c r="J53" i="29"/>
  <c r="J49" i="29"/>
  <c r="J52" i="29"/>
  <c r="J51" i="29"/>
  <c r="J54" i="29"/>
  <c r="J50" i="29"/>
  <c r="BB41" i="11"/>
  <c r="BJ41" i="11"/>
  <c r="BB40" i="11"/>
  <c r="BJ40" i="11"/>
  <c r="AX33" i="12"/>
  <c r="BF33" i="12"/>
  <c r="AX32" i="12"/>
  <c r="BF32" i="12"/>
  <c r="BC22" i="14"/>
  <c r="BK22" i="14"/>
  <c r="AX41" i="18"/>
  <c r="BF41" i="18"/>
  <c r="AX32" i="27"/>
  <c r="BF32" i="27"/>
  <c r="AX49" i="28"/>
  <c r="BD49" i="28" s="1"/>
  <c r="AJ6" i="28" s="1"/>
  <c r="BF49" i="28"/>
  <c r="BF51" i="28"/>
  <c r="AX51" i="28"/>
  <c r="AZ41" i="12"/>
  <c r="BH41" i="12"/>
  <c r="AZ23" i="20"/>
  <c r="BH23" i="20"/>
  <c r="BH31" i="22"/>
  <c r="AZ31" i="22"/>
  <c r="AZ33" i="22"/>
  <c r="BH33" i="22"/>
  <c r="AZ23" i="30"/>
  <c r="BH23" i="30"/>
  <c r="N44" i="33"/>
  <c r="N40" i="33"/>
  <c r="N43" i="33"/>
  <c r="N42" i="33"/>
  <c r="N45" i="33"/>
  <c r="N41" i="33"/>
  <c r="R45" i="36"/>
  <c r="R41" i="36"/>
  <c r="R44" i="36"/>
  <c r="R40" i="36"/>
  <c r="R43" i="36"/>
  <c r="R42" i="36"/>
  <c r="BJ31" i="36"/>
  <c r="BB31" i="36"/>
  <c r="BB41" i="41"/>
  <c r="BJ41" i="41"/>
  <c r="BB40" i="41"/>
  <c r="BJ40" i="41"/>
  <c r="BJ31" i="42"/>
  <c r="BB31" i="42"/>
  <c r="AY51" i="19"/>
  <c r="BG51" i="19"/>
  <c r="BH40" i="40"/>
  <c r="AZ40" i="40"/>
  <c r="AZ42" i="40"/>
  <c r="BH42" i="40"/>
  <c r="BF49" i="10"/>
  <c r="AX49" i="10"/>
  <c r="BF53" i="10"/>
  <c r="AX53" i="10"/>
  <c r="BI24" i="13"/>
  <c r="BA24" i="13"/>
  <c r="BF49" i="14"/>
  <c r="AX49" i="14"/>
  <c r="AZ24" i="23"/>
  <c r="BH24" i="23"/>
  <c r="BB42" i="28"/>
  <c r="BJ42" i="28"/>
  <c r="BB41" i="28"/>
  <c r="BJ41" i="28"/>
  <c r="BI51" i="24"/>
  <c r="BA51" i="24"/>
  <c r="BH25" i="31"/>
  <c r="AZ25" i="31"/>
  <c r="AZ27" i="31"/>
  <c r="BH27" i="31"/>
  <c r="BI51" i="33"/>
  <c r="BA51" i="33"/>
  <c r="BC42" i="34"/>
  <c r="BK42" i="34"/>
  <c r="BK41" i="34"/>
  <c r="BC41" i="34"/>
  <c r="BA31" i="38"/>
  <c r="BI31" i="38"/>
  <c r="BH34" i="39"/>
  <c r="AZ34" i="39"/>
  <c r="AZ36" i="39"/>
  <c r="BH36" i="39"/>
  <c r="BF31" i="40"/>
  <c r="AX31" i="40"/>
  <c r="BA42" i="18"/>
  <c r="BI42" i="18"/>
  <c r="BA41" i="18"/>
  <c r="BI41" i="18"/>
  <c r="BJ53" i="25"/>
  <c r="BB53" i="25"/>
  <c r="BC27" i="31"/>
  <c r="BK27" i="31"/>
  <c r="BK26" i="31"/>
  <c r="BC26" i="31"/>
  <c r="AZ34" i="35"/>
  <c r="BH34" i="35"/>
  <c r="AX22" i="37"/>
  <c r="BF22" i="37"/>
  <c r="AX24" i="37"/>
  <c r="BD24" i="37" s="1"/>
  <c r="AG8" i="37" s="1"/>
  <c r="BF24" i="37"/>
  <c r="AY53" i="13"/>
  <c r="BG53" i="13"/>
  <c r="BI23" i="16"/>
  <c r="BA23" i="16"/>
  <c r="BC40" i="27"/>
  <c r="BK40" i="27"/>
  <c r="BC42" i="27"/>
  <c r="BK42" i="27"/>
  <c r="BB32" i="27"/>
  <c r="BJ32" i="27"/>
  <c r="BB31" i="32"/>
  <c r="BJ31" i="32"/>
  <c r="BJ33" i="32"/>
  <c r="BB33" i="32"/>
  <c r="BB32" i="16"/>
  <c r="BJ32" i="16"/>
  <c r="BH22" i="25"/>
  <c r="AZ22" i="25"/>
  <c r="AZ24" i="25"/>
  <c r="BH24" i="25"/>
  <c r="AZ31" i="12"/>
  <c r="BH31" i="12"/>
  <c r="BI42" i="15"/>
  <c r="BA42" i="15"/>
  <c r="AY33" i="16"/>
  <c r="BG33" i="16"/>
  <c r="BG32" i="16"/>
  <c r="AY32" i="16"/>
  <c r="BC33" i="33"/>
  <c r="BK33" i="33"/>
  <c r="BA52" i="21"/>
  <c r="BI52" i="21"/>
  <c r="BA54" i="21"/>
  <c r="BI54" i="21"/>
  <c r="AY42" i="26"/>
  <c r="BG42" i="26"/>
  <c r="AY51" i="22"/>
  <c r="BG51" i="22"/>
  <c r="BG50" i="22"/>
  <c r="AY50" i="22"/>
  <c r="F42" i="31"/>
  <c r="F45" i="31"/>
  <c r="F41" i="31"/>
  <c r="F44" i="31"/>
  <c r="F40" i="31"/>
  <c r="F43" i="31"/>
  <c r="AX23" i="30"/>
  <c r="BD23" i="30" s="1"/>
  <c r="AG7" i="30" s="1"/>
  <c r="BF23" i="30"/>
  <c r="BL23" i="30" s="1"/>
  <c r="AL7" i="30" s="1"/>
  <c r="BB40" i="42"/>
  <c r="BJ40" i="42"/>
  <c r="BJ44" i="42"/>
  <c r="BB44" i="42"/>
  <c r="BA35" i="14"/>
  <c r="BI35" i="14"/>
  <c r="BA34" i="14"/>
  <c r="BI34" i="14"/>
  <c r="AY32" i="19"/>
  <c r="BG32" i="19"/>
  <c r="BA23" i="23"/>
  <c r="BI23" i="23"/>
  <c r="BI25" i="42"/>
  <c r="BA25" i="42"/>
  <c r="BA27" i="42"/>
  <c r="BI27" i="42"/>
  <c r="BH25" i="15"/>
  <c r="AZ25" i="15"/>
  <c r="AZ27" i="15"/>
  <c r="BH27" i="15"/>
  <c r="AX33" i="26"/>
  <c r="BF33" i="26"/>
  <c r="BB43" i="26"/>
  <c r="BJ43" i="26"/>
  <c r="BJ45" i="26"/>
  <c r="BB45" i="26"/>
  <c r="AY40" i="30"/>
  <c r="BG40" i="30"/>
  <c r="BH41" i="41"/>
  <c r="AZ41" i="41"/>
  <c r="AZ40" i="41"/>
  <c r="BH40" i="41"/>
  <c r="AY40" i="14"/>
  <c r="BG40" i="14"/>
  <c r="BB32" i="19"/>
  <c r="BJ32" i="19"/>
  <c r="BB31" i="19"/>
  <c r="BJ31" i="19"/>
  <c r="AZ33" i="37"/>
  <c r="BH33" i="37"/>
  <c r="AX32" i="15"/>
  <c r="BF32" i="15"/>
  <c r="AX31" i="15"/>
  <c r="BF31" i="15"/>
  <c r="BA49" i="28"/>
  <c r="BI49" i="28"/>
  <c r="AZ31" i="40"/>
  <c r="BH31" i="40"/>
  <c r="AY25" i="23"/>
  <c r="BG25" i="23"/>
  <c r="AY27" i="23"/>
  <c r="BG27" i="23"/>
  <c r="AX33" i="19"/>
  <c r="BD33" i="19" s="1"/>
  <c r="AH8" i="19" s="1"/>
  <c r="BF33" i="19"/>
  <c r="BL33" i="19" s="1"/>
  <c r="AM8" i="19" s="1"/>
  <c r="AY25" i="24"/>
  <c r="BG25" i="24"/>
  <c r="AY27" i="24"/>
  <c r="BG27" i="24"/>
  <c r="BB51" i="31"/>
  <c r="BJ51" i="31"/>
  <c r="BA23" i="37"/>
  <c r="BI23" i="37"/>
  <c r="BA22" i="37"/>
  <c r="BI22" i="37"/>
  <c r="BB51" i="13"/>
  <c r="BJ51" i="13"/>
  <c r="AX40" i="10"/>
  <c r="BF40" i="10"/>
  <c r="AX44" i="10"/>
  <c r="BF44" i="10"/>
  <c r="AX44" i="20"/>
  <c r="BF44" i="20"/>
  <c r="AX43" i="20"/>
  <c r="BF43" i="20"/>
  <c r="BB35" i="28"/>
  <c r="BJ35" i="28"/>
  <c r="BB34" i="28"/>
  <c r="BJ34" i="28"/>
  <c r="AY53" i="40"/>
  <c r="BG53" i="40"/>
  <c r="BG52" i="40"/>
  <c r="AY52" i="40"/>
  <c r="BC34" i="16"/>
  <c r="BK34" i="16"/>
  <c r="BK36" i="16"/>
  <c r="BC36" i="16"/>
  <c r="BB42" i="24"/>
  <c r="BJ42" i="24"/>
  <c r="BA35" i="22"/>
  <c r="BI35" i="22"/>
  <c r="AY44" i="34"/>
  <c r="BG44" i="34"/>
  <c r="AY25" i="13"/>
  <c r="BG25" i="13"/>
  <c r="N43" i="14"/>
  <c r="N42" i="14"/>
  <c r="N45" i="14"/>
  <c r="N41" i="14"/>
  <c r="N44" i="14"/>
  <c r="N40" i="14"/>
  <c r="BI45" i="16"/>
  <c r="BA45" i="16"/>
  <c r="BC22" i="22"/>
  <c r="BK22" i="22"/>
  <c r="BC24" i="22"/>
  <c r="BK24" i="22"/>
  <c r="AY23" i="27"/>
  <c r="BG23" i="27"/>
  <c r="J42" i="33"/>
  <c r="J45" i="33"/>
  <c r="J41" i="33"/>
  <c r="J44" i="33"/>
  <c r="J40" i="33"/>
  <c r="J43" i="33"/>
  <c r="BB41" i="12"/>
  <c r="BJ41" i="12"/>
  <c r="O33" i="16"/>
  <c r="O36" i="16"/>
  <c r="O32" i="16"/>
  <c r="O35" i="16"/>
  <c r="O31" i="16"/>
  <c r="O34" i="16"/>
  <c r="BA40" i="20"/>
  <c r="BI40" i="20"/>
  <c r="BC35" i="26"/>
  <c r="BK35" i="26"/>
  <c r="BH33" i="20"/>
  <c r="AZ33" i="20"/>
  <c r="AZ32" i="20"/>
  <c r="BH32" i="20"/>
  <c r="BB32" i="21"/>
  <c r="BJ32" i="21"/>
  <c r="BB31" i="21"/>
  <c r="BJ31" i="21"/>
  <c r="AZ22" i="22"/>
  <c r="BH22" i="22"/>
  <c r="N24" i="26"/>
  <c r="N27" i="26"/>
  <c r="N23" i="26"/>
  <c r="N26" i="26"/>
  <c r="N22" i="26"/>
  <c r="N25" i="26"/>
  <c r="BB34" i="33"/>
  <c r="BJ34" i="33"/>
  <c r="BJ36" i="33"/>
  <c r="BB36" i="33"/>
  <c r="F45" i="38"/>
  <c r="F41" i="38"/>
  <c r="F44" i="38"/>
  <c r="F40" i="38"/>
  <c r="F43" i="38"/>
  <c r="F42" i="38"/>
  <c r="BC22" i="40"/>
  <c r="BK22" i="40"/>
  <c r="BB52" i="42"/>
  <c r="BJ52" i="42"/>
  <c r="BJ54" i="42"/>
  <c r="BB54" i="42"/>
  <c r="AX42" i="17"/>
  <c r="BD42" i="17" s="1"/>
  <c r="AI8" i="17" s="1"/>
  <c r="BF42" i="17"/>
  <c r="BL42" i="17" s="1"/>
  <c r="AN8" i="17" s="1"/>
  <c r="O27" i="10"/>
  <c r="O26" i="10"/>
  <c r="O25" i="10"/>
  <c r="O24" i="10"/>
  <c r="O23" i="10"/>
  <c r="O22" i="10"/>
  <c r="BA35" i="25"/>
  <c r="BI35" i="25"/>
  <c r="BA34" i="25"/>
  <c r="BI34" i="25"/>
  <c r="BA33" i="42"/>
  <c r="BI33" i="42"/>
  <c r="BI22" i="17"/>
  <c r="BA22" i="17"/>
  <c r="BA24" i="17"/>
  <c r="BI24" i="17"/>
  <c r="AZ23" i="21"/>
  <c r="BH23" i="21"/>
  <c r="BA36" i="39"/>
  <c r="BI36" i="39"/>
  <c r="BA35" i="39"/>
  <c r="BI35" i="39"/>
  <c r="AZ34" i="19"/>
  <c r="BH34" i="19"/>
  <c r="BI25" i="34"/>
  <c r="BA25" i="34"/>
  <c r="BA27" i="34"/>
  <c r="BI27" i="34"/>
  <c r="BA44" i="40"/>
  <c r="BI44" i="40"/>
  <c r="AY52" i="28"/>
  <c r="BG52" i="28"/>
  <c r="BG54" i="28"/>
  <c r="AY54" i="28"/>
  <c r="AY50" i="37"/>
  <c r="BG50" i="37"/>
  <c r="AX45" i="39"/>
  <c r="BF45" i="39"/>
  <c r="AX44" i="39"/>
  <c r="BD44" i="39" s="1"/>
  <c r="AI10" i="39" s="1"/>
  <c r="BF44" i="39"/>
  <c r="BL44" i="39" s="1"/>
  <c r="AN10" i="39" s="1"/>
  <c r="BA54" i="29"/>
  <c r="BI54" i="29"/>
  <c r="BA53" i="29"/>
  <c r="BI53" i="29"/>
  <c r="BA53" i="32"/>
  <c r="BI53" i="32"/>
  <c r="AY24" i="41"/>
  <c r="BG24" i="41"/>
  <c r="BG26" i="41"/>
  <c r="AY26" i="41"/>
  <c r="BA32" i="13"/>
  <c r="BI32" i="13"/>
  <c r="BB34" i="18"/>
  <c r="BJ34" i="18"/>
  <c r="BB36" i="18"/>
  <c r="BJ36" i="18"/>
  <c r="AY50" i="21"/>
  <c r="BG50" i="21"/>
  <c r="BH50" i="31"/>
  <c r="AZ50" i="31"/>
  <c r="AZ49" i="31"/>
  <c r="BH49" i="31"/>
  <c r="AY42" i="35"/>
  <c r="BG42" i="35"/>
  <c r="AY22" i="40"/>
  <c r="BG22" i="40"/>
  <c r="BC32" i="31"/>
  <c r="BK32" i="31"/>
  <c r="AZ22" i="35"/>
  <c r="BH22" i="35"/>
  <c r="AZ24" i="35"/>
  <c r="BH24" i="35"/>
  <c r="G44" i="23"/>
  <c r="G43" i="23"/>
  <c r="G42" i="23"/>
  <c r="G45" i="23"/>
  <c r="G41" i="23"/>
  <c r="G40" i="23"/>
  <c r="AX27" i="18"/>
  <c r="BD27" i="18" s="1"/>
  <c r="AG11" i="18" s="1"/>
  <c r="BF27" i="18"/>
  <c r="BL27" i="18" s="1"/>
  <c r="AL11" i="18" s="1"/>
  <c r="AY43" i="15"/>
  <c r="BG43" i="15"/>
  <c r="BA27" i="19"/>
  <c r="BI27" i="19"/>
  <c r="BA26" i="19"/>
  <c r="BI26" i="19"/>
  <c r="BC49" i="26"/>
  <c r="BK49" i="26"/>
  <c r="BK51" i="26"/>
  <c r="BC51" i="26"/>
  <c r="BK23" i="33"/>
  <c r="BC23" i="33"/>
  <c r="BC27" i="33"/>
  <c r="BK27" i="33"/>
  <c r="BA43" i="21"/>
  <c r="BI43" i="21"/>
  <c r="AY49" i="26"/>
  <c r="BG49" i="26"/>
  <c r="BG51" i="26"/>
  <c r="AY51" i="26"/>
  <c r="AX45" i="24"/>
  <c r="BF45" i="24"/>
  <c r="AX44" i="24"/>
  <c r="BF44" i="24"/>
  <c r="BB40" i="30"/>
  <c r="BJ40" i="30"/>
  <c r="BJ42" i="30"/>
  <c r="BB42" i="30"/>
  <c r="W42" i="34"/>
  <c r="W45" i="34"/>
  <c r="W41" i="34"/>
  <c r="W44" i="34"/>
  <c r="W40" i="34"/>
  <c r="W43" i="34"/>
  <c r="BB25" i="41"/>
  <c r="BJ25" i="41"/>
  <c r="K33" i="42"/>
  <c r="K36" i="42"/>
  <c r="K32" i="42"/>
  <c r="K35" i="42"/>
  <c r="K31" i="42"/>
  <c r="K34" i="42"/>
  <c r="BI25" i="14"/>
  <c r="BA25" i="14"/>
  <c r="BA27" i="14"/>
  <c r="BI27" i="14"/>
  <c r="BI54" i="25"/>
  <c r="BA54" i="25"/>
  <c r="AY54" i="30"/>
  <c r="BG54" i="30"/>
  <c r="AY49" i="14"/>
  <c r="BG49" i="14"/>
  <c r="AY51" i="14"/>
  <c r="BG51" i="14"/>
  <c r="BA40" i="28"/>
  <c r="BI40" i="28"/>
  <c r="BA42" i="28"/>
  <c r="BI42" i="28"/>
  <c r="BH22" i="40"/>
  <c r="AZ22" i="40"/>
  <c r="AZ24" i="40"/>
  <c r="BH24" i="40"/>
  <c r="AX33" i="14"/>
  <c r="BF33" i="14"/>
  <c r="AX32" i="14"/>
  <c r="BF32" i="14"/>
  <c r="AY23" i="21"/>
  <c r="BG23" i="21"/>
  <c r="BG22" i="21"/>
  <c r="AY22" i="21"/>
  <c r="AY31" i="32"/>
  <c r="BG31" i="32"/>
  <c r="BC33" i="28"/>
  <c r="BK33" i="28"/>
  <c r="BK32" i="28"/>
  <c r="BC32" i="28"/>
  <c r="AZ22" i="27"/>
  <c r="BH22" i="27"/>
  <c r="AY34" i="35"/>
  <c r="BG34" i="35"/>
  <c r="AY36" i="35"/>
  <c r="BG36" i="35"/>
  <c r="AX51" i="35"/>
  <c r="BD51" i="35" s="1"/>
  <c r="AJ8" i="35" s="1"/>
  <c r="BF51" i="35"/>
  <c r="BA51" i="38"/>
  <c r="BI51" i="38"/>
  <c r="BA50" i="38"/>
  <c r="BI50" i="38"/>
  <c r="AZ42" i="39"/>
  <c r="BH42" i="39"/>
  <c r="AX53" i="41"/>
  <c r="BF53" i="41"/>
  <c r="BA22" i="18"/>
  <c r="BI22" i="18"/>
  <c r="BB33" i="25"/>
  <c r="BJ33" i="25"/>
  <c r="BB32" i="25"/>
  <c r="BJ32" i="25"/>
  <c r="BC52" i="31"/>
  <c r="BK52" i="31"/>
  <c r="BC54" i="31"/>
  <c r="BK54" i="31"/>
  <c r="AZ44" i="35"/>
  <c r="BH44" i="35"/>
  <c r="AX50" i="37"/>
  <c r="BD50" i="37" s="1"/>
  <c r="AJ7" i="37" s="1"/>
  <c r="BF50" i="37"/>
  <c r="BL50" i="37" s="1"/>
  <c r="AO7" i="37" s="1"/>
  <c r="AX49" i="37"/>
  <c r="BD49" i="37" s="1"/>
  <c r="AJ6" i="37" s="1"/>
  <c r="BF49" i="37"/>
  <c r="BL49" i="37" s="1"/>
  <c r="AO6" i="37" s="1"/>
  <c r="AY43" i="17"/>
  <c r="BG43" i="17"/>
  <c r="AY45" i="17"/>
  <c r="BG45" i="17"/>
  <c r="BC53" i="21"/>
  <c r="BK53" i="21"/>
  <c r="BC25" i="23"/>
  <c r="BK25" i="23"/>
  <c r="BC27" i="23"/>
  <c r="BK27" i="23"/>
  <c r="AY34" i="27"/>
  <c r="BG34" i="27"/>
  <c r="BG36" i="27"/>
  <c r="AY36" i="27"/>
  <c r="AY43" i="31"/>
  <c r="BG43" i="31"/>
  <c r="BB22" i="37"/>
  <c r="BJ22" i="37"/>
  <c r="BB24" i="37"/>
  <c r="BJ24" i="37"/>
  <c r="BJ43" i="39"/>
  <c r="BB43" i="39"/>
  <c r="BC40" i="39"/>
  <c r="BK40" i="39"/>
  <c r="BK42" i="39"/>
  <c r="BC42" i="39"/>
  <c r="BI31" i="26"/>
  <c r="BA31" i="26"/>
  <c r="BA33" i="26"/>
  <c r="BI33" i="26"/>
  <c r="BA43" i="31"/>
  <c r="BI43" i="31"/>
  <c r="BA27" i="15"/>
  <c r="BI27" i="15"/>
  <c r="BA26" i="15"/>
  <c r="BI26" i="15"/>
  <c r="BC25" i="25"/>
  <c r="BK25" i="25"/>
  <c r="BK27" i="25"/>
  <c r="BC27" i="25"/>
  <c r="BJ23" i="21"/>
  <c r="BB23" i="21"/>
  <c r="AX27" i="24"/>
  <c r="BF27" i="24"/>
  <c r="AX26" i="24"/>
  <c r="BF26" i="24"/>
  <c r="BC36" i="24"/>
  <c r="BK36" i="24"/>
  <c r="BK35" i="24"/>
  <c r="BC35" i="24"/>
  <c r="O25" i="33"/>
  <c r="O24" i="33"/>
  <c r="O27" i="33"/>
  <c r="O23" i="33"/>
  <c r="O26" i="33"/>
  <c r="O22" i="33"/>
  <c r="BB27" i="33"/>
  <c r="BJ27" i="33"/>
  <c r="BH22" i="42"/>
  <c r="AZ22" i="42"/>
  <c r="AZ24" i="42"/>
  <c r="BH24" i="42"/>
  <c r="BA42" i="14"/>
  <c r="BI42" i="14"/>
  <c r="BA41" i="14"/>
  <c r="BI41" i="14"/>
  <c r="BI33" i="23"/>
  <c r="BA33" i="23"/>
  <c r="BI40" i="42"/>
  <c r="BA40" i="42"/>
  <c r="BA43" i="42"/>
  <c r="BI43" i="42"/>
  <c r="BH50" i="15"/>
  <c r="AZ50" i="15"/>
  <c r="AZ49" i="15"/>
  <c r="BH49" i="15"/>
  <c r="AX44" i="26"/>
  <c r="BF44" i="26"/>
  <c r="BB25" i="26"/>
  <c r="BJ25" i="26"/>
  <c r="BJ27" i="26"/>
  <c r="BB27" i="26"/>
  <c r="AY22" i="30"/>
  <c r="BG22" i="30"/>
  <c r="BH52" i="41"/>
  <c r="AZ52" i="41"/>
  <c r="AZ54" i="41"/>
  <c r="BH54" i="41"/>
  <c r="AY22" i="14"/>
  <c r="BG22" i="14"/>
  <c r="BB52" i="19"/>
  <c r="BJ52" i="19"/>
  <c r="BJ54" i="19"/>
  <c r="BB54" i="19"/>
  <c r="AZ44" i="37"/>
  <c r="BH44" i="37"/>
  <c r="AX43" i="15"/>
  <c r="BF43" i="15"/>
  <c r="BF45" i="15"/>
  <c r="AX45" i="15"/>
  <c r="BA31" i="28"/>
  <c r="BI31" i="28"/>
  <c r="AY42" i="36"/>
  <c r="BG42" i="36"/>
  <c r="BG41" i="36"/>
  <c r="AY41" i="36"/>
  <c r="AY51" i="23"/>
  <c r="BG51" i="23"/>
  <c r="BG50" i="23"/>
  <c r="AY50" i="23"/>
  <c r="AX53" i="19"/>
  <c r="BF53" i="19"/>
  <c r="AY50" i="24"/>
  <c r="BG50" i="24"/>
  <c r="BG49" i="24"/>
  <c r="AY49" i="24"/>
  <c r="BB44" i="31"/>
  <c r="BJ44" i="31"/>
  <c r="BA52" i="37"/>
  <c r="BI52" i="37"/>
  <c r="BA54" i="37"/>
  <c r="BI54" i="37"/>
  <c r="AX53" i="42"/>
  <c r="BF53" i="42"/>
  <c r="BB43" i="13"/>
  <c r="BJ43" i="13"/>
  <c r="BJ45" i="13"/>
  <c r="BB45" i="13"/>
  <c r="AZ50" i="28"/>
  <c r="BH50" i="28"/>
  <c r="BB32" i="38"/>
  <c r="BJ32" i="38"/>
  <c r="AY31" i="40"/>
  <c r="BG31" i="40"/>
  <c r="AY33" i="40"/>
  <c r="BG33" i="40"/>
  <c r="BC40" i="16"/>
  <c r="BK40" i="16"/>
  <c r="BC42" i="16"/>
  <c r="BK42" i="16"/>
  <c r="BI41" i="22"/>
  <c r="BA41" i="22"/>
  <c r="AY22" i="25"/>
  <c r="BG22" i="25"/>
  <c r="AY34" i="17"/>
  <c r="BG34" i="17"/>
  <c r="BC53" i="22"/>
  <c r="BK53" i="22"/>
  <c r="BH41" i="29"/>
  <c r="AZ41" i="29"/>
  <c r="AZ40" i="29"/>
  <c r="BH40" i="29"/>
  <c r="AY35" i="31"/>
  <c r="BG35" i="31"/>
  <c r="AY51" i="38"/>
  <c r="BG51" i="38"/>
  <c r="BG50" i="38"/>
  <c r="AY50" i="38"/>
  <c r="BJ49" i="40"/>
  <c r="BB49" i="40"/>
  <c r="BC32" i="39"/>
  <c r="BK32" i="39"/>
  <c r="BK31" i="39"/>
  <c r="BC31" i="39"/>
  <c r="AX34" i="11"/>
  <c r="BF34" i="11"/>
  <c r="BF36" i="11"/>
  <c r="AX36" i="11"/>
  <c r="BJ31" i="14"/>
  <c r="BB31" i="14"/>
  <c r="BA32" i="35"/>
  <c r="BI32" i="35"/>
  <c r="BB26" i="12"/>
  <c r="BJ26" i="12"/>
  <c r="BB25" i="12"/>
  <c r="BJ25" i="12"/>
  <c r="AZ45" i="20"/>
  <c r="BH45" i="20"/>
  <c r="BH53" i="22"/>
  <c r="AZ53" i="22"/>
  <c r="AZ52" i="22"/>
  <c r="BH52" i="22"/>
  <c r="F43" i="25"/>
  <c r="F42" i="25"/>
  <c r="F45" i="25"/>
  <c r="F41" i="25"/>
  <c r="F44" i="25"/>
  <c r="F40" i="25"/>
  <c r="BJ53" i="30"/>
  <c r="BB53" i="30"/>
  <c r="BJ43" i="33"/>
  <c r="BB43" i="33"/>
  <c r="BC50" i="42"/>
  <c r="BK50" i="42"/>
  <c r="AX27" i="17"/>
  <c r="BD27" i="17" s="1"/>
  <c r="AG11" i="17" s="1"/>
  <c r="BF27" i="17"/>
  <c r="BL27" i="17" s="1"/>
  <c r="AL11" i="17" s="1"/>
  <c r="AX26" i="17"/>
  <c r="BD26" i="17" s="1"/>
  <c r="AG10" i="17" s="1"/>
  <c r="BF26" i="17"/>
  <c r="BL26" i="17" s="1"/>
  <c r="AL10" i="17" s="1"/>
  <c r="BA53" i="34"/>
  <c r="BI53" i="34"/>
  <c r="BA52" i="34"/>
  <c r="BI52" i="34"/>
  <c r="AX36" i="16"/>
  <c r="BF36" i="16"/>
  <c r="AX36" i="22"/>
  <c r="BF36" i="22"/>
  <c r="BL36" i="22" s="1"/>
  <c r="AM11" i="22" s="1"/>
  <c r="AY34" i="41"/>
  <c r="BG34" i="41"/>
  <c r="BG33" i="41"/>
  <c r="AY33" i="41"/>
  <c r="AZ52" i="18"/>
  <c r="BH52" i="18"/>
  <c r="AZ54" i="18"/>
  <c r="BH54" i="18"/>
  <c r="BH41" i="23"/>
  <c r="AZ41" i="23"/>
  <c r="AZ44" i="23"/>
  <c r="BH44" i="23"/>
  <c r="BB23" i="29"/>
  <c r="BJ23" i="29"/>
  <c r="BI22" i="24"/>
  <c r="BA22" i="24"/>
  <c r="BA24" i="24"/>
  <c r="BI24" i="24"/>
  <c r="BA22" i="33"/>
  <c r="BI22" i="33"/>
  <c r="AZ25" i="28"/>
  <c r="BH25" i="28"/>
  <c r="AZ27" i="28"/>
  <c r="BH27" i="28"/>
  <c r="BF41" i="35"/>
  <c r="BL41" i="35" s="1"/>
  <c r="AN7" i="35" s="1"/>
  <c r="AX41" i="35"/>
  <c r="BD41" i="35" s="1"/>
  <c r="AI7" i="35" s="1"/>
  <c r="BB25" i="38"/>
  <c r="BJ25" i="38"/>
  <c r="BB27" i="38"/>
  <c r="BJ27" i="38"/>
  <c r="AX26" i="41"/>
  <c r="BF26" i="41"/>
  <c r="AX24" i="41"/>
  <c r="BF24" i="41"/>
  <c r="BI32" i="18"/>
  <c r="BA32" i="18"/>
  <c r="BB23" i="25"/>
  <c r="BJ23" i="25"/>
  <c r="J45" i="20"/>
  <c r="J41" i="20"/>
  <c r="J44" i="20"/>
  <c r="J40" i="20"/>
  <c r="J43" i="20"/>
  <c r="J42" i="20"/>
  <c r="AX22" i="12"/>
  <c r="BF22" i="12"/>
  <c r="BF24" i="12"/>
  <c r="AX24" i="12"/>
  <c r="BC32" i="14"/>
  <c r="BK32" i="14"/>
  <c r="O24" i="14"/>
  <c r="O27" i="14"/>
  <c r="O23" i="14"/>
  <c r="O26" i="14"/>
  <c r="O22" i="14"/>
  <c r="O25" i="14"/>
  <c r="AY50" i="17"/>
  <c r="BG50" i="17"/>
  <c r="BG49" i="17"/>
  <c r="AY49" i="17"/>
  <c r="AX23" i="29"/>
  <c r="BF23" i="29"/>
  <c r="F34" i="32"/>
  <c r="F33" i="32"/>
  <c r="F36" i="32"/>
  <c r="F32" i="32"/>
  <c r="F35" i="32"/>
  <c r="F31" i="32"/>
  <c r="BB36" i="37"/>
  <c r="BJ36" i="37"/>
  <c r="BB35" i="37"/>
  <c r="BJ35" i="37"/>
  <c r="BB49" i="39"/>
  <c r="BJ49" i="39"/>
  <c r="BB51" i="39"/>
  <c r="BJ51" i="39"/>
  <c r="AY52" i="39"/>
  <c r="BG52" i="39"/>
  <c r="AX52" i="18"/>
  <c r="BD52" i="18" s="1"/>
  <c r="AJ9" i="18" s="1"/>
  <c r="BF52" i="18"/>
  <c r="BL52" i="18" s="1"/>
  <c r="AO9" i="18" s="1"/>
  <c r="AX54" i="18"/>
  <c r="BD54" i="18" s="1"/>
  <c r="AJ11" i="18" s="1"/>
  <c r="BF54" i="18"/>
  <c r="BA25" i="26"/>
  <c r="BI25" i="26"/>
  <c r="AX42" i="27"/>
  <c r="BF42" i="27"/>
  <c r="BL42" i="27" s="1"/>
  <c r="AN8" i="27" s="1"/>
  <c r="AX41" i="27"/>
  <c r="BD41" i="27" s="1"/>
  <c r="AI7" i="27" s="1"/>
  <c r="BF41" i="27"/>
  <c r="BA50" i="35"/>
  <c r="BI50" i="35"/>
  <c r="BA32" i="15"/>
  <c r="BI32" i="15"/>
  <c r="W27" i="15"/>
  <c r="W23" i="15"/>
  <c r="W26" i="15"/>
  <c r="W22" i="15"/>
  <c r="W25" i="15"/>
  <c r="W24" i="15"/>
  <c r="O44" i="16"/>
  <c r="O40" i="16"/>
  <c r="O43" i="16"/>
  <c r="O42" i="16"/>
  <c r="O45" i="16"/>
  <c r="O41" i="16"/>
  <c r="AY27" i="22"/>
  <c r="BG27" i="22"/>
  <c r="O52" i="26"/>
  <c r="O51" i="26"/>
  <c r="O54" i="26"/>
  <c r="O50" i="26"/>
  <c r="O53" i="26"/>
  <c r="O49" i="26"/>
  <c r="O44" i="32"/>
  <c r="O40" i="32"/>
  <c r="O43" i="32"/>
  <c r="O42" i="32"/>
  <c r="O45" i="32"/>
  <c r="O41" i="32"/>
  <c r="N43" i="34"/>
  <c r="N42" i="34"/>
  <c r="N45" i="34"/>
  <c r="N41" i="34"/>
  <c r="N44" i="34"/>
  <c r="N40" i="34"/>
  <c r="F27" i="38"/>
  <c r="F23" i="38"/>
  <c r="F26" i="38"/>
  <c r="F22" i="38"/>
  <c r="F25" i="38"/>
  <c r="F24" i="38"/>
  <c r="BA41" i="11"/>
  <c r="BI41" i="11"/>
  <c r="AY35" i="30"/>
  <c r="BG35" i="30"/>
  <c r="BG34" i="30"/>
  <c r="AY34" i="30"/>
  <c r="AY32" i="14"/>
  <c r="BG32" i="14"/>
  <c r="BI23" i="28"/>
  <c r="BA23" i="28"/>
  <c r="AY49" i="36"/>
  <c r="BG49" i="36"/>
  <c r="AY51" i="36"/>
  <c r="BG51" i="36"/>
  <c r="AX23" i="42"/>
  <c r="BF23" i="42"/>
  <c r="AX51" i="13"/>
  <c r="BD51" i="13" s="1"/>
  <c r="AJ8" i="13" s="1"/>
  <c r="BF51" i="13"/>
  <c r="AX33" i="10"/>
  <c r="BF33" i="10"/>
  <c r="AX41" i="14"/>
  <c r="BF41" i="14"/>
  <c r="AZ23" i="18"/>
  <c r="BH23" i="18"/>
  <c r="AZ50" i="23"/>
  <c r="BH50" i="23"/>
  <c r="BB49" i="28"/>
  <c r="BJ49" i="28"/>
  <c r="BJ51" i="28"/>
  <c r="BB51" i="28"/>
  <c r="BI23" i="38"/>
  <c r="BA23" i="38"/>
  <c r="AX23" i="40"/>
  <c r="BF23" i="40"/>
  <c r="BC40" i="32"/>
  <c r="BK40" i="32"/>
  <c r="BC42" i="32"/>
  <c r="BK42" i="32"/>
  <c r="AY32" i="34"/>
  <c r="BG32" i="34"/>
  <c r="AX32" i="37"/>
  <c r="BD32" i="37" s="1"/>
  <c r="AH7" i="37" s="1"/>
  <c r="BF32" i="37"/>
  <c r="BL32" i="37" s="1"/>
  <c r="AM7" i="37" s="1"/>
  <c r="AX31" i="37"/>
  <c r="BF31" i="37"/>
  <c r="BC33" i="11"/>
  <c r="BK33" i="11"/>
  <c r="K34" i="11"/>
  <c r="K33" i="11"/>
  <c r="K36" i="11"/>
  <c r="K32" i="11"/>
  <c r="K35" i="11"/>
  <c r="K31" i="11"/>
  <c r="AY22" i="17"/>
  <c r="BG22" i="17"/>
  <c r="BG24" i="17"/>
  <c r="AY24" i="17"/>
  <c r="BC35" i="27"/>
  <c r="BK35" i="27"/>
  <c r="BC34" i="21"/>
  <c r="BK34" i="21"/>
  <c r="BC36" i="21"/>
  <c r="BK36" i="21"/>
  <c r="BC49" i="23"/>
  <c r="BK49" i="23"/>
  <c r="BH52" i="29"/>
  <c r="AZ52" i="29"/>
  <c r="AZ54" i="29"/>
  <c r="BH54" i="29"/>
  <c r="BB43" i="27"/>
  <c r="BJ43" i="27"/>
  <c r="BJ26" i="32"/>
  <c r="BB26" i="32"/>
  <c r="BB54" i="37"/>
  <c r="BJ54" i="37"/>
  <c r="BB53" i="37"/>
  <c r="BJ53" i="37"/>
  <c r="BJ25" i="39"/>
  <c r="BB25" i="39"/>
  <c r="BC22" i="39"/>
  <c r="BK22" i="39"/>
  <c r="BK24" i="39"/>
  <c r="BC24" i="39"/>
  <c r="BA45" i="26"/>
  <c r="BI45" i="26"/>
  <c r="BA44" i="26"/>
  <c r="BI44" i="26"/>
  <c r="AX51" i="27"/>
  <c r="BF51" i="27"/>
  <c r="BA27" i="35"/>
  <c r="BI27" i="35"/>
  <c r="BA26" i="35"/>
  <c r="BI26" i="35"/>
  <c r="O54" i="11"/>
  <c r="O50" i="11"/>
  <c r="O53" i="11"/>
  <c r="O49" i="11"/>
  <c r="O52" i="11"/>
  <c r="O51" i="11"/>
  <c r="BC49" i="25"/>
  <c r="BK49" i="25"/>
  <c r="BC51" i="25"/>
  <c r="BK51" i="25"/>
  <c r="BF31" i="30"/>
  <c r="BL31" i="30" s="1"/>
  <c r="AM6" i="30" s="1"/>
  <c r="AX31" i="30"/>
  <c r="BB53" i="33"/>
  <c r="BJ53" i="33"/>
  <c r="W24" i="34"/>
  <c r="W27" i="34"/>
  <c r="W23" i="34"/>
  <c r="W26" i="34"/>
  <c r="W22" i="34"/>
  <c r="W25" i="34"/>
  <c r="BB41" i="36"/>
  <c r="BJ41" i="36"/>
  <c r="K52" i="42"/>
  <c r="K51" i="42"/>
  <c r="K54" i="42"/>
  <c r="K50" i="42"/>
  <c r="K53" i="42"/>
  <c r="K49" i="42"/>
  <c r="BA36" i="11"/>
  <c r="BI36" i="11"/>
  <c r="BA35" i="11"/>
  <c r="BI35" i="11"/>
  <c r="BI51" i="42"/>
  <c r="BA51" i="42"/>
  <c r="BA53" i="42"/>
  <c r="BI53" i="42"/>
  <c r="BH36" i="15"/>
  <c r="AZ36" i="15"/>
  <c r="AZ35" i="15"/>
  <c r="BH35" i="15"/>
  <c r="BF23" i="26"/>
  <c r="AX23" i="26"/>
  <c r="BB54" i="26"/>
  <c r="BJ54" i="26"/>
  <c r="BB53" i="26"/>
  <c r="BJ53" i="26"/>
  <c r="BH32" i="41"/>
  <c r="AZ32" i="41"/>
  <c r="AZ36" i="41"/>
  <c r="BH36" i="41"/>
  <c r="BB22" i="19"/>
  <c r="BJ22" i="19"/>
  <c r="BB24" i="19"/>
  <c r="BJ24" i="19"/>
  <c r="AZ23" i="37"/>
  <c r="BH23" i="37"/>
  <c r="AX22" i="15"/>
  <c r="BF22" i="15"/>
  <c r="AX24" i="15"/>
  <c r="BF24" i="15"/>
  <c r="AY25" i="36"/>
  <c r="BG25" i="36"/>
  <c r="BG27" i="36"/>
  <c r="AY27" i="36"/>
  <c r="AY36" i="23"/>
  <c r="BG36" i="23"/>
  <c r="BG35" i="23"/>
  <c r="AY35" i="23"/>
  <c r="AX42" i="19"/>
  <c r="BF42" i="19"/>
  <c r="BL42" i="19" s="1"/>
  <c r="AN8" i="19" s="1"/>
  <c r="AY36" i="24"/>
  <c r="BG36" i="24"/>
  <c r="BG35" i="24"/>
  <c r="AY35" i="24"/>
  <c r="BJ23" i="31"/>
  <c r="BB23" i="31"/>
  <c r="BI31" i="37"/>
  <c r="BA31" i="37"/>
  <c r="BA33" i="37"/>
  <c r="BI33" i="37"/>
  <c r="BF35" i="42"/>
  <c r="AX35" i="42"/>
  <c r="BJ23" i="13"/>
  <c r="BB23" i="13"/>
  <c r="BC22" i="16"/>
  <c r="BK22" i="16"/>
  <c r="BC24" i="16"/>
  <c r="BK24" i="16"/>
  <c r="BA26" i="22"/>
  <c r="BI26" i="22"/>
  <c r="BA25" i="22"/>
  <c r="BI25" i="22"/>
  <c r="K45" i="29"/>
  <c r="K41" i="29"/>
  <c r="K44" i="29"/>
  <c r="K40" i="29"/>
  <c r="K43" i="29"/>
  <c r="K42" i="29"/>
  <c r="AY54" i="34"/>
  <c r="BG54" i="34"/>
  <c r="AY31" i="13"/>
  <c r="BG31" i="13"/>
  <c r="BG33" i="13"/>
  <c r="AY33" i="13"/>
  <c r="BB45" i="14"/>
  <c r="BJ45" i="14"/>
  <c r="AY45" i="16"/>
  <c r="BG45" i="16"/>
  <c r="BA35" i="20"/>
  <c r="BI35" i="20"/>
  <c r="BA34" i="20"/>
  <c r="BI34" i="20"/>
  <c r="O43" i="24"/>
  <c r="O42" i="24"/>
  <c r="O45" i="24"/>
  <c r="O41" i="24"/>
  <c r="O44" i="24"/>
  <c r="O40" i="24"/>
  <c r="R52" i="36"/>
  <c r="R51" i="36"/>
  <c r="R54" i="36"/>
  <c r="R50" i="36"/>
  <c r="R53" i="36"/>
  <c r="R49" i="36"/>
  <c r="AZ41" i="13"/>
  <c r="BH41" i="13"/>
  <c r="AX49" i="17"/>
  <c r="BF49" i="17"/>
  <c r="AX51" i="17"/>
  <c r="BD51" i="17" s="1"/>
  <c r="AJ8" i="17" s="1"/>
  <c r="BF51" i="17"/>
  <c r="BL51" i="17" s="1"/>
  <c r="AO8" i="17" s="1"/>
  <c r="AY34" i="10"/>
  <c r="BG34" i="10"/>
  <c r="BA54" i="11"/>
  <c r="BI54" i="11"/>
  <c r="BA53" i="11"/>
  <c r="BI53" i="11"/>
  <c r="BI36" i="34"/>
  <c r="BA36" i="34"/>
  <c r="BA53" i="40"/>
  <c r="BI53" i="40"/>
  <c r="BA52" i="40"/>
  <c r="BI52" i="40"/>
  <c r="AY27" i="28"/>
  <c r="BG27" i="28"/>
  <c r="BA44" i="32"/>
  <c r="BI44" i="32"/>
  <c r="BA43" i="32"/>
  <c r="BI43" i="32"/>
  <c r="AZ31" i="18"/>
  <c r="BH31" i="18"/>
  <c r="AY41" i="21"/>
  <c r="BG41" i="21"/>
  <c r="BG40" i="21"/>
  <c r="AY40" i="21"/>
  <c r="BI49" i="27"/>
  <c r="BA49" i="27"/>
  <c r="AY52" i="32"/>
  <c r="BG52" i="32"/>
  <c r="BG54" i="32"/>
  <c r="AY54" i="32"/>
  <c r="BC53" i="28"/>
  <c r="BK53" i="28"/>
  <c r="AZ43" i="27"/>
  <c r="BH43" i="27"/>
  <c r="AZ41" i="27"/>
  <c r="BH41" i="27"/>
  <c r="AY53" i="35"/>
  <c r="BG53" i="35"/>
  <c r="AX26" i="35"/>
  <c r="BD26" i="35" s="1"/>
  <c r="AG10" i="35" s="1"/>
  <c r="BF26" i="35"/>
  <c r="BL26" i="35" s="1"/>
  <c r="AL10" i="35" s="1"/>
  <c r="AX33" i="41"/>
  <c r="BF33" i="41"/>
  <c r="AX31" i="41"/>
  <c r="BF31" i="41"/>
  <c r="BC51" i="32"/>
  <c r="BK51" i="32"/>
  <c r="BK50" i="32"/>
  <c r="BC50" i="32"/>
  <c r="AY22" i="34"/>
  <c r="BG22" i="34"/>
  <c r="BJ32" i="11"/>
  <c r="BB32" i="11"/>
  <c r="AX52" i="12"/>
  <c r="BF52" i="12"/>
  <c r="AX54" i="12"/>
  <c r="BF54" i="12"/>
  <c r="BC44" i="14"/>
  <c r="BK44" i="14"/>
  <c r="AY52" i="15"/>
  <c r="BG52" i="15"/>
  <c r="AY54" i="15"/>
  <c r="BG54" i="15"/>
  <c r="BI51" i="19"/>
  <c r="BA51" i="19"/>
  <c r="BC42" i="26"/>
  <c r="BK42" i="26"/>
  <c r="BC40" i="25"/>
  <c r="BK40" i="25"/>
  <c r="BB43" i="21"/>
  <c r="BJ43" i="21"/>
  <c r="BJ45" i="21"/>
  <c r="BB45" i="21"/>
  <c r="AX34" i="24"/>
  <c r="BF34" i="24"/>
  <c r="BF36" i="24"/>
  <c r="AX36" i="24"/>
  <c r="F35" i="31"/>
  <c r="F31" i="31"/>
  <c r="F34" i="31"/>
  <c r="F33" i="31"/>
  <c r="F36" i="31"/>
  <c r="F32" i="31"/>
  <c r="AZ41" i="30"/>
  <c r="BH41" i="30"/>
  <c r="BC50" i="40"/>
  <c r="BK50" i="40"/>
  <c r="AZ43" i="42"/>
  <c r="BH43" i="42"/>
  <c r="BH45" i="42"/>
  <c r="AZ45" i="42"/>
  <c r="BI26" i="11"/>
  <c r="BA26" i="11"/>
  <c r="BA42" i="25"/>
  <c r="BI42" i="25"/>
  <c r="BA41" i="25"/>
  <c r="BI41" i="25"/>
  <c r="BF49" i="36"/>
  <c r="AX49" i="36"/>
  <c r="BA50" i="17"/>
  <c r="BI50" i="17"/>
  <c r="BA49" i="17"/>
  <c r="BI49" i="17"/>
  <c r="AZ51" i="21"/>
  <c r="BH51" i="21"/>
  <c r="BB42" i="22"/>
  <c r="BJ42" i="22"/>
  <c r="BB41" i="22"/>
  <c r="BJ41" i="22"/>
  <c r="BH43" i="38"/>
  <c r="AZ43" i="38"/>
  <c r="BA43" i="39"/>
  <c r="BI43" i="39"/>
  <c r="BA45" i="39"/>
  <c r="BI45" i="39"/>
  <c r="AZ53" i="19"/>
  <c r="BH53" i="19"/>
  <c r="BA22" i="40"/>
  <c r="BI22" i="40"/>
  <c r="AY33" i="28"/>
  <c r="BG33" i="28"/>
  <c r="BG32" i="28"/>
  <c r="AY32" i="28"/>
  <c r="AY35" i="37"/>
  <c r="BG35" i="37"/>
  <c r="AX23" i="39"/>
  <c r="BF23" i="39"/>
  <c r="AX22" i="39"/>
  <c r="BF22" i="39"/>
  <c r="AX51" i="34"/>
  <c r="BF51" i="34"/>
  <c r="AX50" i="34"/>
  <c r="BF50" i="34"/>
  <c r="BA32" i="29"/>
  <c r="BI32" i="29"/>
  <c r="BA31" i="29"/>
  <c r="BI31" i="29"/>
  <c r="BA31" i="32"/>
  <c r="BI31" i="32"/>
  <c r="AX44" i="13"/>
  <c r="BD44" i="13" s="1"/>
  <c r="AI10" i="13" s="1"/>
  <c r="BF44" i="13"/>
  <c r="BL44" i="13" s="1"/>
  <c r="AN10" i="13" s="1"/>
  <c r="AX22" i="14"/>
  <c r="BF22" i="14"/>
  <c r="BF24" i="14"/>
  <c r="AX24" i="14"/>
  <c r="BB41" i="18"/>
  <c r="BJ41" i="18"/>
  <c r="AY23" i="32"/>
  <c r="BG23" i="32"/>
  <c r="BC40" i="28"/>
  <c r="BK40" i="28"/>
  <c r="BC42" i="28"/>
  <c r="BK42" i="28"/>
  <c r="BC23" i="29"/>
  <c r="BK23" i="29"/>
  <c r="BC36" i="34"/>
  <c r="BK36" i="34"/>
  <c r="BI41" i="38"/>
  <c r="BA41" i="38"/>
  <c r="BA44" i="38"/>
  <c r="BI44" i="38"/>
  <c r="BC45" i="31"/>
  <c r="BK45" i="31"/>
  <c r="BK44" i="31"/>
  <c r="BC44" i="31"/>
  <c r="AZ52" i="35"/>
  <c r="BH52" i="35"/>
  <c r="AX40" i="37"/>
  <c r="BD40" i="37" s="1"/>
  <c r="AI6" i="37" s="1"/>
  <c r="BF40" i="37"/>
  <c r="BL40" i="37" s="1"/>
  <c r="AN6" i="37" s="1"/>
  <c r="AX42" i="37"/>
  <c r="BD42" i="37" s="1"/>
  <c r="AI8" i="37" s="1"/>
  <c r="BF42" i="37"/>
  <c r="J27" i="20"/>
  <c r="J23" i="20"/>
  <c r="J26" i="20"/>
  <c r="J22" i="20"/>
  <c r="J25" i="20"/>
  <c r="J24" i="20"/>
  <c r="BB52" i="11"/>
  <c r="BJ52" i="11"/>
  <c r="BJ54" i="11"/>
  <c r="BB54" i="11"/>
  <c r="N54" i="14"/>
  <c r="N50" i="14"/>
  <c r="N53" i="14"/>
  <c r="N49" i="14"/>
  <c r="N52" i="14"/>
  <c r="N51" i="14"/>
  <c r="BC22" i="27"/>
  <c r="BK22" i="27"/>
  <c r="BC24" i="27"/>
  <c r="BK24" i="27"/>
  <c r="J53" i="33"/>
  <c r="J49" i="33"/>
  <c r="J52" i="33"/>
  <c r="J51" i="33"/>
  <c r="J54" i="33"/>
  <c r="J50" i="33"/>
  <c r="BB49" i="32"/>
  <c r="BJ49" i="32"/>
  <c r="BJ51" i="32"/>
  <c r="BB51" i="32"/>
  <c r="AY23" i="38"/>
  <c r="BG23" i="38"/>
  <c r="BB23" i="40"/>
  <c r="BJ23" i="40"/>
  <c r="BB54" i="16"/>
  <c r="BJ54" i="16"/>
  <c r="BH44" i="25"/>
  <c r="AZ44" i="25"/>
  <c r="AZ43" i="25"/>
  <c r="BH43" i="25"/>
  <c r="W52" i="15"/>
  <c r="W51" i="15"/>
  <c r="W54" i="15"/>
  <c r="W50" i="15"/>
  <c r="W53" i="15"/>
  <c r="W49" i="15"/>
  <c r="AY53" i="16"/>
  <c r="BG53" i="16"/>
  <c r="O26" i="16"/>
  <c r="O22" i="16"/>
  <c r="O25" i="16"/>
  <c r="O24" i="16"/>
  <c r="O27" i="16"/>
  <c r="O23" i="16"/>
  <c r="BC52" i="33"/>
  <c r="BK52" i="33"/>
  <c r="BA27" i="21"/>
  <c r="BI27" i="21"/>
  <c r="BA26" i="21"/>
  <c r="BI26" i="21"/>
  <c r="AY32" i="26"/>
  <c r="BG32" i="26"/>
  <c r="BC23" i="24"/>
  <c r="BK23" i="24"/>
  <c r="O26" i="32"/>
  <c r="O22" i="32"/>
  <c r="O25" i="32"/>
  <c r="O24" i="32"/>
  <c r="O27" i="32"/>
  <c r="O23" i="32"/>
  <c r="AZ35" i="30"/>
  <c r="BH35" i="30"/>
  <c r="N25" i="34"/>
  <c r="N24" i="34"/>
  <c r="N27" i="34"/>
  <c r="N23" i="34"/>
  <c r="N26" i="34"/>
  <c r="N22" i="34"/>
  <c r="BB33" i="41"/>
  <c r="BJ33" i="41"/>
  <c r="BB35" i="41"/>
  <c r="BJ35" i="41"/>
  <c r="BH52" i="42"/>
  <c r="AZ52" i="42"/>
  <c r="BH50" i="13"/>
  <c r="AZ50" i="13"/>
  <c r="AZ49" i="13"/>
  <c r="BH49" i="13"/>
  <c r="O45" i="10"/>
  <c r="O44" i="10"/>
  <c r="O43" i="10"/>
  <c r="O42" i="10"/>
  <c r="O41" i="10"/>
  <c r="O40" i="10"/>
  <c r="AY52" i="10"/>
  <c r="BG52" i="10"/>
  <c r="AX26" i="36"/>
  <c r="BF26" i="36"/>
  <c r="AX25" i="36"/>
  <c r="BF25" i="36"/>
  <c r="AZ40" i="15"/>
  <c r="BH40" i="15"/>
  <c r="AZ42" i="15"/>
  <c r="BH42" i="15"/>
  <c r="BF52" i="26"/>
  <c r="AX52" i="26"/>
  <c r="BB36" i="26"/>
  <c r="BJ36" i="26"/>
  <c r="BB35" i="26"/>
  <c r="BJ35" i="26"/>
  <c r="BH22" i="41"/>
  <c r="AZ22" i="41"/>
  <c r="AZ24" i="41"/>
  <c r="BH24" i="41"/>
  <c r="BB40" i="19"/>
  <c r="BJ40" i="19"/>
  <c r="BB44" i="19"/>
  <c r="BJ44" i="19"/>
  <c r="AZ52" i="37"/>
  <c r="BH52" i="37"/>
  <c r="AX54" i="15"/>
  <c r="BF54" i="15"/>
  <c r="AX53" i="15"/>
  <c r="BF53" i="15"/>
  <c r="AZ53" i="40"/>
  <c r="BH53" i="40"/>
  <c r="AY40" i="23"/>
  <c r="BG40" i="23"/>
  <c r="BG42" i="23"/>
  <c r="AY42" i="23"/>
  <c r="BF23" i="19"/>
  <c r="BL23" i="19" s="1"/>
  <c r="AL7" i="19" s="1"/>
  <c r="AX23" i="19"/>
  <c r="BD23" i="19" s="1"/>
  <c r="AG7" i="19" s="1"/>
  <c r="AY40" i="24"/>
  <c r="BG40" i="24"/>
  <c r="BG42" i="24"/>
  <c r="AY42" i="24"/>
  <c r="BJ34" i="31"/>
  <c r="BB34" i="31"/>
  <c r="BA45" i="37"/>
  <c r="BI45" i="37"/>
  <c r="BA44" i="37"/>
  <c r="BI44" i="37"/>
  <c r="AX34" i="20"/>
  <c r="BF34" i="20"/>
  <c r="AX36" i="20"/>
  <c r="BF36" i="20"/>
  <c r="BA41" i="24"/>
  <c r="BI41" i="24"/>
  <c r="BA43" i="33"/>
  <c r="BI43" i="33"/>
  <c r="BA45" i="33"/>
  <c r="BI45" i="33"/>
  <c r="AZ40" i="28"/>
  <c r="BH40" i="28"/>
  <c r="AX32" i="35"/>
  <c r="BD32" i="35" s="1"/>
  <c r="AH7" i="35" s="1"/>
  <c r="BF32" i="35"/>
  <c r="BL32" i="35" s="1"/>
  <c r="AM7" i="35" s="1"/>
  <c r="AX31" i="35"/>
  <c r="BD31" i="35" s="1"/>
  <c r="AH6" i="35" s="1"/>
  <c r="BF31" i="35"/>
  <c r="BL31" i="35" s="1"/>
  <c r="AM6" i="35" s="1"/>
  <c r="BH23" i="39"/>
  <c r="AZ23" i="39"/>
  <c r="AZ22" i="39"/>
  <c r="BH22" i="39"/>
  <c r="AX42" i="41"/>
  <c r="BF42" i="41"/>
  <c r="BC51" i="16"/>
  <c r="BK51" i="16"/>
  <c r="BK50" i="16"/>
  <c r="BC50" i="16"/>
  <c r="BA49" i="22"/>
  <c r="BI49" i="22"/>
  <c r="BB27" i="11"/>
  <c r="BJ27" i="11"/>
  <c r="BB26" i="11"/>
  <c r="BJ26" i="11"/>
  <c r="AY43" i="13"/>
  <c r="BG43" i="13"/>
  <c r="BC45" i="22"/>
  <c r="BK45" i="22"/>
  <c r="BG44" i="27"/>
  <c r="AY44" i="27"/>
  <c r="BG43" i="27"/>
  <c r="AY43" i="27"/>
  <c r="AY41" i="38"/>
  <c r="BG41" i="38"/>
  <c r="BG44" i="38"/>
  <c r="AY44" i="38"/>
  <c r="BB45" i="40"/>
  <c r="BJ45" i="40"/>
  <c r="BB27" i="14"/>
  <c r="BJ27" i="14"/>
  <c r="AX36" i="28"/>
  <c r="BD36" i="28" s="1"/>
  <c r="AH11" i="28" s="1"/>
  <c r="BF36" i="28"/>
  <c r="BL36" i="28" s="1"/>
  <c r="AM11" i="28" s="1"/>
  <c r="O36" i="11"/>
  <c r="O32" i="11"/>
  <c r="O35" i="11"/>
  <c r="O31" i="11"/>
  <c r="O34" i="11"/>
  <c r="O33" i="11"/>
  <c r="BJ35" i="12"/>
  <c r="BB35" i="12"/>
  <c r="BI49" i="15"/>
  <c r="BA49" i="15"/>
  <c r="BA51" i="15"/>
  <c r="BI51" i="15"/>
  <c r="BA26" i="20"/>
  <c r="BI26" i="20"/>
  <c r="AZ52" i="20"/>
  <c r="BH52" i="20"/>
  <c r="AZ54" i="20"/>
  <c r="BH54" i="20"/>
  <c r="BB54" i="21"/>
  <c r="BJ54" i="21"/>
  <c r="BB53" i="21"/>
  <c r="BJ53" i="21"/>
  <c r="AZ44" i="22"/>
  <c r="BH44" i="22"/>
  <c r="W53" i="34"/>
  <c r="W49" i="34"/>
  <c r="W52" i="34"/>
  <c r="W51" i="34"/>
  <c r="W54" i="34"/>
  <c r="W50" i="34"/>
  <c r="BC43" i="40"/>
  <c r="BK43" i="40"/>
  <c r="BK45" i="40"/>
  <c r="BC45" i="40"/>
  <c r="AZ34" i="42"/>
  <c r="BH34" i="42"/>
  <c r="AZ36" i="42"/>
  <c r="BH36" i="42"/>
  <c r="AZ23" i="13"/>
  <c r="BH23" i="13"/>
  <c r="BF32" i="17"/>
  <c r="BL32" i="17" s="1"/>
  <c r="AM7" i="17" s="1"/>
  <c r="AX32" i="17"/>
  <c r="BD32" i="17" s="1"/>
  <c r="AH7" i="17" s="1"/>
  <c r="AY41" i="10"/>
  <c r="BG41" i="10"/>
  <c r="AY45" i="10"/>
  <c r="BG45" i="10"/>
  <c r="AX44" i="36"/>
  <c r="BF44" i="36"/>
  <c r="AX43" i="36"/>
  <c r="BF43" i="36"/>
  <c r="S44" i="12"/>
  <c r="S40" i="12"/>
  <c r="S43" i="12"/>
  <c r="S42" i="12"/>
  <c r="S45" i="12"/>
  <c r="S41" i="12"/>
  <c r="BB54" i="22"/>
  <c r="BJ54" i="22"/>
  <c r="BH53" i="38"/>
  <c r="AZ53" i="38"/>
  <c r="AZ52" i="38"/>
  <c r="BH52" i="38"/>
  <c r="BA35" i="40"/>
  <c r="BI35" i="40"/>
  <c r="BA34" i="40"/>
  <c r="BI34" i="40"/>
  <c r="AY45" i="28"/>
  <c r="BG45" i="28"/>
  <c r="AX45" i="34"/>
  <c r="BF45" i="34"/>
  <c r="BA26" i="32"/>
  <c r="BI26" i="32"/>
  <c r="BA25" i="32"/>
  <c r="BI25" i="32"/>
  <c r="BI49" i="13"/>
  <c r="BA49" i="13"/>
  <c r="BA51" i="13"/>
  <c r="BI51" i="13"/>
  <c r="BJ53" i="18"/>
  <c r="BB53" i="18"/>
  <c r="AX52" i="20"/>
  <c r="BF52" i="20"/>
  <c r="AX54" i="20"/>
  <c r="BF54" i="20"/>
  <c r="AZ32" i="23"/>
  <c r="BH32" i="23"/>
  <c r="BJ26" i="28"/>
  <c r="BB26" i="28"/>
  <c r="BA36" i="24"/>
  <c r="BI36" i="24"/>
  <c r="BA35" i="24"/>
  <c r="BI35" i="24"/>
  <c r="AZ41" i="31"/>
  <c r="BH41" i="31"/>
  <c r="BA34" i="33"/>
  <c r="BI34" i="33"/>
  <c r="BC25" i="34"/>
  <c r="BK25" i="34"/>
  <c r="BK27" i="34"/>
  <c r="BC27" i="34"/>
  <c r="BJ44" i="38"/>
  <c r="BB44" i="38"/>
  <c r="AY43" i="40"/>
  <c r="BG43" i="40"/>
  <c r="BG45" i="40"/>
  <c r="AY45" i="40"/>
  <c r="BC35" i="32"/>
  <c r="BK35" i="32"/>
  <c r="K27" i="29"/>
  <c r="K23" i="29"/>
  <c r="K26" i="29"/>
  <c r="K22" i="29"/>
  <c r="K25" i="29"/>
  <c r="K24" i="29"/>
  <c r="AZ25" i="17"/>
  <c r="BH25" i="17"/>
  <c r="BA53" i="16"/>
  <c r="BI53" i="16"/>
  <c r="AX54" i="21"/>
  <c r="BD54" i="21" s="1"/>
  <c r="AJ11" i="21" s="1"/>
  <c r="BF54" i="21"/>
  <c r="AX53" i="21"/>
  <c r="BF53" i="21"/>
  <c r="BL53" i="21" s="1"/>
  <c r="AO10" i="21" s="1"/>
  <c r="BC52" i="27"/>
  <c r="BK52" i="27"/>
  <c r="BK51" i="27"/>
  <c r="BC51" i="27"/>
  <c r="BC35" i="22"/>
  <c r="BK35" i="22"/>
  <c r="BH27" i="29"/>
  <c r="AZ27" i="29"/>
  <c r="AZ26" i="29"/>
  <c r="BH26" i="29"/>
  <c r="BJ52" i="27"/>
  <c r="BB52" i="27"/>
  <c r="BB53" i="27"/>
  <c r="BJ53" i="27"/>
  <c r="BB43" i="32"/>
  <c r="BJ43" i="32"/>
  <c r="BB45" i="32"/>
  <c r="BJ45" i="32"/>
  <c r="AY35" i="38"/>
  <c r="BG35" i="38"/>
  <c r="BB34" i="40"/>
  <c r="BJ34" i="40"/>
  <c r="BB36" i="40"/>
  <c r="BJ36" i="40"/>
  <c r="AY40" i="39"/>
  <c r="BG40" i="39"/>
  <c r="BG42" i="39"/>
  <c r="AY42" i="39"/>
  <c r="BF43" i="11"/>
  <c r="AX43" i="11"/>
  <c r="BJ44" i="16"/>
  <c r="BB44" i="16"/>
  <c r="AZ52" i="25"/>
  <c r="BH52" i="25"/>
  <c r="AZ54" i="25"/>
  <c r="BH54" i="25"/>
  <c r="BA43" i="35"/>
  <c r="BI43" i="35"/>
  <c r="BB52" i="12"/>
  <c r="BJ52" i="12"/>
  <c r="BB54" i="12"/>
  <c r="BJ54" i="12"/>
  <c r="AY31" i="15"/>
  <c r="BG31" i="15"/>
  <c r="BG33" i="15"/>
  <c r="AY33" i="15"/>
  <c r="BA32" i="19"/>
  <c r="BI32" i="19"/>
  <c r="BC27" i="26"/>
  <c r="BK27" i="26"/>
  <c r="BK26" i="26"/>
  <c r="BC26" i="26"/>
  <c r="BC41" i="33"/>
  <c r="BK41" i="33"/>
  <c r="BI31" i="21"/>
  <c r="BA31" i="21"/>
  <c r="BA33" i="21"/>
  <c r="BI33" i="21"/>
  <c r="AY25" i="26"/>
  <c r="BG25" i="26"/>
  <c r="AY34" i="22"/>
  <c r="BG34" i="22"/>
  <c r="BG36" i="22"/>
  <c r="AY36" i="22"/>
  <c r="AX52" i="30"/>
  <c r="BD52" i="30" s="1"/>
  <c r="AJ9" i="30" s="1"/>
  <c r="BF52" i="30"/>
  <c r="BL52" i="30" s="1"/>
  <c r="AO9" i="30" s="1"/>
  <c r="AX54" i="30"/>
  <c r="BD54" i="30" s="1"/>
  <c r="AJ11" i="30" s="1"/>
  <c r="BF54" i="30"/>
  <c r="BL54" i="30" s="1"/>
  <c r="AO11" i="30" s="1"/>
  <c r="BJ35" i="30"/>
  <c r="BB35" i="30"/>
  <c r="O36" i="33"/>
  <c r="O32" i="33"/>
  <c r="O35" i="33"/>
  <c r="O31" i="33"/>
  <c r="O34" i="33"/>
  <c r="O33" i="33"/>
  <c r="BC36" i="40"/>
  <c r="BK36" i="40"/>
  <c r="BA26" i="25"/>
  <c r="BI26" i="25"/>
  <c r="AX34" i="36"/>
  <c r="BF34" i="36"/>
  <c r="AX36" i="36"/>
  <c r="BF36" i="36"/>
  <c r="BA34" i="17"/>
  <c r="BI34" i="17"/>
  <c r="BH36" i="21"/>
  <c r="AZ36" i="21"/>
  <c r="AZ35" i="21"/>
  <c r="BH35" i="21"/>
  <c r="BJ26" i="22"/>
  <c r="BB26" i="22"/>
  <c r="AZ25" i="38"/>
  <c r="BH25" i="38"/>
  <c r="AZ27" i="38"/>
  <c r="BH27" i="38"/>
  <c r="BA23" i="39"/>
  <c r="BI23" i="39"/>
  <c r="AZ22" i="19"/>
  <c r="BH22" i="19"/>
  <c r="AZ24" i="19"/>
  <c r="BH24" i="19"/>
  <c r="AY45" i="37"/>
  <c r="BG45" i="37"/>
  <c r="BG44" i="37"/>
  <c r="AY44" i="37"/>
  <c r="BF50" i="39"/>
  <c r="BL50" i="39" s="1"/>
  <c r="AO7" i="39" s="1"/>
  <c r="AX50" i="39"/>
  <c r="BD50" i="39" s="1"/>
  <c r="AJ7" i="39" s="1"/>
  <c r="AX43" i="16"/>
  <c r="BF43" i="16"/>
  <c r="AX45" i="16"/>
  <c r="BF45" i="16"/>
  <c r="BF35" i="34"/>
  <c r="AX35" i="34"/>
  <c r="AX43" i="22"/>
  <c r="BD43" i="22" s="1"/>
  <c r="AI9" i="22" s="1"/>
  <c r="BF43" i="22"/>
  <c r="BL43" i="22" s="1"/>
  <c r="AN9" i="22" s="1"/>
  <c r="AX45" i="22"/>
  <c r="BF45" i="22"/>
  <c r="BA41" i="29"/>
  <c r="BI41" i="29"/>
  <c r="AY52" i="41"/>
  <c r="BG52" i="41"/>
  <c r="D128" i="6" l="1"/>
  <c r="C128" i="6"/>
  <c r="AM128" i="6" s="1"/>
  <c r="D123" i="6"/>
  <c r="C123" i="6"/>
  <c r="AM123" i="6" s="1"/>
  <c r="C163" i="6"/>
  <c r="AM163" i="6" s="1"/>
  <c r="D163" i="6"/>
  <c r="D199" i="6"/>
  <c r="C199" i="6"/>
  <c r="AM199" i="6" s="1"/>
  <c r="C194" i="6"/>
  <c r="AM194" i="6" s="1"/>
  <c r="D194" i="6"/>
  <c r="C105" i="6"/>
  <c r="AM105" i="6" s="1"/>
  <c r="D105" i="6"/>
  <c r="C182" i="6"/>
  <c r="AM182" i="6" s="1"/>
  <c r="D182" i="6"/>
  <c r="D191" i="6"/>
  <c r="C191" i="6"/>
  <c r="AM191" i="6" s="1"/>
  <c r="D48" i="6"/>
  <c r="C48" i="6"/>
  <c r="AM48" i="6" s="1"/>
  <c r="C174" i="6"/>
  <c r="AM174" i="6" s="1"/>
  <c r="D174" i="6"/>
  <c r="D45" i="6"/>
  <c r="C45" i="6"/>
  <c r="AM45" i="6" s="1"/>
  <c r="D80" i="6"/>
  <c r="C80" i="6"/>
  <c r="AM80" i="6" s="1"/>
  <c r="D74" i="6"/>
  <c r="C74" i="6"/>
  <c r="AM74" i="6" s="1"/>
  <c r="C135" i="6"/>
  <c r="AM135" i="6" s="1"/>
  <c r="D135" i="6"/>
  <c r="C44" i="6"/>
  <c r="AM44" i="6" s="1"/>
  <c r="D44" i="6"/>
  <c r="D60" i="6"/>
  <c r="C60" i="6"/>
  <c r="AM60" i="6" s="1"/>
  <c r="C154" i="6"/>
  <c r="AM154" i="6" s="1"/>
  <c r="D154" i="6"/>
  <c r="D18" i="6"/>
  <c r="C18" i="6"/>
  <c r="AM18" i="6" s="1"/>
  <c r="D109" i="6"/>
  <c r="C109" i="6"/>
  <c r="AM109" i="6" s="1"/>
  <c r="D142" i="6"/>
  <c r="C142" i="6"/>
  <c r="AM142" i="6" s="1"/>
  <c r="D55" i="6"/>
  <c r="C55" i="6"/>
  <c r="AM55" i="6" s="1"/>
  <c r="D106" i="6"/>
  <c r="C106" i="6"/>
  <c r="AM106" i="6" s="1"/>
  <c r="C176" i="6"/>
  <c r="AM176" i="6" s="1"/>
  <c r="D176" i="6"/>
  <c r="D118" i="6"/>
  <c r="C118" i="6"/>
  <c r="AM118" i="6" s="1"/>
  <c r="C22" i="6"/>
  <c r="AM22" i="6" s="1"/>
  <c r="D22" i="6"/>
  <c r="C150" i="6"/>
  <c r="AM150" i="6" s="1"/>
  <c r="D150" i="6"/>
  <c r="C61" i="6"/>
  <c r="AM61" i="6" s="1"/>
  <c r="D61" i="6"/>
  <c r="D122" i="6"/>
  <c r="C122" i="6"/>
  <c r="AM122" i="6" s="1"/>
  <c r="C190" i="6"/>
  <c r="AM190" i="6" s="1"/>
  <c r="D190" i="6"/>
  <c r="C58" i="6"/>
  <c r="AM58" i="6" s="1"/>
  <c r="D58" i="6"/>
  <c r="C145" i="6"/>
  <c r="AM145" i="6" s="1"/>
  <c r="D145" i="6"/>
  <c r="D195" i="6"/>
  <c r="C195" i="6"/>
  <c r="AM195" i="6" s="1"/>
  <c r="D81" i="6"/>
  <c r="C81" i="6"/>
  <c r="AM81" i="6" s="1"/>
  <c r="C33" i="6"/>
  <c r="AM33" i="6" s="1"/>
  <c r="D33" i="6"/>
  <c r="D175" i="6"/>
  <c r="C175" i="6"/>
  <c r="AM175" i="6" s="1"/>
  <c r="D126" i="6"/>
  <c r="C126" i="6"/>
  <c r="AM126" i="6" s="1"/>
  <c r="D179" i="6"/>
  <c r="C179" i="6"/>
  <c r="AM179" i="6" s="1"/>
  <c r="C117" i="6"/>
  <c r="AM117" i="6" s="1"/>
  <c r="D117" i="6"/>
  <c r="D124" i="6"/>
  <c r="C124" i="6"/>
  <c r="AM124" i="6" s="1"/>
  <c r="D34" i="6"/>
  <c r="C34" i="6"/>
  <c r="AM34" i="6" s="1"/>
  <c r="C39" i="6"/>
  <c r="AM39" i="6" s="1"/>
  <c r="D39" i="6"/>
  <c r="D198" i="6"/>
  <c r="C198" i="6"/>
  <c r="AM198" i="6" s="1"/>
  <c r="D95" i="6"/>
  <c r="C95" i="6"/>
  <c r="AM95" i="6" s="1"/>
  <c r="C43" i="6"/>
  <c r="AM43" i="6" s="1"/>
  <c r="D43" i="6"/>
  <c r="C183" i="6"/>
  <c r="AM183" i="6" s="1"/>
  <c r="D183" i="6"/>
  <c r="C36" i="6"/>
  <c r="AM36" i="6" s="1"/>
  <c r="D36" i="6"/>
  <c r="D87" i="6"/>
  <c r="C87" i="6"/>
  <c r="AM87" i="6" s="1"/>
  <c r="C57" i="6"/>
  <c r="AM57" i="6" s="1"/>
  <c r="D57" i="6"/>
  <c r="C129" i="6"/>
  <c r="AM129" i="6" s="1"/>
  <c r="D129" i="6"/>
  <c r="D107" i="6"/>
  <c r="C107" i="6"/>
  <c r="AM107" i="6" s="1"/>
  <c r="D20" i="6"/>
  <c r="C20" i="6"/>
  <c r="AM20" i="6" s="1"/>
  <c r="C170" i="6"/>
  <c r="AM170" i="6" s="1"/>
  <c r="D170" i="6"/>
  <c r="D102" i="6"/>
  <c r="C102" i="6"/>
  <c r="AM102" i="6" s="1"/>
  <c r="C53" i="6"/>
  <c r="AM53" i="6" s="1"/>
  <c r="D53" i="6"/>
  <c r="C130" i="6"/>
  <c r="AM130" i="6" s="1"/>
  <c r="D130" i="6"/>
  <c r="C158" i="6"/>
  <c r="AM158" i="6" s="1"/>
  <c r="D158" i="6"/>
  <c r="D46" i="6"/>
  <c r="C46" i="6"/>
  <c r="AM46" i="6" s="1"/>
  <c r="C162" i="6"/>
  <c r="AM162" i="6" s="1"/>
  <c r="D162" i="6"/>
  <c r="D188" i="6"/>
  <c r="C188" i="6"/>
  <c r="AM188" i="6" s="1"/>
  <c r="D187" i="6"/>
  <c r="C187" i="6"/>
  <c r="AM187" i="6" s="1"/>
  <c r="C202" i="6"/>
  <c r="AM202" i="6" s="1"/>
  <c r="D202" i="6"/>
  <c r="D119" i="6"/>
  <c r="C119" i="6"/>
  <c r="AM119" i="6" s="1"/>
  <c r="C137" i="6"/>
  <c r="AM137" i="6" s="1"/>
  <c r="D137" i="6"/>
  <c r="C98" i="6"/>
  <c r="AM98" i="6" s="1"/>
  <c r="D98" i="6"/>
  <c r="D169" i="6"/>
  <c r="C169" i="6"/>
  <c r="AM169" i="6" s="1"/>
  <c r="D82" i="6"/>
  <c r="C82" i="6"/>
  <c r="AM82" i="6" s="1"/>
  <c r="C125" i="6"/>
  <c r="AM125" i="6" s="1"/>
  <c r="D125" i="6"/>
  <c r="D171" i="6"/>
  <c r="C171" i="6"/>
  <c r="AM171" i="6" s="1"/>
  <c r="D201" i="6"/>
  <c r="C201" i="6"/>
  <c r="AM201" i="6" s="1"/>
  <c r="D62" i="6"/>
  <c r="C62" i="6"/>
  <c r="AM62" i="6" s="1"/>
  <c r="D101" i="6"/>
  <c r="C101" i="6"/>
  <c r="AM101" i="6" s="1"/>
  <c r="D108" i="6"/>
  <c r="C108" i="6"/>
  <c r="AM108" i="6" s="1"/>
  <c r="C89" i="6"/>
  <c r="AM89" i="6" s="1"/>
  <c r="D89" i="6"/>
  <c r="D96" i="6"/>
  <c r="C96" i="6"/>
  <c r="AM96" i="6" s="1"/>
  <c r="D167" i="6"/>
  <c r="C167" i="6"/>
  <c r="AM167" i="6" s="1"/>
  <c r="D94" i="6"/>
  <c r="C94" i="6"/>
  <c r="AM94" i="6" s="1"/>
  <c r="D192" i="6"/>
  <c r="C192" i="6"/>
  <c r="AM192" i="6" s="1"/>
  <c r="C114" i="6"/>
  <c r="AM114" i="6" s="1"/>
  <c r="D114" i="6"/>
  <c r="C69" i="6"/>
  <c r="AM69" i="6" s="1"/>
  <c r="D69" i="6"/>
  <c r="C138" i="6"/>
  <c r="AM138" i="6" s="1"/>
  <c r="D138" i="6"/>
  <c r="D65" i="6"/>
  <c r="C65" i="6"/>
  <c r="AM65" i="6" s="1"/>
  <c r="C75" i="6"/>
  <c r="AM75" i="6" s="1"/>
  <c r="D75" i="6"/>
  <c r="D29" i="6"/>
  <c r="C29" i="6"/>
  <c r="AM29" i="6" s="1"/>
  <c r="D112" i="6"/>
  <c r="C112" i="6"/>
  <c r="AM112" i="6" s="1"/>
  <c r="D185" i="6"/>
  <c r="C185" i="6"/>
  <c r="AM185" i="6" s="1"/>
  <c r="D91" i="6"/>
  <c r="C91" i="6"/>
  <c r="AM91" i="6" s="1"/>
  <c r="D133" i="6"/>
  <c r="C133" i="6"/>
  <c r="AM133" i="6" s="1"/>
  <c r="C159" i="6"/>
  <c r="AM159" i="6" s="1"/>
  <c r="D159" i="6"/>
  <c r="D180" i="6"/>
  <c r="C180" i="6"/>
  <c r="AM180" i="6" s="1"/>
  <c r="C56" i="6"/>
  <c r="AM56" i="6" s="1"/>
  <c r="D56" i="6"/>
  <c r="D25" i="6"/>
  <c r="C25" i="6"/>
  <c r="AM25" i="6" s="1"/>
  <c r="D143" i="6"/>
  <c r="C143" i="6"/>
  <c r="AM143" i="6" s="1"/>
  <c r="D59" i="6"/>
  <c r="C59" i="6"/>
  <c r="AM59" i="6" s="1"/>
  <c r="D164" i="6"/>
  <c r="C164" i="6"/>
  <c r="AM164" i="6" s="1"/>
  <c r="C40" i="6"/>
  <c r="AM40" i="6" s="1"/>
  <c r="D40" i="6"/>
  <c r="C103" i="6"/>
  <c r="AM103" i="6" s="1"/>
  <c r="D103" i="6"/>
  <c r="C121" i="6"/>
  <c r="AM121" i="6" s="1"/>
  <c r="D121" i="6"/>
  <c r="D71" i="6"/>
  <c r="C71" i="6"/>
  <c r="AM71" i="6" s="1"/>
  <c r="D72" i="6"/>
  <c r="C72" i="6"/>
  <c r="AM72" i="6" s="1"/>
  <c r="D19" i="6"/>
  <c r="C19" i="6"/>
  <c r="AM19" i="6" s="1"/>
  <c r="C186" i="6"/>
  <c r="AM186" i="6" s="1"/>
  <c r="D186" i="6"/>
  <c r="D134" i="6"/>
  <c r="C134" i="6"/>
  <c r="AM134" i="6" s="1"/>
  <c r="C141" i="6"/>
  <c r="AM141" i="6" s="1"/>
  <c r="D141" i="6"/>
  <c r="C177" i="6"/>
  <c r="AM177" i="6" s="1"/>
  <c r="D177" i="6"/>
  <c r="C85" i="6"/>
  <c r="AM85" i="6" s="1"/>
  <c r="D85" i="6"/>
  <c r="D160" i="6"/>
  <c r="C160" i="6"/>
  <c r="AM160" i="6" s="1"/>
  <c r="C32" i="6"/>
  <c r="AM32" i="6" s="1"/>
  <c r="D32" i="6"/>
  <c r="C64" i="6"/>
  <c r="AM64" i="6" s="1"/>
  <c r="D64" i="6"/>
  <c r="C178" i="6"/>
  <c r="AM178" i="6" s="1"/>
  <c r="D178" i="6"/>
  <c r="C93" i="6"/>
  <c r="AM93" i="6" s="1"/>
  <c r="D93" i="6"/>
  <c r="C166" i="6"/>
  <c r="AM166" i="6" s="1"/>
  <c r="D166" i="6"/>
  <c r="D86" i="6"/>
  <c r="C86" i="6"/>
  <c r="AM86" i="6" s="1"/>
  <c r="D193" i="6"/>
  <c r="C193" i="6"/>
  <c r="AM193" i="6" s="1"/>
  <c r="D37" i="6"/>
  <c r="C37" i="6"/>
  <c r="AM37" i="6" s="1"/>
  <c r="C155" i="6"/>
  <c r="AM155" i="6" s="1"/>
  <c r="D155" i="6"/>
  <c r="C49" i="6"/>
  <c r="AM49" i="6" s="1"/>
  <c r="D49" i="6"/>
  <c r="C27" i="6"/>
  <c r="AM27" i="6" s="1"/>
  <c r="D27" i="6"/>
  <c r="D78" i="6"/>
  <c r="C78" i="6"/>
  <c r="AM78" i="6" s="1"/>
  <c r="D196" i="6"/>
  <c r="C196" i="6"/>
  <c r="AM196" i="6" s="1"/>
  <c r="C47" i="6"/>
  <c r="AM47" i="6" s="1"/>
  <c r="D47" i="6"/>
  <c r="C26" i="6"/>
  <c r="AM26" i="6" s="1"/>
  <c r="D26" i="6"/>
  <c r="C30" i="6"/>
  <c r="AM30" i="6" s="1"/>
  <c r="D30" i="6"/>
  <c r="C73" i="6"/>
  <c r="AM73" i="6" s="1"/>
  <c r="D73" i="6"/>
  <c r="C113" i="6"/>
  <c r="AM113" i="6" s="1"/>
  <c r="D113" i="6"/>
  <c r="D50" i="6"/>
  <c r="C50" i="6"/>
  <c r="AM50" i="6" s="1"/>
  <c r="D13" i="6"/>
  <c r="C13" i="6"/>
  <c r="AM13" i="6" s="1"/>
  <c r="C161" i="6"/>
  <c r="AM161" i="6" s="1"/>
  <c r="D161" i="6"/>
  <c r="C77" i="6"/>
  <c r="AM77" i="6" s="1"/>
  <c r="D77" i="6"/>
  <c r="D110" i="6"/>
  <c r="C110" i="6"/>
  <c r="AM110" i="6" s="1"/>
  <c r="D54" i="6"/>
  <c r="C54" i="6"/>
  <c r="AM54" i="6" s="1"/>
  <c r="C42" i="6"/>
  <c r="AM42" i="6" s="1"/>
  <c r="D42" i="6"/>
  <c r="D153" i="6"/>
  <c r="C153" i="6"/>
  <c r="AM153" i="6" s="1"/>
  <c r="C41" i="6"/>
  <c r="AM41" i="6" s="1"/>
  <c r="D41" i="6"/>
  <c r="D97" i="6"/>
  <c r="C97" i="6"/>
  <c r="AM97" i="6" s="1"/>
  <c r="D151" i="6"/>
  <c r="C151" i="6"/>
  <c r="AM151" i="6" s="1"/>
  <c r="K7" i="6"/>
  <c r="C12" i="6"/>
  <c r="AM12" i="6" s="1"/>
  <c r="D12" i="6"/>
  <c r="BD52" i="37"/>
  <c r="AJ9" i="37" s="1"/>
  <c r="BD53" i="35"/>
  <c r="AJ10" i="35" s="1"/>
  <c r="AX41" i="23"/>
  <c r="BD41" i="23" s="1"/>
  <c r="AI7" i="23" s="1"/>
  <c r="BF41" i="23"/>
  <c r="BL41" i="23" s="1"/>
  <c r="AN7" i="23" s="1"/>
  <c r="BF44" i="23"/>
  <c r="BL44" i="23" s="1"/>
  <c r="AN10" i="23" s="1"/>
  <c r="AX44" i="23"/>
  <c r="BD44" i="23" s="1"/>
  <c r="AI10" i="23" s="1"/>
  <c r="BH22" i="36"/>
  <c r="AZ22" i="36"/>
  <c r="AZ24" i="36"/>
  <c r="BH24" i="36"/>
  <c r="BL41" i="39"/>
  <c r="AN7" i="39" s="1"/>
  <c r="AZ25" i="10"/>
  <c r="BH25" i="10"/>
  <c r="BD45" i="17"/>
  <c r="AI11" i="17" s="1"/>
  <c r="BH35" i="32"/>
  <c r="AZ35" i="32"/>
  <c r="AZ34" i="32"/>
  <c r="BH34" i="32"/>
  <c r="AX53" i="32"/>
  <c r="BF53" i="32"/>
  <c r="AX52" i="32"/>
  <c r="BF52" i="32"/>
  <c r="BD27" i="37"/>
  <c r="AG11" i="37" s="1"/>
  <c r="BL34" i="40"/>
  <c r="AM9" i="40" s="1"/>
  <c r="BL34" i="27"/>
  <c r="AM9" i="27" s="1"/>
  <c r="BL43" i="18"/>
  <c r="AN9" i="18" s="1"/>
  <c r="BD44" i="40"/>
  <c r="AI10" i="40" s="1"/>
  <c r="BD32" i="13"/>
  <c r="AH7" i="13" s="1"/>
  <c r="BD24" i="22"/>
  <c r="AG8" i="22" s="1"/>
  <c r="BI54" i="12"/>
  <c r="BA54" i="12"/>
  <c r="BL32" i="21"/>
  <c r="AM7" i="21" s="1"/>
  <c r="BL53" i="22"/>
  <c r="AO10" i="22" s="1"/>
  <c r="BH49" i="32"/>
  <c r="AZ49" i="32"/>
  <c r="AZ51" i="32"/>
  <c r="BH51" i="32"/>
  <c r="AZ50" i="16"/>
  <c r="BH50" i="16"/>
  <c r="BD44" i="28"/>
  <c r="AI10" i="28" s="1"/>
  <c r="BH33" i="14"/>
  <c r="AZ33" i="14"/>
  <c r="AZ32" i="14"/>
  <c r="BH32" i="14"/>
  <c r="BD49" i="40"/>
  <c r="AJ6" i="40" s="1"/>
  <c r="BD26" i="28"/>
  <c r="AG10" i="28" s="1"/>
  <c r="BD43" i="30"/>
  <c r="AI9" i="30" s="1"/>
  <c r="BL25" i="27"/>
  <c r="AL9" i="27" s="1"/>
  <c r="BL49" i="39"/>
  <c r="AO6" i="39" s="1"/>
  <c r="BA31" i="36"/>
  <c r="BI31" i="36"/>
  <c r="BA33" i="36"/>
  <c r="BI33" i="36"/>
  <c r="BG43" i="42"/>
  <c r="AY43" i="42"/>
  <c r="BG42" i="42"/>
  <c r="AY42" i="42"/>
  <c r="BD34" i="28"/>
  <c r="AH9" i="28" s="1"/>
  <c r="AX53" i="23"/>
  <c r="BD53" i="23" s="1"/>
  <c r="AJ10" i="23" s="1"/>
  <c r="BF53" i="23"/>
  <c r="BL53" i="23" s="1"/>
  <c r="AO10" i="23" s="1"/>
  <c r="AX52" i="23"/>
  <c r="BD52" i="23" s="1"/>
  <c r="AJ9" i="23" s="1"/>
  <c r="BF52" i="23"/>
  <c r="BL52" i="23" s="1"/>
  <c r="AO9" i="23" s="1"/>
  <c r="AZ35" i="36"/>
  <c r="BH35" i="36"/>
  <c r="BD33" i="35"/>
  <c r="AH8" i="35" s="1"/>
  <c r="BD22" i="19"/>
  <c r="AG6" i="19" s="1"/>
  <c r="AX42" i="32"/>
  <c r="BF42" i="32"/>
  <c r="AX41" i="32"/>
  <c r="BF41" i="32"/>
  <c r="BL41" i="37"/>
  <c r="AN7" i="37" s="1"/>
  <c r="BL43" i="13"/>
  <c r="AN9" i="13" s="1"/>
  <c r="BI31" i="41"/>
  <c r="BA31" i="41"/>
  <c r="BA36" i="41"/>
  <c r="BI36" i="41"/>
  <c r="BL36" i="41"/>
  <c r="AM11" i="41" s="1"/>
  <c r="BD25" i="35"/>
  <c r="AG9" i="35" s="1"/>
  <c r="BD44" i="19"/>
  <c r="AI10" i="19" s="1"/>
  <c r="BL53" i="27"/>
  <c r="AO10" i="27" s="1"/>
  <c r="BL22" i="40"/>
  <c r="AL6" i="40" s="1"/>
  <c r="AZ49" i="36"/>
  <c r="BH49" i="36"/>
  <c r="BL50" i="13"/>
  <c r="AO7" i="13" s="1"/>
  <c r="BL40" i="27"/>
  <c r="AN6" i="27" s="1"/>
  <c r="BL42" i="35"/>
  <c r="AN8" i="35" s="1"/>
  <c r="BL35" i="22"/>
  <c r="AM10" i="22" s="1"/>
  <c r="BD25" i="17"/>
  <c r="AG9" i="17" s="1"/>
  <c r="BI51" i="41"/>
  <c r="BA51" i="41"/>
  <c r="BD54" i="19"/>
  <c r="AJ11" i="19" s="1"/>
  <c r="BA24" i="36"/>
  <c r="BI24" i="36"/>
  <c r="BA23" i="36"/>
  <c r="BI23" i="36"/>
  <c r="AY33" i="29"/>
  <c r="BD33" i="29" s="1"/>
  <c r="AH8" i="29" s="1"/>
  <c r="BG33" i="29"/>
  <c r="BL33" i="29" s="1"/>
  <c r="AM8" i="29" s="1"/>
  <c r="BD50" i="35"/>
  <c r="AJ7" i="35" s="1"/>
  <c r="BA31" i="12"/>
  <c r="BI31" i="12"/>
  <c r="BA33" i="12"/>
  <c r="BI33" i="12"/>
  <c r="BD25" i="18"/>
  <c r="AG9" i="18" s="1"/>
  <c r="BL40" i="17"/>
  <c r="AN6" i="17" s="1"/>
  <c r="AZ31" i="34"/>
  <c r="BH31" i="34"/>
  <c r="BB43" i="15"/>
  <c r="BJ43" i="15"/>
  <c r="BJ45" i="15"/>
  <c r="BB45" i="15"/>
  <c r="AY53" i="20"/>
  <c r="BG53" i="20"/>
  <c r="BL53" i="20" s="1"/>
  <c r="AO10" i="20" s="1"/>
  <c r="BG52" i="20"/>
  <c r="AY52" i="20"/>
  <c r="BL32" i="19"/>
  <c r="AM7" i="19" s="1"/>
  <c r="BL22" i="30"/>
  <c r="AL6" i="30" s="1"/>
  <c r="BF31" i="25"/>
  <c r="BL31" i="25" s="1"/>
  <c r="AM6" i="25" s="1"/>
  <c r="AX31" i="25"/>
  <c r="BD31" i="25" s="1"/>
  <c r="AH6" i="25" s="1"/>
  <c r="BD32" i="40"/>
  <c r="AH7" i="40" s="1"/>
  <c r="AZ32" i="24"/>
  <c r="BH32" i="24"/>
  <c r="BL33" i="27"/>
  <c r="AM8" i="27" s="1"/>
  <c r="BL42" i="18"/>
  <c r="AN8" i="18" s="1"/>
  <c r="BL31" i="12"/>
  <c r="AM6" i="12" s="1"/>
  <c r="BD42" i="40"/>
  <c r="AI8" i="40" s="1"/>
  <c r="BD34" i="13"/>
  <c r="AH9" i="13" s="1"/>
  <c r="BL31" i="39"/>
  <c r="AM6" i="39" s="1"/>
  <c r="AY22" i="42"/>
  <c r="BG22" i="42"/>
  <c r="BL22" i="42" s="1"/>
  <c r="AL6" i="42" s="1"/>
  <c r="BL34" i="21"/>
  <c r="AM9" i="21" s="1"/>
  <c r="BL49" i="22"/>
  <c r="AO6" i="22" s="1"/>
  <c r="BH51" i="34"/>
  <c r="AZ51" i="34"/>
  <c r="AZ50" i="34"/>
  <c r="BH50" i="34"/>
  <c r="BH43" i="26"/>
  <c r="AZ43" i="26"/>
  <c r="AZ45" i="26"/>
  <c r="BD45" i="26" s="1"/>
  <c r="AI11" i="26" s="1"/>
  <c r="BH45" i="26"/>
  <c r="BD40" i="28"/>
  <c r="AI6" i="28" s="1"/>
  <c r="BL41" i="21"/>
  <c r="AN7" i="21" s="1"/>
  <c r="AY36" i="20"/>
  <c r="BG36" i="20"/>
  <c r="BD52" i="40"/>
  <c r="AJ9" i="40" s="1"/>
  <c r="BA23" i="41"/>
  <c r="BD23" i="41" s="1"/>
  <c r="AG7" i="41" s="1"/>
  <c r="BI23" i="41"/>
  <c r="BA26" i="41"/>
  <c r="BI26" i="41"/>
  <c r="BF53" i="25"/>
  <c r="BL53" i="25" s="1"/>
  <c r="AO10" i="25" s="1"/>
  <c r="AX53" i="25"/>
  <c r="BD53" i="25" s="1"/>
  <c r="AJ10" i="25" s="1"/>
  <c r="BL22" i="27"/>
  <c r="AL6" i="27" s="1"/>
  <c r="BD25" i="21"/>
  <c r="AG9" i="21" s="1"/>
  <c r="BL27" i="13"/>
  <c r="AL11" i="13" s="1"/>
  <c r="BD34" i="19"/>
  <c r="AH9" i="19" s="1"/>
  <c r="BA43" i="41"/>
  <c r="BI43" i="41"/>
  <c r="BA45" i="41"/>
  <c r="BI45" i="41"/>
  <c r="BL26" i="37"/>
  <c r="AL10" i="37" s="1"/>
  <c r="BL52" i="28"/>
  <c r="AO9" i="28" s="1"/>
  <c r="BD45" i="40"/>
  <c r="AI11" i="40" s="1"/>
  <c r="AZ43" i="11"/>
  <c r="BH43" i="11"/>
  <c r="BD50" i="40"/>
  <c r="AJ7" i="40" s="1"/>
  <c r="BD25" i="28"/>
  <c r="AG9" i="28" s="1"/>
  <c r="BL52" i="39"/>
  <c r="AO9" i="39" s="1"/>
  <c r="BL49" i="30"/>
  <c r="AO6" i="30" s="1"/>
  <c r="AZ25" i="24"/>
  <c r="BH25" i="24"/>
  <c r="BD51" i="21"/>
  <c r="AJ8" i="21" s="1"/>
  <c r="BL34" i="17"/>
  <c r="AM9" i="17" s="1"/>
  <c r="BD33" i="28"/>
  <c r="AH8" i="28" s="1"/>
  <c r="AY44" i="11"/>
  <c r="BG44" i="11"/>
  <c r="BD43" i="41"/>
  <c r="AI9" i="41" s="1"/>
  <c r="BL36" i="35"/>
  <c r="AM11" i="35" s="1"/>
  <c r="BL25" i="19"/>
  <c r="AL9" i="19" s="1"/>
  <c r="BH36" i="26"/>
  <c r="AZ36" i="26"/>
  <c r="AZ35" i="26"/>
  <c r="BD35" i="26" s="1"/>
  <c r="AH10" i="26" s="1"/>
  <c r="BH35" i="26"/>
  <c r="BD44" i="37"/>
  <c r="AI10" i="37" s="1"/>
  <c r="BD27" i="39"/>
  <c r="AG11" i="39" s="1"/>
  <c r="BD23" i="35"/>
  <c r="AG7" i="35" s="1"/>
  <c r="BH52" i="33"/>
  <c r="AZ52" i="33"/>
  <c r="AZ54" i="33"/>
  <c r="BH54" i="33"/>
  <c r="BL43" i="19"/>
  <c r="AN9" i="19" s="1"/>
  <c r="BA26" i="12"/>
  <c r="BI26" i="12"/>
  <c r="BB27" i="34"/>
  <c r="BJ27" i="34"/>
  <c r="BD49" i="27"/>
  <c r="AJ6" i="27" s="1"/>
  <c r="AX27" i="23"/>
  <c r="BD27" i="23" s="1"/>
  <c r="AG11" i="23" s="1"/>
  <c r="BF27" i="23"/>
  <c r="BL27" i="23" s="1"/>
  <c r="AL11" i="23" s="1"/>
  <c r="AX26" i="23"/>
  <c r="BD26" i="23" s="1"/>
  <c r="AG10" i="23" s="1"/>
  <c r="BF26" i="23"/>
  <c r="BL26" i="23" s="1"/>
  <c r="AL10" i="23" s="1"/>
  <c r="BD36" i="37"/>
  <c r="AH11" i="37" s="1"/>
  <c r="BD27" i="40"/>
  <c r="AG11" i="40" s="1"/>
  <c r="BL52" i="13"/>
  <c r="AO9" i="13" s="1"/>
  <c r="BH33" i="10"/>
  <c r="AZ33" i="10"/>
  <c r="BD49" i="18"/>
  <c r="AJ6" i="18" s="1"/>
  <c r="AY25" i="33"/>
  <c r="BG25" i="33"/>
  <c r="BH22" i="14"/>
  <c r="AZ22" i="14"/>
  <c r="AZ24" i="14"/>
  <c r="BH24" i="14"/>
  <c r="BL43" i="35"/>
  <c r="AN9" i="35" s="1"/>
  <c r="BD33" i="22"/>
  <c r="AH8" i="22" s="1"/>
  <c r="AX25" i="31"/>
  <c r="BD25" i="31" s="1"/>
  <c r="AG9" i="31" s="1"/>
  <c r="BF25" i="31"/>
  <c r="BL25" i="31" s="1"/>
  <c r="AL9" i="31" s="1"/>
  <c r="BF27" i="31"/>
  <c r="BL27" i="31" s="1"/>
  <c r="AL11" i="31" s="1"/>
  <c r="AX27" i="31"/>
  <c r="BD27" i="31" s="1"/>
  <c r="AG11" i="31" s="1"/>
  <c r="BH27" i="33"/>
  <c r="AZ27" i="33"/>
  <c r="AZ53" i="24"/>
  <c r="BH53" i="24"/>
  <c r="BL53" i="37"/>
  <c r="AO10" i="37" s="1"/>
  <c r="AY31" i="42"/>
  <c r="BG31" i="42"/>
  <c r="AY33" i="42"/>
  <c r="BG33" i="42"/>
  <c r="BB40" i="34"/>
  <c r="BJ40" i="34"/>
  <c r="BJ42" i="34"/>
  <c r="BB42" i="34"/>
  <c r="BH27" i="11"/>
  <c r="AZ27" i="11"/>
  <c r="AZ26" i="11"/>
  <c r="BH26" i="11"/>
  <c r="BD22" i="18"/>
  <c r="AG6" i="18" s="1"/>
  <c r="AY52" i="11"/>
  <c r="BG52" i="11"/>
  <c r="BD42" i="39"/>
  <c r="AI8" i="39" s="1"/>
  <c r="BH31" i="16"/>
  <c r="AZ31" i="16"/>
  <c r="AZ33" i="16"/>
  <c r="BD33" i="16" s="1"/>
  <c r="AH8" i="16" s="1"/>
  <c r="BH33" i="16"/>
  <c r="BL35" i="40"/>
  <c r="AM10" i="40" s="1"/>
  <c r="BD53" i="28"/>
  <c r="AJ10" i="28" s="1"/>
  <c r="BL33" i="13"/>
  <c r="AM8" i="13" s="1"/>
  <c r="AX31" i="23"/>
  <c r="BD31" i="23" s="1"/>
  <c r="AH6" i="23" s="1"/>
  <c r="BF31" i="23"/>
  <c r="BL31" i="23" s="1"/>
  <c r="AM6" i="23" s="1"/>
  <c r="AX33" i="23"/>
  <c r="BD33" i="23" s="1"/>
  <c r="AH8" i="23" s="1"/>
  <c r="BF33" i="23"/>
  <c r="BL33" i="23" s="1"/>
  <c r="AM8" i="23" s="1"/>
  <c r="AZ45" i="36"/>
  <c r="BH45" i="36"/>
  <c r="AX54" i="38"/>
  <c r="BD54" i="38" s="1"/>
  <c r="AJ11" i="38" s="1"/>
  <c r="BF54" i="38"/>
  <c r="BL54" i="38" s="1"/>
  <c r="AO11" i="38" s="1"/>
  <c r="BD44" i="30"/>
  <c r="AI10" i="30" s="1"/>
  <c r="BD43" i="28"/>
  <c r="AI9" i="28" s="1"/>
  <c r="BD34" i="18"/>
  <c r="AH9" i="18" s="1"/>
  <c r="AZ25" i="34"/>
  <c r="BD25" i="34" s="1"/>
  <c r="AG9" i="34" s="1"/>
  <c r="BH25" i="34"/>
  <c r="BG27" i="20"/>
  <c r="AY27" i="20"/>
  <c r="BD23" i="40"/>
  <c r="AG7" i="40" s="1"/>
  <c r="BH44" i="34"/>
  <c r="AZ44" i="34"/>
  <c r="BD44" i="34" s="1"/>
  <c r="AI10" i="34" s="1"/>
  <c r="BD26" i="41"/>
  <c r="AG10" i="41" s="1"/>
  <c r="AY40" i="33"/>
  <c r="BG40" i="33"/>
  <c r="AZ41" i="14"/>
  <c r="BH41" i="14"/>
  <c r="BF41" i="31"/>
  <c r="BL41" i="31" s="1"/>
  <c r="AN7" i="31" s="1"/>
  <c r="AX41" i="31"/>
  <c r="BD41" i="31" s="1"/>
  <c r="AI7" i="31" s="1"/>
  <c r="BL31" i="40"/>
  <c r="AM6" i="40" s="1"/>
  <c r="BI43" i="36"/>
  <c r="BA43" i="36"/>
  <c r="BG53" i="29"/>
  <c r="BL53" i="29" s="1"/>
  <c r="AO10" i="29" s="1"/>
  <c r="AY53" i="29"/>
  <c r="BD53" i="29" s="1"/>
  <c r="AJ10" i="29" s="1"/>
  <c r="BB36" i="34"/>
  <c r="BJ36" i="34"/>
  <c r="AY23" i="11"/>
  <c r="BD23" i="11" s="1"/>
  <c r="AG7" i="11" s="1"/>
  <c r="BG23" i="11"/>
  <c r="BL43" i="42"/>
  <c r="AN9" i="42" s="1"/>
  <c r="BL23" i="13"/>
  <c r="AL7" i="13" s="1"/>
  <c r="BH34" i="33"/>
  <c r="AZ34" i="33"/>
  <c r="AZ36" i="33"/>
  <c r="BH36" i="33"/>
  <c r="AY25" i="29"/>
  <c r="BD25" i="29" s="1"/>
  <c r="AG9" i="29" s="1"/>
  <c r="BG25" i="29"/>
  <c r="BL25" i="29" s="1"/>
  <c r="AL9" i="29" s="1"/>
  <c r="BA45" i="12"/>
  <c r="BI45" i="12"/>
  <c r="BL45" i="12" s="1"/>
  <c r="AN11" i="12" s="1"/>
  <c r="AZ31" i="11"/>
  <c r="BH31" i="11"/>
  <c r="AZ45" i="10"/>
  <c r="BD45" i="10" s="1"/>
  <c r="AI11" i="10" s="1"/>
  <c r="BH45" i="10"/>
  <c r="AX35" i="38"/>
  <c r="BD35" i="38" s="1"/>
  <c r="AH10" i="38" s="1"/>
  <c r="BF35" i="38"/>
  <c r="BL35" i="38" s="1"/>
  <c r="AM10" i="38" s="1"/>
  <c r="BL32" i="24"/>
  <c r="AM7" i="24" s="1"/>
  <c r="BL24" i="35"/>
  <c r="AL8" i="35" s="1"/>
  <c r="AZ42" i="24"/>
  <c r="BH42" i="24"/>
  <c r="BL42" i="24" s="1"/>
  <c r="AN8" i="24" s="1"/>
  <c r="BG42" i="29"/>
  <c r="BL42" i="29" s="1"/>
  <c r="AN8" i="29" s="1"/>
  <c r="AY42" i="29"/>
  <c r="BD42" i="29" s="1"/>
  <c r="AI8" i="29" s="1"/>
  <c r="BH52" i="11"/>
  <c r="AZ52" i="11"/>
  <c r="BD52" i="11" s="1"/>
  <c r="AJ9" i="11" s="1"/>
  <c r="AY33" i="11"/>
  <c r="BG33" i="11"/>
  <c r="BL33" i="11" s="1"/>
  <c r="AM8" i="11" s="1"/>
  <c r="BD53" i="21"/>
  <c r="AJ10" i="21" s="1"/>
  <c r="BL52" i="20"/>
  <c r="AO9" i="20" s="1"/>
  <c r="AZ23" i="34"/>
  <c r="BH23" i="34"/>
  <c r="AY51" i="33"/>
  <c r="BG51" i="33"/>
  <c r="BL51" i="33" s="1"/>
  <c r="AO8" i="33" s="1"/>
  <c r="BH51" i="14"/>
  <c r="AZ51" i="14"/>
  <c r="AZ50" i="14"/>
  <c r="BD50" i="14" s="1"/>
  <c r="AJ7" i="14" s="1"/>
  <c r="BH50" i="14"/>
  <c r="AY22" i="20"/>
  <c r="BG22" i="20"/>
  <c r="BL42" i="37"/>
  <c r="AN8" i="37" s="1"/>
  <c r="BL22" i="14"/>
  <c r="AL6" i="14" s="1"/>
  <c r="BL23" i="39"/>
  <c r="AL7" i="39" s="1"/>
  <c r="AX32" i="31"/>
  <c r="BD32" i="31" s="1"/>
  <c r="AH7" i="31" s="1"/>
  <c r="BF32" i="31"/>
  <c r="BL32" i="31" s="1"/>
  <c r="AM7" i="31" s="1"/>
  <c r="AX31" i="31"/>
  <c r="BD31" i="31" s="1"/>
  <c r="AH6" i="31" s="1"/>
  <c r="BF31" i="31"/>
  <c r="BL31" i="31" s="1"/>
  <c r="AM6" i="31" s="1"/>
  <c r="BD54" i="12"/>
  <c r="AJ11" i="12" s="1"/>
  <c r="BD31" i="41"/>
  <c r="AH6" i="41" s="1"/>
  <c r="BI54" i="36"/>
  <c r="BA54" i="36"/>
  <c r="BL51" i="27"/>
  <c r="AO8" i="27" s="1"/>
  <c r="BL31" i="37"/>
  <c r="AM6" i="37" s="1"/>
  <c r="BL33" i="10"/>
  <c r="AM8" i="10" s="1"/>
  <c r="AX24" i="38"/>
  <c r="BD24" i="38" s="1"/>
  <c r="AG8" i="38" s="1"/>
  <c r="BF24" i="38"/>
  <c r="BL24" i="38" s="1"/>
  <c r="AL8" i="38" s="1"/>
  <c r="AX23" i="38"/>
  <c r="BD23" i="38" s="1"/>
  <c r="AG7" i="38" s="1"/>
  <c r="BF23" i="38"/>
  <c r="BL23" i="38" s="1"/>
  <c r="AL7" i="38" s="1"/>
  <c r="AZ41" i="34"/>
  <c r="BH41" i="34"/>
  <c r="BL54" i="18"/>
  <c r="AO11" i="18" s="1"/>
  <c r="AX32" i="32"/>
  <c r="BF32" i="32"/>
  <c r="AY40" i="20"/>
  <c r="BG40" i="20"/>
  <c r="BL40" i="20" s="1"/>
  <c r="AN6" i="20" s="1"/>
  <c r="BD36" i="22"/>
  <c r="AH11" i="22" s="1"/>
  <c r="AX45" i="25"/>
  <c r="BD45" i="25" s="1"/>
  <c r="AI11" i="25" s="1"/>
  <c r="BF45" i="25"/>
  <c r="BL45" i="25" s="1"/>
  <c r="AN11" i="25" s="1"/>
  <c r="BD43" i="15"/>
  <c r="AI9" i="15" s="1"/>
  <c r="BD33" i="14"/>
  <c r="AH8" i="14" s="1"/>
  <c r="AX42" i="38"/>
  <c r="BD42" i="38" s="1"/>
  <c r="AI8" i="38" s="1"/>
  <c r="BF42" i="38"/>
  <c r="BL42" i="38" s="1"/>
  <c r="AN8" i="38" s="1"/>
  <c r="AX41" i="38"/>
  <c r="BD41" i="38" s="1"/>
  <c r="AI7" i="38" s="1"/>
  <c r="BF41" i="38"/>
  <c r="BL41" i="38" s="1"/>
  <c r="AN7" i="38" s="1"/>
  <c r="AZ26" i="26"/>
  <c r="BD26" i="26" s="1"/>
  <c r="AG10" i="26" s="1"/>
  <c r="BH26" i="26"/>
  <c r="AY44" i="33"/>
  <c r="BG44" i="33"/>
  <c r="AZ45" i="14"/>
  <c r="BD45" i="14" s="1"/>
  <c r="AI11" i="14" s="1"/>
  <c r="BH45" i="14"/>
  <c r="AX43" i="31"/>
  <c r="BD43" i="31" s="1"/>
  <c r="AI9" i="31" s="1"/>
  <c r="BF43" i="31"/>
  <c r="BL43" i="31" s="1"/>
  <c r="AN9" i="31" s="1"/>
  <c r="BF45" i="31"/>
  <c r="BL45" i="31" s="1"/>
  <c r="AN11" i="31" s="1"/>
  <c r="AX45" i="31"/>
  <c r="BD45" i="31" s="1"/>
  <c r="AI11" i="31" s="1"/>
  <c r="BL22" i="37"/>
  <c r="AL6" i="37" s="1"/>
  <c r="BA40" i="36"/>
  <c r="BI40" i="36"/>
  <c r="BH41" i="33"/>
  <c r="AZ41" i="33"/>
  <c r="AZ40" i="33"/>
  <c r="BH40" i="33"/>
  <c r="BD51" i="28"/>
  <c r="AJ8" i="28" s="1"/>
  <c r="BL32" i="27"/>
  <c r="AM7" i="27" s="1"/>
  <c r="BL33" i="12"/>
  <c r="AM8" i="12" s="1"/>
  <c r="AY51" i="29"/>
  <c r="BD51" i="29" s="1"/>
  <c r="AJ8" i="29" s="1"/>
  <c r="BG51" i="29"/>
  <c r="BL51" i="29" s="1"/>
  <c r="AO8" i="29" s="1"/>
  <c r="BL27" i="22"/>
  <c r="AL11" i="22" s="1"/>
  <c r="BD32" i="39"/>
  <c r="AH7" i="39" s="1"/>
  <c r="BJ31" i="34"/>
  <c r="BB31" i="34"/>
  <c r="BD36" i="21"/>
  <c r="AH11" i="21" s="1"/>
  <c r="BD45" i="12"/>
  <c r="AI11" i="12" s="1"/>
  <c r="BD50" i="22"/>
  <c r="AJ7" i="22" s="1"/>
  <c r="AZ49" i="10"/>
  <c r="BH49" i="10"/>
  <c r="AZ53" i="10"/>
  <c r="BD53" i="10" s="1"/>
  <c r="AJ10" i="10" s="1"/>
  <c r="BH53" i="10"/>
  <c r="BD42" i="30"/>
  <c r="AI8" i="30" s="1"/>
  <c r="BB32" i="15"/>
  <c r="BJ32" i="15"/>
  <c r="BL32" i="15" s="1"/>
  <c r="AM7" i="15" s="1"/>
  <c r="BB31" i="15"/>
  <c r="BD31" i="15" s="1"/>
  <c r="AH6" i="15" s="1"/>
  <c r="BJ31" i="15"/>
  <c r="BL42" i="28"/>
  <c r="AN8" i="28" s="1"/>
  <c r="BD53" i="40"/>
  <c r="AJ10" i="40" s="1"/>
  <c r="BF52" i="31"/>
  <c r="BL52" i="31" s="1"/>
  <c r="AO9" i="31" s="1"/>
  <c r="AX52" i="31"/>
  <c r="BD52" i="31" s="1"/>
  <c r="AJ9" i="31" s="1"/>
  <c r="BD23" i="28"/>
  <c r="AG7" i="28" s="1"/>
  <c r="BD24" i="27"/>
  <c r="AG8" i="27" s="1"/>
  <c r="BD32" i="18"/>
  <c r="AH7" i="18" s="1"/>
  <c r="BL27" i="20"/>
  <c r="AL11" i="20" s="1"/>
  <c r="AY32" i="33"/>
  <c r="BG32" i="33"/>
  <c r="BG31" i="33"/>
  <c r="AY31" i="33"/>
  <c r="BD45" i="21"/>
  <c r="AI11" i="21" s="1"/>
  <c r="BL24" i="13"/>
  <c r="AL8" i="13" s="1"/>
  <c r="BD22" i="22"/>
  <c r="AG6" i="22" s="1"/>
  <c r="AY25" i="11"/>
  <c r="BG25" i="11"/>
  <c r="AY27" i="11"/>
  <c r="BG27" i="11"/>
  <c r="BL54" i="22"/>
  <c r="AO11" i="22" s="1"/>
  <c r="BL45" i="28"/>
  <c r="AN11" i="28" s="1"/>
  <c r="AX24" i="32"/>
  <c r="BF24" i="32"/>
  <c r="AX23" i="32"/>
  <c r="BF23" i="32"/>
  <c r="BL36" i="18"/>
  <c r="AM11" i="18" s="1"/>
  <c r="BL22" i="20"/>
  <c r="AL6" i="20" s="1"/>
  <c r="BD42" i="22"/>
  <c r="AI8" i="22" s="1"/>
  <c r="AZ31" i="33"/>
  <c r="BH31" i="33"/>
  <c r="AZ33" i="33"/>
  <c r="BH33" i="33"/>
  <c r="BD50" i="30"/>
  <c r="AJ7" i="30" s="1"/>
  <c r="AY22" i="29"/>
  <c r="BD22" i="29" s="1"/>
  <c r="AG6" i="29" s="1"/>
  <c r="BG22" i="29"/>
  <c r="BL22" i="29" s="1"/>
  <c r="AL6" i="29" s="1"/>
  <c r="BG24" i="29"/>
  <c r="BL24" i="29" s="1"/>
  <c r="AL8" i="29" s="1"/>
  <c r="AY24" i="29"/>
  <c r="BD24" i="29" s="1"/>
  <c r="AG8" i="29" s="1"/>
  <c r="AS8" i="29" s="1"/>
  <c r="BA40" i="12"/>
  <c r="BI40" i="12"/>
  <c r="BL35" i="17"/>
  <c r="AM10" i="17" s="1"/>
  <c r="BB51" i="34"/>
  <c r="BJ51" i="34"/>
  <c r="BL51" i="34" s="1"/>
  <c r="AO8" i="34" s="1"/>
  <c r="BB50" i="34"/>
  <c r="BJ50" i="34"/>
  <c r="AZ35" i="11"/>
  <c r="BH35" i="11"/>
  <c r="BL32" i="28"/>
  <c r="AM7" i="28" s="1"/>
  <c r="BD34" i="35"/>
  <c r="AH9" i="35" s="1"/>
  <c r="BL26" i="19"/>
  <c r="AL10" i="19" s="1"/>
  <c r="BL49" i="15"/>
  <c r="AO6" i="15" s="1"/>
  <c r="BD24" i="36"/>
  <c r="AG8" i="36" s="1"/>
  <c r="AZ42" i="10"/>
  <c r="BD42" i="10" s="1"/>
  <c r="AI8" i="10" s="1"/>
  <c r="BH42" i="10"/>
  <c r="BL42" i="10" s="1"/>
  <c r="AN8" i="10" s="1"/>
  <c r="AX32" i="38"/>
  <c r="BD32" i="38" s="1"/>
  <c r="AH7" i="38" s="1"/>
  <c r="BF32" i="38"/>
  <c r="BL32" i="38" s="1"/>
  <c r="AM7" i="38" s="1"/>
  <c r="BH24" i="32"/>
  <c r="AZ24" i="32"/>
  <c r="AZ23" i="32"/>
  <c r="BH23" i="32"/>
  <c r="BH24" i="16"/>
  <c r="AZ24" i="16"/>
  <c r="BD24" i="16" s="1"/>
  <c r="AG8" i="16" s="1"/>
  <c r="AZ23" i="16"/>
  <c r="BH23" i="16"/>
  <c r="BB50" i="15"/>
  <c r="BJ50" i="15"/>
  <c r="BB49" i="15"/>
  <c r="BJ49" i="15"/>
  <c r="BL45" i="37"/>
  <c r="AN11" i="37" s="1"/>
  <c r="BL42" i="13"/>
  <c r="AN8" i="13" s="1"/>
  <c r="BD25" i="39"/>
  <c r="AG9" i="39" s="1"/>
  <c r="AX22" i="25"/>
  <c r="BD22" i="25" s="1"/>
  <c r="AG6" i="25" s="1"/>
  <c r="BF22" i="25"/>
  <c r="BL22" i="25" s="1"/>
  <c r="AL6" i="25" s="1"/>
  <c r="BF24" i="25"/>
  <c r="BL24" i="25" s="1"/>
  <c r="AL8" i="25" s="1"/>
  <c r="AX24" i="25"/>
  <c r="BD24" i="25" s="1"/>
  <c r="AG8" i="25" s="1"/>
  <c r="BD51" i="12"/>
  <c r="AJ8" i="12" s="1"/>
  <c r="BD24" i="35"/>
  <c r="AG8" i="35" s="1"/>
  <c r="BD52" i="17"/>
  <c r="AJ9" i="17" s="1"/>
  <c r="AZ43" i="24"/>
  <c r="BH43" i="24"/>
  <c r="AY44" i="29"/>
  <c r="BD44" i="29" s="1"/>
  <c r="AI10" i="29" s="1"/>
  <c r="BG44" i="29"/>
  <c r="BL44" i="29" s="1"/>
  <c r="AN10" i="29" s="1"/>
  <c r="AY50" i="42"/>
  <c r="BG50" i="42"/>
  <c r="BG49" i="42"/>
  <c r="AY49" i="42"/>
  <c r="BL34" i="30"/>
  <c r="AM9" i="30" s="1"/>
  <c r="AZ49" i="11"/>
  <c r="BH49" i="11"/>
  <c r="AZ51" i="11"/>
  <c r="BH51" i="11"/>
  <c r="AY34" i="11"/>
  <c r="BD34" i="11" s="1"/>
  <c r="AH9" i="11" s="1"/>
  <c r="BG34" i="11"/>
  <c r="BL34" i="11" s="1"/>
  <c r="AM9" i="11" s="1"/>
  <c r="BL34" i="37"/>
  <c r="AM9" i="37" s="1"/>
  <c r="BD25" i="40"/>
  <c r="AG9" i="40" s="1"/>
  <c r="BD53" i="13"/>
  <c r="AJ10" i="13" s="1"/>
  <c r="AZ44" i="32"/>
  <c r="BH44" i="32"/>
  <c r="BH54" i="26"/>
  <c r="AZ54" i="26"/>
  <c r="AZ53" i="26"/>
  <c r="BH53" i="26"/>
  <c r="BL53" i="26" s="1"/>
  <c r="AO10" i="26" s="1"/>
  <c r="AZ43" i="16"/>
  <c r="BH43" i="16"/>
  <c r="AZ45" i="16"/>
  <c r="BD45" i="16" s="1"/>
  <c r="AI11" i="16" s="1"/>
  <c r="BH45" i="16"/>
  <c r="BJ23" i="15"/>
  <c r="BL23" i="15" s="1"/>
  <c r="AL7" i="15" s="1"/>
  <c r="BB23" i="15"/>
  <c r="BL44" i="27"/>
  <c r="AN10" i="27" s="1"/>
  <c r="BL44" i="35"/>
  <c r="AN10" i="35" s="1"/>
  <c r="BD32" i="22"/>
  <c r="AH7" i="22" s="1"/>
  <c r="BD22" i="17"/>
  <c r="AG6" i="17" s="1"/>
  <c r="BD49" i="42"/>
  <c r="AJ6" i="42" s="1"/>
  <c r="BD49" i="19"/>
  <c r="AJ6" i="19" s="1"/>
  <c r="BL52" i="37"/>
  <c r="AO9" i="37" s="1"/>
  <c r="BL51" i="41"/>
  <c r="AO8" i="41" s="1"/>
  <c r="AX42" i="23"/>
  <c r="BD42" i="23" s="1"/>
  <c r="AI8" i="23" s="1"/>
  <c r="BF42" i="23"/>
  <c r="BL42" i="23" s="1"/>
  <c r="AN8" i="23" s="1"/>
  <c r="BF45" i="23"/>
  <c r="BL45" i="23" s="1"/>
  <c r="AN11" i="23" s="1"/>
  <c r="AX45" i="23"/>
  <c r="BD45" i="23" s="1"/>
  <c r="AI11" i="23" s="1"/>
  <c r="BH26" i="36"/>
  <c r="AZ26" i="36"/>
  <c r="BD26" i="36" s="1"/>
  <c r="AG10" i="36" s="1"/>
  <c r="AZ25" i="36"/>
  <c r="BH25" i="36"/>
  <c r="BL25" i="36" s="1"/>
  <c r="AL9" i="36" s="1"/>
  <c r="BD41" i="39"/>
  <c r="AI7" i="39" s="1"/>
  <c r="AZ22" i="10"/>
  <c r="BH22" i="10"/>
  <c r="BL22" i="10" s="1"/>
  <c r="AL6" i="10" s="1"/>
  <c r="AZ26" i="10"/>
  <c r="BD26" i="10" s="1"/>
  <c r="AG10" i="10" s="1"/>
  <c r="BH26" i="10"/>
  <c r="AZ32" i="32"/>
  <c r="BH32" i="32"/>
  <c r="AX50" i="32"/>
  <c r="BF50" i="32"/>
  <c r="BD40" i="20"/>
  <c r="AI6" i="20" s="1"/>
  <c r="BL35" i="19"/>
  <c r="AM10" i="19" s="1"/>
  <c r="BL36" i="26"/>
  <c r="AM11" i="26" s="1"/>
  <c r="BL25" i="30"/>
  <c r="AL9" i="30" s="1"/>
  <c r="BL27" i="37"/>
  <c r="AL11" i="37" s="1"/>
  <c r="BD34" i="40"/>
  <c r="AH9" i="40" s="1"/>
  <c r="BD34" i="27"/>
  <c r="AH9" i="27" s="1"/>
  <c r="BD43" i="18"/>
  <c r="AI9" i="18" s="1"/>
  <c r="BL35" i="12"/>
  <c r="AM10" i="12" s="1"/>
  <c r="BL43" i="40"/>
  <c r="AN9" i="40" s="1"/>
  <c r="BL31" i="13"/>
  <c r="AM6" i="13" s="1"/>
  <c r="BL23" i="22"/>
  <c r="AL7" i="22" s="1"/>
  <c r="BL23" i="16"/>
  <c r="AL7" i="16" s="1"/>
  <c r="BL35" i="39"/>
  <c r="AM10" i="39" s="1"/>
  <c r="BA49" i="12"/>
  <c r="BD49" i="12" s="1"/>
  <c r="AJ6" i="12" s="1"/>
  <c r="BI49" i="12"/>
  <c r="BA51" i="12"/>
  <c r="BI51" i="12"/>
  <c r="BD32" i="21"/>
  <c r="AH7" i="21" s="1"/>
  <c r="BD53" i="22"/>
  <c r="AJ10" i="22" s="1"/>
  <c r="BD51" i="33"/>
  <c r="AJ8" i="33" s="1"/>
  <c r="BH53" i="32"/>
  <c r="AZ53" i="32"/>
  <c r="AZ52" i="32"/>
  <c r="BH52" i="32"/>
  <c r="AZ54" i="16"/>
  <c r="BH54" i="16"/>
  <c r="BL44" i="28"/>
  <c r="AN10" i="28" s="1"/>
  <c r="AZ34" i="14"/>
  <c r="BH34" i="14"/>
  <c r="AZ36" i="14"/>
  <c r="BH36" i="14"/>
  <c r="BL36" i="14" s="1"/>
  <c r="AM11" i="14" s="1"/>
  <c r="BL49" i="40"/>
  <c r="AO6" i="40" s="1"/>
  <c r="BL26" i="28"/>
  <c r="AL10" i="28" s="1"/>
  <c r="BD25" i="27"/>
  <c r="AG9" i="27" s="1"/>
  <c r="BD49" i="39"/>
  <c r="AJ6" i="39" s="1"/>
  <c r="BA35" i="36"/>
  <c r="BI35" i="36"/>
  <c r="BA34" i="36"/>
  <c r="BI34" i="36"/>
  <c r="BL33" i="17"/>
  <c r="AM8" i="17" s="1"/>
  <c r="AY45" i="42"/>
  <c r="BG45" i="42"/>
  <c r="BL45" i="42" s="1"/>
  <c r="AN11" i="42" s="1"/>
  <c r="BL35" i="28"/>
  <c r="AM10" i="28" s="1"/>
  <c r="AX50" i="23"/>
  <c r="BD50" i="23" s="1"/>
  <c r="AJ7" i="23" s="1"/>
  <c r="BF50" i="23"/>
  <c r="BL50" i="23" s="1"/>
  <c r="AO7" i="23" s="1"/>
  <c r="BH33" i="36"/>
  <c r="AZ33" i="36"/>
  <c r="AZ32" i="36"/>
  <c r="BD32" i="36" s="1"/>
  <c r="AH7" i="36" s="1"/>
  <c r="BH32" i="36"/>
  <c r="BL24" i="19"/>
  <c r="AL8" i="19" s="1"/>
  <c r="BD53" i="26"/>
  <c r="AJ10" i="26" s="1"/>
  <c r="AX43" i="32"/>
  <c r="BF43" i="32"/>
  <c r="AX45" i="32"/>
  <c r="BF45" i="32"/>
  <c r="BD43" i="13"/>
  <c r="AI9" i="13" s="1"/>
  <c r="BA34" i="41"/>
  <c r="BI34" i="41"/>
  <c r="BA33" i="41"/>
  <c r="BI33" i="41"/>
  <c r="BD27" i="35"/>
  <c r="AG11" i="35" s="1"/>
  <c r="BD50" i="17"/>
  <c r="AJ7" i="17" s="1"/>
  <c r="BL41" i="19"/>
  <c r="AN7" i="19" s="1"/>
  <c r="BL33" i="30"/>
  <c r="AM8" i="30" s="1"/>
  <c r="BD53" i="27"/>
  <c r="AJ10" i="27" s="1"/>
  <c r="BD22" i="40"/>
  <c r="AG6" i="40" s="1"/>
  <c r="AZ53" i="36"/>
  <c r="BH53" i="36"/>
  <c r="BL53" i="36" s="1"/>
  <c r="AO10" i="36" s="1"/>
  <c r="BD50" i="13"/>
  <c r="AJ7" i="13" s="1"/>
  <c r="BD22" i="42"/>
  <c r="AG6" i="42" s="1"/>
  <c r="BD53" i="18"/>
  <c r="AJ10" i="18" s="1"/>
  <c r="BL23" i="41"/>
  <c r="AL7" i="41" s="1"/>
  <c r="BD42" i="35"/>
  <c r="AI8" i="35" s="1"/>
  <c r="BD35" i="22"/>
  <c r="AH10" i="22" s="1"/>
  <c r="BL25" i="17"/>
  <c r="AL9" i="17" s="1"/>
  <c r="BA52" i="41"/>
  <c r="BI52" i="41"/>
  <c r="BL52" i="41" s="1"/>
  <c r="AO9" i="41" s="1"/>
  <c r="BL54" i="19"/>
  <c r="AO11" i="19" s="1"/>
  <c r="BL45" i="26"/>
  <c r="AN11" i="26" s="1"/>
  <c r="BI25" i="36"/>
  <c r="BA25" i="36"/>
  <c r="BA27" i="36"/>
  <c r="BI27" i="36"/>
  <c r="AY34" i="29"/>
  <c r="BD34" i="29" s="1"/>
  <c r="AH9" i="29" s="1"/>
  <c r="BG34" i="29"/>
  <c r="BL34" i="29" s="1"/>
  <c r="AM9" i="29" s="1"/>
  <c r="BL49" i="35"/>
  <c r="AO6" i="35" s="1"/>
  <c r="BA35" i="12"/>
  <c r="BD35" i="12" s="1"/>
  <c r="AH10" i="12" s="1"/>
  <c r="BI35" i="12"/>
  <c r="BA34" i="12"/>
  <c r="BI34" i="12"/>
  <c r="BL34" i="12" s="1"/>
  <c r="AM9" i="12" s="1"/>
  <c r="BL26" i="18"/>
  <c r="AL10" i="18" s="1"/>
  <c r="BD43" i="39"/>
  <c r="AI9" i="39" s="1"/>
  <c r="BD40" i="17"/>
  <c r="AI6" i="17" s="1"/>
  <c r="AZ35" i="34"/>
  <c r="BH35" i="34"/>
  <c r="BB40" i="15"/>
  <c r="BJ40" i="15"/>
  <c r="BL40" i="15" s="1"/>
  <c r="AN6" i="15" s="1"/>
  <c r="BB42" i="15"/>
  <c r="BJ42" i="15"/>
  <c r="AY50" i="20"/>
  <c r="BG50" i="20"/>
  <c r="BD32" i="19"/>
  <c r="AH7" i="19" s="1"/>
  <c r="AS7" i="19" s="1"/>
  <c r="BD22" i="30"/>
  <c r="AG6" i="30" s="1"/>
  <c r="BF35" i="25"/>
  <c r="BL35" i="25" s="1"/>
  <c r="AM10" i="25" s="1"/>
  <c r="AX35" i="25"/>
  <c r="BD35" i="25" s="1"/>
  <c r="AH10" i="25" s="1"/>
  <c r="BD23" i="37"/>
  <c r="AG7" i="37" s="1"/>
  <c r="BL33" i="40"/>
  <c r="AM8" i="40" s="1"/>
  <c r="BL51" i="14"/>
  <c r="AO8" i="14" s="1"/>
  <c r="BH34" i="24"/>
  <c r="BL34" i="24" s="1"/>
  <c r="AM9" i="24" s="1"/>
  <c r="AZ34" i="24"/>
  <c r="AZ36" i="24"/>
  <c r="BH36" i="24"/>
  <c r="BL36" i="24" s="1"/>
  <c r="AM11" i="24" s="1"/>
  <c r="BL50" i="28"/>
  <c r="AO7" i="28" s="1"/>
  <c r="BL31" i="27"/>
  <c r="AM6" i="27" s="1"/>
  <c r="BL40" i="18"/>
  <c r="AN6" i="18" s="1"/>
  <c r="BL42" i="40"/>
  <c r="AN8" i="40" s="1"/>
  <c r="BL34" i="13"/>
  <c r="AM9" i="13" s="1"/>
  <c r="BD31" i="39"/>
  <c r="AH6" i="39" s="1"/>
  <c r="AY26" i="42"/>
  <c r="BG26" i="42"/>
  <c r="BD49" i="22"/>
  <c r="AJ6" i="22" s="1"/>
  <c r="AZ52" i="34"/>
  <c r="BD52" i="34" s="1"/>
  <c r="AJ9" i="34" s="1"/>
  <c r="BH52" i="34"/>
  <c r="AZ54" i="34"/>
  <c r="BH54" i="34"/>
  <c r="AZ40" i="26"/>
  <c r="BD40" i="26" s="1"/>
  <c r="AI6" i="26" s="1"/>
  <c r="BH40" i="26"/>
  <c r="BL40" i="26" s="1"/>
  <c r="AN6" i="26" s="1"/>
  <c r="AZ42" i="26"/>
  <c r="BH42" i="26"/>
  <c r="BL40" i="28"/>
  <c r="AN6" i="28" s="1"/>
  <c r="AY31" i="20"/>
  <c r="BD31" i="20" s="1"/>
  <c r="AH6" i="20" s="1"/>
  <c r="BG31" i="20"/>
  <c r="AY33" i="20"/>
  <c r="BG33" i="20"/>
  <c r="BL33" i="20" s="1"/>
  <c r="AM8" i="20" s="1"/>
  <c r="BL54" i="40"/>
  <c r="AO11" i="40" s="1"/>
  <c r="BI24" i="41"/>
  <c r="BL24" i="41" s="1"/>
  <c r="AL8" i="41" s="1"/>
  <c r="BA24" i="41"/>
  <c r="AX51" i="25"/>
  <c r="BD51" i="25" s="1"/>
  <c r="AJ8" i="25" s="1"/>
  <c r="BF51" i="25"/>
  <c r="BL51" i="25" s="1"/>
  <c r="AO8" i="25" s="1"/>
  <c r="AX50" i="25"/>
  <c r="BD50" i="25" s="1"/>
  <c r="AJ7" i="25" s="1"/>
  <c r="BF50" i="25"/>
  <c r="BL50" i="25" s="1"/>
  <c r="AO7" i="25" s="1"/>
  <c r="BD22" i="28"/>
  <c r="AG6" i="28" s="1"/>
  <c r="BD31" i="18"/>
  <c r="AH6" i="18" s="1"/>
  <c r="BD27" i="21"/>
  <c r="AG11" i="21" s="1"/>
  <c r="BL25" i="13"/>
  <c r="AL9" i="13" s="1"/>
  <c r="BL34" i="19"/>
  <c r="AM9" i="19" s="1"/>
  <c r="BI40" i="41"/>
  <c r="BA40" i="41"/>
  <c r="BD40" i="41" s="1"/>
  <c r="AI6" i="41" s="1"/>
  <c r="BA42" i="41"/>
  <c r="BI42" i="41"/>
  <c r="BL42" i="41" s="1"/>
  <c r="AN8" i="41" s="1"/>
  <c r="BD26" i="37"/>
  <c r="AG10" i="37" s="1"/>
  <c r="BD52" i="28"/>
  <c r="AJ9" i="28" s="1"/>
  <c r="BD34" i="12"/>
  <c r="AH9" i="12" s="1"/>
  <c r="BH41" i="11"/>
  <c r="AZ41" i="11"/>
  <c r="AZ40" i="11"/>
  <c r="BH40" i="11"/>
  <c r="BL54" i="16"/>
  <c r="AO11" i="16" s="1"/>
  <c r="BD52" i="39"/>
  <c r="AJ9" i="39" s="1"/>
  <c r="BH23" i="24"/>
  <c r="AZ23" i="24"/>
  <c r="AZ22" i="24"/>
  <c r="BD22" i="24" s="1"/>
  <c r="AG6" i="24" s="1"/>
  <c r="BH22" i="24"/>
  <c r="BL41" i="11"/>
  <c r="AN7" i="11" s="1"/>
  <c r="BD34" i="17"/>
  <c r="AH9" i="17" s="1"/>
  <c r="BL33" i="28"/>
  <c r="AM8" i="28" s="1"/>
  <c r="AY41" i="11"/>
  <c r="BG41" i="11"/>
  <c r="BL43" i="41"/>
  <c r="AN9" i="41" s="1"/>
  <c r="BD36" i="35"/>
  <c r="AH11" i="35" s="1"/>
  <c r="BL31" i="20"/>
  <c r="AM6" i="20" s="1"/>
  <c r="BD25" i="19"/>
  <c r="AG9" i="19" s="1"/>
  <c r="AZ33" i="26"/>
  <c r="BH33" i="26"/>
  <c r="BL33" i="26" s="1"/>
  <c r="AM8" i="26" s="1"/>
  <c r="BD41" i="13"/>
  <c r="AI7" i="13" s="1"/>
  <c r="BL26" i="39"/>
  <c r="AL10" i="39" s="1"/>
  <c r="BL49" i="12"/>
  <c r="AO6" i="12" s="1"/>
  <c r="BL23" i="35"/>
  <c r="AL7" i="35" s="1"/>
  <c r="AZ49" i="33"/>
  <c r="BH49" i="33"/>
  <c r="AZ51" i="33"/>
  <c r="BH51" i="33"/>
  <c r="BL33" i="42"/>
  <c r="AM8" i="42" s="1"/>
  <c r="BL40" i="19"/>
  <c r="AN6" i="19" s="1"/>
  <c r="BA24" i="12"/>
  <c r="BI24" i="12"/>
  <c r="BL24" i="12" s="1"/>
  <c r="AL8" i="12" s="1"/>
  <c r="BA23" i="12"/>
  <c r="BD23" i="12" s="1"/>
  <c r="AG7" i="12" s="1"/>
  <c r="BI23" i="12"/>
  <c r="BL23" i="12" s="1"/>
  <c r="AL7" i="12" s="1"/>
  <c r="BB22" i="34"/>
  <c r="BJ22" i="34"/>
  <c r="BJ24" i="34"/>
  <c r="BB24" i="34"/>
  <c r="BD35" i="30"/>
  <c r="AH10" i="30" s="1"/>
  <c r="AS10" i="30" s="1"/>
  <c r="BD50" i="27"/>
  <c r="AJ7" i="27" s="1"/>
  <c r="AX24" i="23"/>
  <c r="BD24" i="23" s="1"/>
  <c r="AG8" i="23" s="1"/>
  <c r="BF24" i="23"/>
  <c r="BL24" i="23" s="1"/>
  <c r="AL8" i="23" s="1"/>
  <c r="BL35" i="37"/>
  <c r="AM10" i="37" s="1"/>
  <c r="BH34" i="10"/>
  <c r="BL34" i="10" s="1"/>
  <c r="AM9" i="10" s="1"/>
  <c r="AZ34" i="10"/>
  <c r="BL49" i="18"/>
  <c r="AO6" i="18" s="1"/>
  <c r="BG22" i="33"/>
  <c r="AY22" i="33"/>
  <c r="BH26" i="14"/>
  <c r="AZ26" i="14"/>
  <c r="BD26" i="14" s="1"/>
  <c r="AG10" i="14" s="1"/>
  <c r="AZ25" i="14"/>
  <c r="BH25" i="14"/>
  <c r="BL25" i="14" s="1"/>
  <c r="AL9" i="14" s="1"/>
  <c r="BD43" i="35"/>
  <c r="AI9" i="35" s="1"/>
  <c r="BL33" i="22"/>
  <c r="AM8" i="22" s="1"/>
  <c r="BL33" i="16"/>
  <c r="AM8" i="16" s="1"/>
  <c r="AX22" i="31"/>
  <c r="BD22" i="31" s="1"/>
  <c r="AG6" i="31" s="1"/>
  <c r="BF22" i="31"/>
  <c r="BL22" i="31" s="1"/>
  <c r="AL6" i="31" s="1"/>
  <c r="AX24" i="31"/>
  <c r="BD24" i="31" s="1"/>
  <c r="AG8" i="31" s="1"/>
  <c r="BF24" i="31"/>
  <c r="BL24" i="31" s="1"/>
  <c r="AL8" i="31" s="1"/>
  <c r="BD40" i="15"/>
  <c r="AI6" i="15" s="1"/>
  <c r="AZ24" i="33"/>
  <c r="BH24" i="33"/>
  <c r="AZ50" i="24"/>
  <c r="BD50" i="24" s="1"/>
  <c r="AJ7" i="24" s="1"/>
  <c r="BH50" i="24"/>
  <c r="BD53" i="37"/>
  <c r="AJ10" i="37" s="1"/>
  <c r="BD52" i="35"/>
  <c r="AJ9" i="35" s="1"/>
  <c r="BD36" i="14"/>
  <c r="AH11" i="14" s="1"/>
  <c r="AY35" i="42"/>
  <c r="BD35" i="42" s="1"/>
  <c r="AH10" i="42" s="1"/>
  <c r="BG35" i="42"/>
  <c r="BG34" i="42"/>
  <c r="BL34" i="42" s="1"/>
  <c r="AM9" i="42" s="1"/>
  <c r="AY34" i="42"/>
  <c r="BB44" i="34"/>
  <c r="BJ44" i="34"/>
  <c r="BB43" i="34"/>
  <c r="BJ43" i="34"/>
  <c r="BD42" i="24"/>
  <c r="AI8" i="24" s="1"/>
  <c r="AZ24" i="11"/>
  <c r="BH24" i="11"/>
  <c r="BD24" i="18"/>
  <c r="AG8" i="18" s="1"/>
  <c r="AY50" i="11"/>
  <c r="BG50" i="11"/>
  <c r="BG49" i="11"/>
  <c r="BL49" i="11" s="1"/>
  <c r="AO6" i="11" s="1"/>
  <c r="AY49" i="11"/>
  <c r="BH35" i="16"/>
  <c r="BL35" i="16" s="1"/>
  <c r="AM10" i="16" s="1"/>
  <c r="AZ35" i="16"/>
  <c r="BD35" i="16" s="1"/>
  <c r="AH10" i="16" s="1"/>
  <c r="AZ34" i="16"/>
  <c r="BH34" i="16"/>
  <c r="BL36" i="27"/>
  <c r="AM11" i="27" s="1"/>
  <c r="BD33" i="13"/>
  <c r="AH8" i="13" s="1"/>
  <c r="AX35" i="23"/>
  <c r="BD35" i="23" s="1"/>
  <c r="AH10" i="23" s="1"/>
  <c r="BF35" i="23"/>
  <c r="BL35" i="23" s="1"/>
  <c r="AM10" i="23" s="1"/>
  <c r="BL40" i="12"/>
  <c r="AN6" i="12" s="1"/>
  <c r="BH40" i="36"/>
  <c r="AZ40" i="36"/>
  <c r="AZ42" i="36"/>
  <c r="BD42" i="36" s="1"/>
  <c r="AI8" i="36" s="1"/>
  <c r="BH42" i="36"/>
  <c r="AX49" i="38"/>
  <c r="BD49" i="38" s="1"/>
  <c r="AJ6" i="38" s="1"/>
  <c r="BF49" i="38"/>
  <c r="BL49" i="38" s="1"/>
  <c r="AO6" i="38" s="1"/>
  <c r="BF51" i="38"/>
  <c r="BL51" i="38" s="1"/>
  <c r="AO8" i="38" s="1"/>
  <c r="AX51" i="38"/>
  <c r="BD51" i="38" s="1"/>
  <c r="AJ8" i="38" s="1"/>
  <c r="BL44" i="21"/>
  <c r="AN10" i="21" s="1"/>
  <c r="BL27" i="27"/>
  <c r="AL11" i="27" s="1"/>
  <c r="BD36" i="20"/>
  <c r="AH11" i="20" s="1"/>
  <c r="AY54" i="33"/>
  <c r="BD54" i="33" s="1"/>
  <c r="AJ11" i="33" s="1"/>
  <c r="BG54" i="33"/>
  <c r="BL54" i="33" s="1"/>
  <c r="AO11" i="33" s="1"/>
  <c r="AZ53" i="14"/>
  <c r="BH53" i="14"/>
  <c r="BL53" i="14" s="1"/>
  <c r="AO10" i="14" s="1"/>
  <c r="AY25" i="20"/>
  <c r="BD25" i="20" s="1"/>
  <c r="AG9" i="20" s="1"/>
  <c r="BG25" i="20"/>
  <c r="BD50" i="34"/>
  <c r="AJ7" i="34" s="1"/>
  <c r="BL54" i="12"/>
  <c r="AO11" i="12" s="1"/>
  <c r="BL31" i="41"/>
  <c r="AM6" i="41" s="1"/>
  <c r="BI50" i="36"/>
  <c r="BA50" i="36"/>
  <c r="BD41" i="14"/>
  <c r="AI7" i="14" s="1"/>
  <c r="BF26" i="38"/>
  <c r="BL26" i="38" s="1"/>
  <c r="AL10" i="38" s="1"/>
  <c r="AX26" i="38"/>
  <c r="BD26" i="38" s="1"/>
  <c r="AG10" i="38" s="1"/>
  <c r="AX35" i="32"/>
  <c r="BD35" i="32" s="1"/>
  <c r="AH10" i="32" s="1"/>
  <c r="BF35" i="32"/>
  <c r="BL35" i="32" s="1"/>
  <c r="AM10" i="32" s="1"/>
  <c r="BG45" i="20"/>
  <c r="AY45" i="20"/>
  <c r="BD45" i="20" s="1"/>
  <c r="AI11" i="20" s="1"/>
  <c r="AX41" i="25"/>
  <c r="BD41" i="25" s="1"/>
  <c r="AI7" i="25" s="1"/>
  <c r="BF41" i="25"/>
  <c r="BL41" i="25" s="1"/>
  <c r="AN7" i="25" s="1"/>
  <c r="BF44" i="38"/>
  <c r="BL44" i="38" s="1"/>
  <c r="AN10" i="38" s="1"/>
  <c r="AX44" i="38"/>
  <c r="BD44" i="38" s="1"/>
  <c r="AI10" i="38" s="1"/>
  <c r="AZ24" i="26"/>
  <c r="BD24" i="26" s="1"/>
  <c r="AG8" i="26" s="1"/>
  <c r="AS8" i="26" s="1"/>
  <c r="BH24" i="26"/>
  <c r="BL49" i="10"/>
  <c r="AO6" i="10" s="1"/>
  <c r="AZ43" i="33"/>
  <c r="BH43" i="33"/>
  <c r="AY54" i="29"/>
  <c r="BD54" i="29" s="1"/>
  <c r="AJ11" i="29" s="1"/>
  <c r="BG54" i="29"/>
  <c r="BL54" i="29" s="1"/>
  <c r="AO11" i="29" s="1"/>
  <c r="BD25" i="10"/>
  <c r="AG9" i="10" s="1"/>
  <c r="BB34" i="34"/>
  <c r="BJ34" i="34"/>
  <c r="BL50" i="22"/>
  <c r="AO7" i="22" s="1"/>
  <c r="AZ52" i="10"/>
  <c r="BH52" i="10"/>
  <c r="BD40" i="30"/>
  <c r="AI6" i="30" s="1"/>
  <c r="BJ34" i="15"/>
  <c r="BL34" i="15" s="1"/>
  <c r="AM9" i="15" s="1"/>
  <c r="BB34" i="15"/>
  <c r="BD40" i="21"/>
  <c r="AI6" i="21" s="1"/>
  <c r="BL23" i="28"/>
  <c r="AL7" i="28" s="1"/>
  <c r="BL32" i="18"/>
  <c r="AM7" i="18" s="1"/>
  <c r="AY34" i="33"/>
  <c r="BD34" i="33" s="1"/>
  <c r="AH9" i="33" s="1"/>
  <c r="BG34" i="33"/>
  <c r="BL34" i="33" s="1"/>
  <c r="AM9" i="33" s="1"/>
  <c r="BD33" i="21"/>
  <c r="AH8" i="21" s="1"/>
  <c r="BF26" i="32"/>
  <c r="AX26" i="32"/>
  <c r="BL41" i="16"/>
  <c r="AN7" i="16" s="1"/>
  <c r="AY27" i="29"/>
  <c r="BD27" i="29" s="1"/>
  <c r="AG11" i="29" s="1"/>
  <c r="BG27" i="29"/>
  <c r="BL27" i="29" s="1"/>
  <c r="AL11" i="29" s="1"/>
  <c r="BD50" i="20"/>
  <c r="AJ7" i="20" s="1"/>
  <c r="BI43" i="12"/>
  <c r="BL43" i="12" s="1"/>
  <c r="AN9" i="12" s="1"/>
  <c r="BA43" i="12"/>
  <c r="BD40" i="36"/>
  <c r="AI6" i="36" s="1"/>
  <c r="BJ53" i="34"/>
  <c r="BB53" i="34"/>
  <c r="AZ33" i="11"/>
  <c r="BD33" i="11" s="1"/>
  <c r="AH8" i="11" s="1"/>
  <c r="BH33" i="11"/>
  <c r="BD45" i="41"/>
  <c r="AI11" i="41" s="1"/>
  <c r="BD50" i="15"/>
  <c r="AJ7" i="15" s="1"/>
  <c r="AZ41" i="10"/>
  <c r="BD41" i="10" s="1"/>
  <c r="AI7" i="10" s="1"/>
  <c r="BH41" i="10"/>
  <c r="BL41" i="10" s="1"/>
  <c r="AN7" i="10" s="1"/>
  <c r="AX34" i="38"/>
  <c r="BD34" i="38" s="1"/>
  <c r="AH9" i="38" s="1"/>
  <c r="BF34" i="38"/>
  <c r="BL34" i="38" s="1"/>
  <c r="AM9" i="38" s="1"/>
  <c r="AZ26" i="32"/>
  <c r="BH26" i="32"/>
  <c r="AZ26" i="16"/>
  <c r="BD26" i="16" s="1"/>
  <c r="AG10" i="16" s="1"/>
  <c r="BH26" i="16"/>
  <c r="BL26" i="16" s="1"/>
  <c r="AL10" i="16" s="1"/>
  <c r="BJ52" i="15"/>
  <c r="BL52" i="15" s="1"/>
  <c r="AO9" i="15" s="1"/>
  <c r="BB52" i="15"/>
  <c r="AX27" i="25"/>
  <c r="BD27" i="25" s="1"/>
  <c r="AG11" i="25" s="1"/>
  <c r="BF27" i="25"/>
  <c r="BL27" i="25" s="1"/>
  <c r="AL11" i="25" s="1"/>
  <c r="BL51" i="12"/>
  <c r="AO8" i="12" s="1"/>
  <c r="AY40" i="29"/>
  <c r="BD40" i="29" s="1"/>
  <c r="AI6" i="29" s="1"/>
  <c r="BG40" i="29"/>
  <c r="BL40" i="29" s="1"/>
  <c r="AN6" i="29" s="1"/>
  <c r="AY52" i="42"/>
  <c r="BG52" i="42"/>
  <c r="AZ54" i="11"/>
  <c r="BH54" i="11"/>
  <c r="BL25" i="40"/>
  <c r="AL9" i="40" s="1"/>
  <c r="AZ40" i="32"/>
  <c r="BH40" i="32"/>
  <c r="BH50" i="26"/>
  <c r="AZ50" i="26"/>
  <c r="BD50" i="26" s="1"/>
  <c r="AJ7" i="26" s="1"/>
  <c r="AZ49" i="26"/>
  <c r="BH49" i="26"/>
  <c r="BL49" i="26" s="1"/>
  <c r="AO6" i="26" s="1"/>
  <c r="BH42" i="16"/>
  <c r="AZ42" i="16"/>
  <c r="AZ41" i="16"/>
  <c r="BD41" i="16" s="1"/>
  <c r="AI7" i="16" s="1"/>
  <c r="BH41" i="16"/>
  <c r="BB26" i="15"/>
  <c r="BD26" i="15" s="1"/>
  <c r="AG10" i="15" s="1"/>
  <c r="BJ26" i="15"/>
  <c r="BL22" i="17"/>
  <c r="AL6" i="17" s="1"/>
  <c r="BL49" i="42"/>
  <c r="AO6" i="42" s="1"/>
  <c r="BL22" i="24"/>
  <c r="AL6" i="24" s="1"/>
  <c r="BL45" i="22"/>
  <c r="AN11" i="22" s="1"/>
  <c r="BL43" i="16"/>
  <c r="AN9" i="16" s="1"/>
  <c r="BL54" i="21"/>
  <c r="AO11" i="21" s="1"/>
  <c r="BD52" i="20"/>
  <c r="AJ9" i="20" s="1"/>
  <c r="BD42" i="41"/>
  <c r="AI8" i="41" s="1"/>
  <c r="BD25" i="36"/>
  <c r="AG9" i="36" s="1"/>
  <c r="AZ27" i="34"/>
  <c r="BH27" i="34"/>
  <c r="AY52" i="33"/>
  <c r="BD52" i="33" s="1"/>
  <c r="AJ9" i="33" s="1"/>
  <c r="BG52" i="33"/>
  <c r="BL52" i="33" s="1"/>
  <c r="AO9" i="33" s="1"/>
  <c r="AZ52" i="14"/>
  <c r="BD52" i="14" s="1"/>
  <c r="AJ9" i="14" s="1"/>
  <c r="BH52" i="14"/>
  <c r="BL52" i="14" s="1"/>
  <c r="AO9" i="14" s="1"/>
  <c r="AZ54" i="14"/>
  <c r="BH54" i="14"/>
  <c r="AY26" i="20"/>
  <c r="BG26" i="20"/>
  <c r="BL26" i="20" s="1"/>
  <c r="AL10" i="20" s="1"/>
  <c r="BD22" i="14"/>
  <c r="AG6" i="14" s="1"/>
  <c r="BD51" i="34"/>
  <c r="AJ8" i="34" s="1"/>
  <c r="BD23" i="39"/>
  <c r="AG7" i="39" s="1"/>
  <c r="AS7" i="39" s="1"/>
  <c r="AX36" i="31"/>
  <c r="BD36" i="31" s="1"/>
  <c r="AH11" i="31" s="1"/>
  <c r="BF36" i="31"/>
  <c r="BL36" i="31" s="1"/>
  <c r="AM11" i="31" s="1"/>
  <c r="AX35" i="31"/>
  <c r="BD35" i="31" s="1"/>
  <c r="AH10" i="31" s="1"/>
  <c r="BF35" i="31"/>
  <c r="BL35" i="31" s="1"/>
  <c r="AM10" i="31" s="1"/>
  <c r="BD34" i="24"/>
  <c r="AH9" i="24" s="1"/>
  <c r="BL33" i="41"/>
  <c r="AM8" i="41" s="1"/>
  <c r="BL49" i="17"/>
  <c r="AO6" i="17" s="1"/>
  <c r="BA49" i="36"/>
  <c r="BD49" i="36" s="1"/>
  <c r="AJ6" i="36" s="1"/>
  <c r="BI49" i="36"/>
  <c r="BL49" i="36" s="1"/>
  <c r="AO6" i="36" s="1"/>
  <c r="BA51" i="36"/>
  <c r="BI51" i="36"/>
  <c r="BL35" i="42"/>
  <c r="AM10" i="42" s="1"/>
  <c r="BD42" i="19"/>
  <c r="AI8" i="19" s="1"/>
  <c r="BD51" i="27"/>
  <c r="AJ8" i="27" s="1"/>
  <c r="BD31" i="37"/>
  <c r="AH6" i="37" s="1"/>
  <c r="BD33" i="10"/>
  <c r="AH8" i="10" s="1"/>
  <c r="AX25" i="38"/>
  <c r="BD25" i="38" s="1"/>
  <c r="AG9" i="38" s="1"/>
  <c r="BF25" i="38"/>
  <c r="BL25" i="38" s="1"/>
  <c r="AL9" i="38" s="1"/>
  <c r="AX27" i="38"/>
  <c r="BD27" i="38" s="1"/>
  <c r="AG11" i="38" s="1"/>
  <c r="BF27" i="38"/>
  <c r="BL27" i="38" s="1"/>
  <c r="AL11" i="38" s="1"/>
  <c r="AZ45" i="34"/>
  <c r="BD45" i="34" s="1"/>
  <c r="AI11" i="34" s="1"/>
  <c r="BH45" i="34"/>
  <c r="BL45" i="34" s="1"/>
  <c r="AN11" i="34" s="1"/>
  <c r="BD42" i="27"/>
  <c r="AI8" i="27" s="1"/>
  <c r="AX36" i="32"/>
  <c r="BF36" i="32"/>
  <c r="AY44" i="20"/>
  <c r="BG44" i="20"/>
  <c r="BL44" i="20" s="1"/>
  <c r="AN10" i="20" s="1"/>
  <c r="BD24" i="41"/>
  <c r="AG8" i="41" s="1"/>
  <c r="AX40" i="25"/>
  <c r="BD40" i="25" s="1"/>
  <c r="AI6" i="25" s="1"/>
  <c r="BF40" i="25"/>
  <c r="BL40" i="25" s="1"/>
  <c r="AN6" i="25" s="1"/>
  <c r="BF42" i="25"/>
  <c r="BL42" i="25" s="1"/>
  <c r="AN8" i="25" s="1"/>
  <c r="AX42" i="25"/>
  <c r="BD42" i="25" s="1"/>
  <c r="AI8" i="25" s="1"/>
  <c r="BL53" i="19"/>
  <c r="AO10" i="19" s="1"/>
  <c r="BD45" i="15"/>
  <c r="AI11" i="15" s="1"/>
  <c r="BL32" i="14"/>
  <c r="AM7" i="14" s="1"/>
  <c r="BL45" i="39"/>
  <c r="AN11" i="39" s="1"/>
  <c r="AX43" i="38"/>
  <c r="BD43" i="38" s="1"/>
  <c r="AI9" i="38" s="1"/>
  <c r="BF43" i="38"/>
  <c r="BL43" i="38" s="1"/>
  <c r="AN9" i="38" s="1"/>
  <c r="BF45" i="38"/>
  <c r="BL45" i="38" s="1"/>
  <c r="AN11" i="38" s="1"/>
  <c r="AX45" i="38"/>
  <c r="BD45" i="38" s="1"/>
  <c r="AI11" i="38" s="1"/>
  <c r="AZ23" i="26"/>
  <c r="BD23" i="26" s="1"/>
  <c r="AG7" i="26" s="1"/>
  <c r="AS7" i="26" s="1"/>
  <c r="BH23" i="26"/>
  <c r="BL23" i="26" s="1"/>
  <c r="AL7" i="26" s="1"/>
  <c r="AY41" i="33"/>
  <c r="BG41" i="33"/>
  <c r="BL41" i="33" s="1"/>
  <c r="AN7" i="33" s="1"/>
  <c r="BH40" i="14"/>
  <c r="BL40" i="14" s="1"/>
  <c r="AN6" i="14" s="1"/>
  <c r="AZ40" i="14"/>
  <c r="BD40" i="14" s="1"/>
  <c r="AI6" i="14" s="1"/>
  <c r="AZ42" i="14"/>
  <c r="BH42" i="14"/>
  <c r="BD32" i="15"/>
  <c r="AH7" i="15" s="1"/>
  <c r="BD33" i="26"/>
  <c r="AH8" i="26" s="1"/>
  <c r="AX40" i="31"/>
  <c r="BD40" i="31" s="1"/>
  <c r="AI6" i="31" s="1"/>
  <c r="BF40" i="31"/>
  <c r="BL40" i="31" s="1"/>
  <c r="AN6" i="31" s="1"/>
  <c r="AX42" i="31"/>
  <c r="BD42" i="31" s="1"/>
  <c r="AI8" i="31" s="1"/>
  <c r="BF42" i="31"/>
  <c r="BL42" i="31" s="1"/>
  <c r="AN8" i="31" s="1"/>
  <c r="BD22" i="37"/>
  <c r="AG6" i="37" s="1"/>
  <c r="BL53" i="10"/>
  <c r="AO10" i="10" s="1"/>
  <c r="BA44" i="36"/>
  <c r="BI44" i="36"/>
  <c r="BH45" i="33"/>
  <c r="AZ45" i="33"/>
  <c r="AZ44" i="33"/>
  <c r="BH44" i="33"/>
  <c r="BL51" i="28"/>
  <c r="AO8" i="28" s="1"/>
  <c r="BD32" i="27"/>
  <c r="AH7" i="27" s="1"/>
  <c r="BD33" i="12"/>
  <c r="AH8" i="12" s="1"/>
  <c r="AY52" i="29"/>
  <c r="BD52" i="29" s="1"/>
  <c r="AJ9" i="29" s="1"/>
  <c r="BG52" i="29"/>
  <c r="BL52" i="29" s="1"/>
  <c r="AO9" i="29" s="1"/>
  <c r="BD27" i="22"/>
  <c r="AG11" i="22" s="1"/>
  <c r="BL32" i="39"/>
  <c r="AM7" i="39" s="1"/>
  <c r="BJ35" i="34"/>
  <c r="BB35" i="34"/>
  <c r="BD35" i="34" s="1"/>
  <c r="AH10" i="34" s="1"/>
  <c r="BL35" i="21"/>
  <c r="AM10" i="21" s="1"/>
  <c r="BL50" i="16"/>
  <c r="AO7" i="16" s="1"/>
  <c r="AZ50" i="10"/>
  <c r="BH50" i="10"/>
  <c r="AZ54" i="10"/>
  <c r="BD54" i="10" s="1"/>
  <c r="AJ11" i="10" s="1"/>
  <c r="BH54" i="10"/>
  <c r="BL42" i="30"/>
  <c r="AN8" i="30" s="1"/>
  <c r="BB36" i="15"/>
  <c r="BJ36" i="15"/>
  <c r="BB35" i="15"/>
  <c r="BD35" i="15" s="1"/>
  <c r="AH10" i="15" s="1"/>
  <c r="BJ35" i="15"/>
  <c r="BD42" i="28"/>
  <c r="AI8" i="28" s="1"/>
  <c r="BL53" i="40"/>
  <c r="AO10" i="40" s="1"/>
  <c r="AX50" i="31"/>
  <c r="BD50" i="31" s="1"/>
  <c r="AJ7" i="31" s="1"/>
  <c r="BF50" i="31"/>
  <c r="BL50" i="31" s="1"/>
  <c r="AO7" i="31" s="1"/>
  <c r="AX49" i="31"/>
  <c r="BD49" i="31" s="1"/>
  <c r="AJ6" i="31" s="1"/>
  <c r="BF49" i="31"/>
  <c r="BL49" i="31" s="1"/>
  <c r="AO6" i="31" s="1"/>
  <c r="BL24" i="28"/>
  <c r="AL8" i="28" s="1"/>
  <c r="BL23" i="27"/>
  <c r="AL7" i="27" s="1"/>
  <c r="BD27" i="20"/>
  <c r="AG11" i="20" s="1"/>
  <c r="BD26" i="13"/>
  <c r="AG10" i="13" s="1"/>
  <c r="AS10" i="13" s="1"/>
  <c r="BL50" i="24"/>
  <c r="AO7" i="24" s="1"/>
  <c r="AY36" i="33"/>
  <c r="BD36" i="33" s="1"/>
  <c r="AH11" i="33" s="1"/>
  <c r="BG36" i="33"/>
  <c r="BL36" i="33" s="1"/>
  <c r="AM11" i="33" s="1"/>
  <c r="BG35" i="33"/>
  <c r="AY35" i="33"/>
  <c r="BL45" i="21"/>
  <c r="AN11" i="21" s="1"/>
  <c r="BD35" i="18"/>
  <c r="AH10" i="18" s="1"/>
  <c r="BD24" i="13"/>
  <c r="AG8" i="13" s="1"/>
  <c r="BD22" i="10"/>
  <c r="AG6" i="10" s="1"/>
  <c r="BL22" i="22"/>
  <c r="AL6" i="22" s="1"/>
  <c r="AY22" i="11"/>
  <c r="BG22" i="11"/>
  <c r="BL22" i="11" s="1"/>
  <c r="AL6" i="11" s="1"/>
  <c r="BG24" i="11"/>
  <c r="BL24" i="11" s="1"/>
  <c r="AL8" i="11" s="1"/>
  <c r="AY24" i="11"/>
  <c r="BD54" i="22"/>
  <c r="AJ11" i="22" s="1"/>
  <c r="BD45" i="28"/>
  <c r="AI11" i="28" s="1"/>
  <c r="AX25" i="32"/>
  <c r="BD25" i="32" s="1"/>
  <c r="AG9" i="32" s="1"/>
  <c r="BF25" i="32"/>
  <c r="AX27" i="32"/>
  <c r="BF27" i="32"/>
  <c r="BD36" i="18"/>
  <c r="AH11" i="18" s="1"/>
  <c r="AS11" i="18" s="1"/>
  <c r="BD41" i="33"/>
  <c r="AI7" i="33" s="1"/>
  <c r="BD22" i="20"/>
  <c r="AG6" i="20" s="1"/>
  <c r="BL41" i="22"/>
  <c r="AN7" i="22" s="1"/>
  <c r="BD31" i="34"/>
  <c r="AH6" i="34" s="1"/>
  <c r="BL42" i="16"/>
  <c r="AN8" i="16" s="1"/>
  <c r="BL33" i="36"/>
  <c r="AM8" i="36" s="1"/>
  <c r="AZ35" i="33"/>
  <c r="BH35" i="33"/>
  <c r="BL51" i="30"/>
  <c r="AO8" i="30" s="1"/>
  <c r="BL50" i="21"/>
  <c r="AO7" i="21" s="1"/>
  <c r="AY26" i="29"/>
  <c r="BD26" i="29" s="1"/>
  <c r="AG10" i="29" s="1"/>
  <c r="BG26" i="29"/>
  <c r="BL26" i="29" s="1"/>
  <c r="AL10" i="29" s="1"/>
  <c r="BA44" i="12"/>
  <c r="BD44" i="12" s="1"/>
  <c r="AI10" i="12" s="1"/>
  <c r="BI44" i="12"/>
  <c r="BD35" i="17"/>
  <c r="AH10" i="17" s="1"/>
  <c r="AS10" i="17" s="1"/>
  <c r="BB52" i="34"/>
  <c r="BJ52" i="34"/>
  <c r="BB54" i="34"/>
  <c r="BJ54" i="34"/>
  <c r="BL54" i="34" s="1"/>
  <c r="AO11" i="34" s="1"/>
  <c r="AZ32" i="11"/>
  <c r="BH32" i="11"/>
  <c r="BD32" i="28"/>
  <c r="AH7" i="28" s="1"/>
  <c r="BL34" i="35"/>
  <c r="AM9" i="35" s="1"/>
  <c r="BD33" i="20"/>
  <c r="AH8" i="20" s="1"/>
  <c r="BD26" i="19"/>
  <c r="AG10" i="19" s="1"/>
  <c r="BD49" i="15"/>
  <c r="AJ6" i="15" s="1"/>
  <c r="BL24" i="36"/>
  <c r="AL8" i="36" s="1"/>
  <c r="AZ43" i="10"/>
  <c r="BD43" i="10" s="1"/>
  <c r="AI9" i="10" s="1"/>
  <c r="BH43" i="10"/>
  <c r="AX36" i="38"/>
  <c r="BD36" i="38" s="1"/>
  <c r="AH11" i="38" s="1"/>
  <c r="BF36" i="38"/>
  <c r="BL36" i="38" s="1"/>
  <c r="AM11" i="38" s="1"/>
  <c r="AZ25" i="32"/>
  <c r="BH25" i="32"/>
  <c r="AZ27" i="32"/>
  <c r="BH27" i="32"/>
  <c r="AZ25" i="16"/>
  <c r="BD25" i="16" s="1"/>
  <c r="AG9" i="16" s="1"/>
  <c r="BH25" i="16"/>
  <c r="AZ27" i="16"/>
  <c r="BD27" i="16" s="1"/>
  <c r="AG11" i="16" s="1"/>
  <c r="BH27" i="16"/>
  <c r="BL27" i="16" s="1"/>
  <c r="AL11" i="16" s="1"/>
  <c r="BB54" i="15"/>
  <c r="BJ54" i="15"/>
  <c r="BB53" i="15"/>
  <c r="BD53" i="15" s="1"/>
  <c r="AJ10" i="15" s="1"/>
  <c r="BJ53" i="15"/>
  <c r="BL53" i="15" s="1"/>
  <c r="AO10" i="15" s="1"/>
  <c r="BD42" i="13"/>
  <c r="AI8" i="13" s="1"/>
  <c r="BL25" i="39"/>
  <c r="AL9" i="39" s="1"/>
  <c r="AX26" i="25"/>
  <c r="BD26" i="25" s="1"/>
  <c r="AG10" i="25" s="1"/>
  <c r="BF26" i="25"/>
  <c r="BL26" i="25" s="1"/>
  <c r="AL10" i="25" s="1"/>
  <c r="AX25" i="25"/>
  <c r="BD25" i="25" s="1"/>
  <c r="AG9" i="25" s="1"/>
  <c r="BF25" i="25"/>
  <c r="BL25" i="25" s="1"/>
  <c r="AL9" i="25" s="1"/>
  <c r="BD34" i="41"/>
  <c r="AH9" i="41" s="1"/>
  <c r="BL22" i="35"/>
  <c r="AL6" i="35" s="1"/>
  <c r="BH41" i="24"/>
  <c r="BL41" i="24" s="1"/>
  <c r="AN7" i="24" s="1"/>
  <c r="AZ41" i="24"/>
  <c r="BD41" i="24" s="1"/>
  <c r="AI7" i="24" s="1"/>
  <c r="AZ40" i="24"/>
  <c r="BH40" i="24"/>
  <c r="AY41" i="29"/>
  <c r="BG41" i="29"/>
  <c r="BD31" i="42"/>
  <c r="AH6" i="42" s="1"/>
  <c r="BL45" i="19"/>
  <c r="AN11" i="19" s="1"/>
  <c r="BL25" i="15"/>
  <c r="AL9" i="15" s="1"/>
  <c r="AY51" i="42"/>
  <c r="BD51" i="42" s="1"/>
  <c r="AJ8" i="42" s="1"/>
  <c r="BG51" i="42"/>
  <c r="BG53" i="42"/>
  <c r="BL53" i="42" s="1"/>
  <c r="AO10" i="42" s="1"/>
  <c r="AY53" i="42"/>
  <c r="BD34" i="30"/>
  <c r="AH9" i="30" s="1"/>
  <c r="AZ53" i="11"/>
  <c r="BH53" i="11"/>
  <c r="BD52" i="27"/>
  <c r="AJ9" i="27" s="1"/>
  <c r="AY32" i="11"/>
  <c r="BD32" i="11" s="1"/>
  <c r="AH7" i="11" s="1"/>
  <c r="BG32" i="11"/>
  <c r="BL32" i="11" s="1"/>
  <c r="AM7" i="11" s="1"/>
  <c r="BG31" i="11"/>
  <c r="AY31" i="11"/>
  <c r="BL26" i="40"/>
  <c r="AL10" i="40" s="1"/>
  <c r="BL54" i="13"/>
  <c r="AO11" i="13" s="1"/>
  <c r="BL26" i="42"/>
  <c r="AL10" i="42" s="1"/>
  <c r="BH42" i="32"/>
  <c r="AZ42" i="32"/>
  <c r="AZ41" i="32"/>
  <c r="BH41" i="32"/>
  <c r="AZ51" i="26"/>
  <c r="BD51" i="26" s="1"/>
  <c r="AJ8" i="26" s="1"/>
  <c r="BH51" i="26"/>
  <c r="AZ40" i="16"/>
  <c r="BD40" i="16" s="1"/>
  <c r="AI6" i="16" s="1"/>
  <c r="BH40" i="16"/>
  <c r="BL40" i="16" s="1"/>
  <c r="AN6" i="16" s="1"/>
  <c r="BB25" i="15"/>
  <c r="BJ25" i="15"/>
  <c r="BJ27" i="15"/>
  <c r="BL27" i="15" s="1"/>
  <c r="AL11" i="15" s="1"/>
  <c r="BB27" i="15"/>
  <c r="BD27" i="15" s="1"/>
  <c r="AG11" i="15" s="1"/>
  <c r="AS11" i="15" s="1"/>
  <c r="BD45" i="27"/>
  <c r="AI11" i="27" s="1"/>
  <c r="BL50" i="18"/>
  <c r="AO7" i="18" s="1"/>
  <c r="BD44" i="35"/>
  <c r="AI10" i="35" s="1"/>
  <c r="BL51" i="19"/>
  <c r="AO8" i="19" s="1"/>
  <c r="BL42" i="26"/>
  <c r="AN8" i="26" s="1"/>
  <c r="BL23" i="24"/>
  <c r="AL7" i="24" s="1"/>
  <c r="BD51" i="41"/>
  <c r="AJ8" i="41" s="1"/>
  <c r="BL40" i="24"/>
  <c r="AN6" i="24" s="1"/>
  <c r="BL23" i="18"/>
  <c r="AL7" i="18" s="1"/>
  <c r="AX43" i="23"/>
  <c r="BD43" i="23" s="1"/>
  <c r="AI9" i="23" s="1"/>
  <c r="BF43" i="23"/>
  <c r="BL43" i="23" s="1"/>
  <c r="AN9" i="23" s="1"/>
  <c r="AZ23" i="36"/>
  <c r="BD23" i="36" s="1"/>
  <c r="AG7" i="36" s="1"/>
  <c r="BH23" i="36"/>
  <c r="BL40" i="39"/>
  <c r="AN6" i="39" s="1"/>
  <c r="AZ23" i="10"/>
  <c r="BH23" i="10"/>
  <c r="AZ27" i="10"/>
  <c r="BD27" i="10" s="1"/>
  <c r="AG11" i="10" s="1"/>
  <c r="BH27" i="10"/>
  <c r="BL27" i="10" s="1"/>
  <c r="AL11" i="10" s="1"/>
  <c r="AZ36" i="32"/>
  <c r="BH36" i="32"/>
  <c r="AX54" i="32"/>
  <c r="BF54" i="32"/>
  <c r="BD35" i="19"/>
  <c r="AH10" i="19" s="1"/>
  <c r="BD36" i="26"/>
  <c r="AH11" i="26" s="1"/>
  <c r="BD25" i="30"/>
  <c r="AG9" i="30" s="1"/>
  <c r="BL25" i="37"/>
  <c r="AL9" i="37" s="1"/>
  <c r="BL36" i="40"/>
  <c r="AM11" i="40" s="1"/>
  <c r="BL54" i="14"/>
  <c r="AO11" i="14" s="1"/>
  <c r="BD52" i="10"/>
  <c r="AJ9" i="10" s="1"/>
  <c r="BL54" i="28"/>
  <c r="AO11" i="28" s="1"/>
  <c r="BL35" i="27"/>
  <c r="AM10" i="27" s="1"/>
  <c r="BL44" i="18"/>
  <c r="AN10" i="18" s="1"/>
  <c r="BD43" i="40"/>
  <c r="AI9" i="40" s="1"/>
  <c r="BD31" i="13"/>
  <c r="AH6" i="13" s="1"/>
  <c r="AS6" i="13" s="1"/>
  <c r="BD23" i="22"/>
  <c r="AG7" i="22" s="1"/>
  <c r="BD23" i="16"/>
  <c r="AG7" i="16" s="1"/>
  <c r="BD35" i="39"/>
  <c r="AH10" i="39" s="1"/>
  <c r="BA53" i="12"/>
  <c r="BI53" i="12"/>
  <c r="BL53" i="12" s="1"/>
  <c r="AO10" i="12" s="1"/>
  <c r="BA52" i="12"/>
  <c r="BI52" i="12"/>
  <c r="BL52" i="12" s="1"/>
  <c r="AO9" i="12" s="1"/>
  <c r="BL27" i="11"/>
  <c r="AL11" i="11" s="1"/>
  <c r="BL31" i="21"/>
  <c r="AM6" i="21" s="1"/>
  <c r="BL52" i="22"/>
  <c r="AO9" i="22" s="1"/>
  <c r="BL27" i="34"/>
  <c r="AL11" i="34" s="1"/>
  <c r="AZ50" i="32"/>
  <c r="BH50" i="32"/>
  <c r="BH49" i="16"/>
  <c r="AZ49" i="16"/>
  <c r="AZ51" i="16"/>
  <c r="BD51" i="16" s="1"/>
  <c r="AJ8" i="16" s="1"/>
  <c r="BH51" i="16"/>
  <c r="BL51" i="16" s="1"/>
  <c r="AO8" i="16" s="1"/>
  <c r="BL43" i="21"/>
  <c r="AN9" i="21" s="1"/>
  <c r="AZ31" i="14"/>
  <c r="BD31" i="14" s="1"/>
  <c r="AH6" i="14" s="1"/>
  <c r="BH31" i="14"/>
  <c r="BL31" i="14" s="1"/>
  <c r="AM6" i="14" s="1"/>
  <c r="BL42" i="42"/>
  <c r="AN8" i="42" s="1"/>
  <c r="BD36" i="39"/>
  <c r="AH11" i="39" s="1"/>
  <c r="BL27" i="28"/>
  <c r="AL11" i="28" s="1"/>
  <c r="BD23" i="21"/>
  <c r="AG7" i="21" s="1"/>
  <c r="BD44" i="22"/>
  <c r="AI10" i="22" s="1"/>
  <c r="BL51" i="39"/>
  <c r="AO8" i="39" s="1"/>
  <c r="BD35" i="36"/>
  <c r="AH10" i="36" s="1"/>
  <c r="BI32" i="36"/>
  <c r="BL32" i="36" s="1"/>
  <c r="AM7" i="36" s="1"/>
  <c r="BA32" i="36"/>
  <c r="BD53" i="30"/>
  <c r="AJ10" i="30" s="1"/>
  <c r="BD52" i="21"/>
  <c r="AJ9" i="21" s="1"/>
  <c r="BD33" i="17"/>
  <c r="AH8" i="17" s="1"/>
  <c r="BG44" i="42"/>
  <c r="BL44" i="42" s="1"/>
  <c r="AN10" i="42" s="1"/>
  <c r="AY44" i="42"/>
  <c r="BD35" i="28"/>
  <c r="AH10" i="28" s="1"/>
  <c r="AX54" i="23"/>
  <c r="BD54" i="23" s="1"/>
  <c r="AJ11" i="23" s="1"/>
  <c r="BF54" i="23"/>
  <c r="BL54" i="23" s="1"/>
  <c r="AO11" i="23" s="1"/>
  <c r="AZ34" i="36"/>
  <c r="BH34" i="36"/>
  <c r="BL34" i="36" s="1"/>
  <c r="AM9" i="36" s="1"/>
  <c r="AZ36" i="36"/>
  <c r="BD36" i="36" s="1"/>
  <c r="AH11" i="36" s="1"/>
  <c r="BH36" i="36"/>
  <c r="BL36" i="36" s="1"/>
  <c r="AM11" i="36" s="1"/>
  <c r="BD24" i="19"/>
  <c r="AG8" i="19" s="1"/>
  <c r="BL54" i="26"/>
  <c r="AO11" i="26" s="1"/>
  <c r="BF40" i="32"/>
  <c r="BL40" i="32" s="1"/>
  <c r="AN6" i="32" s="1"/>
  <c r="AX40" i="32"/>
  <c r="BD40" i="32" s="1"/>
  <c r="AI6" i="32" s="1"/>
  <c r="BD45" i="13"/>
  <c r="AI11" i="13" s="1"/>
  <c r="BL24" i="39"/>
  <c r="AL8" i="39" s="1"/>
  <c r="BI35" i="41"/>
  <c r="BL35" i="41" s="1"/>
  <c r="AM10" i="41" s="1"/>
  <c r="BA35" i="41"/>
  <c r="BD35" i="41" s="1"/>
  <c r="AH10" i="41" s="1"/>
  <c r="BL27" i="35"/>
  <c r="AL11" i="35" s="1"/>
  <c r="BL50" i="17"/>
  <c r="AO7" i="17" s="1"/>
  <c r="BD34" i="42"/>
  <c r="AH9" i="42" s="1"/>
  <c r="BD41" i="19"/>
  <c r="AI7" i="19" s="1"/>
  <c r="BD33" i="30"/>
  <c r="AH8" i="30" s="1"/>
  <c r="BL54" i="27"/>
  <c r="AO11" i="27" s="1"/>
  <c r="BL33" i="37"/>
  <c r="AM8" i="37" s="1"/>
  <c r="BD24" i="40"/>
  <c r="AG8" i="40" s="1"/>
  <c r="BH51" i="36"/>
  <c r="BL51" i="36" s="1"/>
  <c r="AO8" i="36" s="1"/>
  <c r="AZ51" i="36"/>
  <c r="AZ50" i="36"/>
  <c r="BD50" i="36" s="1"/>
  <c r="AJ7" i="36" s="1"/>
  <c r="BH50" i="36"/>
  <c r="BL50" i="36" s="1"/>
  <c r="AO7" i="36" s="1"/>
  <c r="BD42" i="14"/>
  <c r="AI8" i="14" s="1"/>
  <c r="BL49" i="13"/>
  <c r="AO6" i="13" s="1"/>
  <c r="BL53" i="18"/>
  <c r="AO10" i="18" s="1"/>
  <c r="BL40" i="35"/>
  <c r="AN6" i="35" s="1"/>
  <c r="BL34" i="22"/>
  <c r="AM9" i="22" s="1"/>
  <c r="BL34" i="16"/>
  <c r="AM9" i="16" s="1"/>
  <c r="BA50" i="41"/>
  <c r="BD50" i="41" s="1"/>
  <c r="AJ7" i="41" s="1"/>
  <c r="BI50" i="41"/>
  <c r="BA49" i="41"/>
  <c r="BD49" i="41" s="1"/>
  <c r="AJ6" i="41" s="1"/>
  <c r="BI49" i="41"/>
  <c r="BL52" i="42"/>
  <c r="AO9" i="42" s="1"/>
  <c r="BL52" i="19"/>
  <c r="AO9" i="19" s="1"/>
  <c r="BL43" i="26"/>
  <c r="AN9" i="26" s="1"/>
  <c r="BA22" i="36"/>
  <c r="BD22" i="36" s="1"/>
  <c r="AG6" i="36" s="1"/>
  <c r="BI22" i="36"/>
  <c r="BD25" i="24"/>
  <c r="AG9" i="24" s="1"/>
  <c r="BL51" i="37"/>
  <c r="AO8" i="37" s="1"/>
  <c r="AY32" i="29"/>
  <c r="BG32" i="29"/>
  <c r="BL32" i="29" s="1"/>
  <c r="AM7" i="29" s="1"/>
  <c r="BG31" i="29"/>
  <c r="BL31" i="29" s="1"/>
  <c r="AM6" i="29" s="1"/>
  <c r="AY31" i="29"/>
  <c r="BD31" i="29" s="1"/>
  <c r="AH6" i="29" s="1"/>
  <c r="BD52" i="41"/>
  <c r="AJ9" i="41" s="1"/>
  <c r="BD49" i="35"/>
  <c r="AJ6" i="35" s="1"/>
  <c r="BI32" i="12"/>
  <c r="BA32" i="12"/>
  <c r="BD32" i="12" s="1"/>
  <c r="AH7" i="12" s="1"/>
  <c r="BD43" i="24"/>
  <c r="AI9" i="24" s="1"/>
  <c r="BD26" i="18"/>
  <c r="AG10" i="18" s="1"/>
  <c r="BL43" i="39"/>
  <c r="AN9" i="39" s="1"/>
  <c r="BL41" i="17"/>
  <c r="AN7" i="17" s="1"/>
  <c r="BH33" i="34"/>
  <c r="AZ33" i="34"/>
  <c r="AZ32" i="34"/>
  <c r="BD32" i="34" s="1"/>
  <c r="AH7" i="34" s="1"/>
  <c r="BH32" i="34"/>
  <c r="BL32" i="34" s="1"/>
  <c r="AM7" i="34" s="1"/>
  <c r="BB44" i="15"/>
  <c r="BD44" i="15" s="1"/>
  <c r="AI10" i="15" s="1"/>
  <c r="BJ44" i="15"/>
  <c r="BL44" i="15" s="1"/>
  <c r="AN10" i="15" s="1"/>
  <c r="AY54" i="20"/>
  <c r="BD54" i="20" s="1"/>
  <c r="AJ11" i="20" s="1"/>
  <c r="BG54" i="20"/>
  <c r="BL31" i="19"/>
  <c r="AM6" i="19" s="1"/>
  <c r="BD24" i="30"/>
  <c r="AG8" i="30" s="1"/>
  <c r="AX33" i="25"/>
  <c r="BD33" i="25" s="1"/>
  <c r="AH8" i="25" s="1"/>
  <c r="BF33" i="25"/>
  <c r="BL33" i="25" s="1"/>
  <c r="AM8" i="25" s="1"/>
  <c r="AX32" i="25"/>
  <c r="BD32" i="25" s="1"/>
  <c r="AH7" i="25" s="1"/>
  <c r="BF32" i="25"/>
  <c r="BL32" i="25" s="1"/>
  <c r="AM7" i="25" s="1"/>
  <c r="BL23" i="37"/>
  <c r="AL7" i="37" s="1"/>
  <c r="BD33" i="40"/>
  <c r="AH8" i="40" s="1"/>
  <c r="BD51" i="14"/>
  <c r="AJ8" i="14" s="1"/>
  <c r="AZ31" i="24"/>
  <c r="BD31" i="24" s="1"/>
  <c r="AH6" i="24" s="1"/>
  <c r="BH31" i="24"/>
  <c r="AZ33" i="24"/>
  <c r="BH33" i="24"/>
  <c r="BL33" i="24" s="1"/>
  <c r="AM8" i="24" s="1"/>
  <c r="BD50" i="28"/>
  <c r="AJ7" i="28" s="1"/>
  <c r="BD31" i="27"/>
  <c r="AH6" i="27" s="1"/>
  <c r="BD40" i="18"/>
  <c r="AI6" i="18" s="1"/>
  <c r="BL40" i="40"/>
  <c r="AN6" i="40" s="1"/>
  <c r="BL23" i="10"/>
  <c r="AL7" i="10" s="1"/>
  <c r="BD26" i="22"/>
  <c r="AG10" i="22" s="1"/>
  <c r="BL33" i="39"/>
  <c r="AM8" i="39" s="1"/>
  <c r="AY24" i="42"/>
  <c r="BD24" i="42" s="1"/>
  <c r="AG8" i="42" s="1"/>
  <c r="BG24" i="42"/>
  <c r="BG23" i="42"/>
  <c r="BL23" i="42" s="1"/>
  <c r="AL7" i="42" s="1"/>
  <c r="AY23" i="42"/>
  <c r="BD23" i="42" s="1"/>
  <c r="AG7" i="42" s="1"/>
  <c r="BD43" i="12"/>
  <c r="AI9" i="12" s="1"/>
  <c r="BD51" i="22"/>
  <c r="AJ8" i="22" s="1"/>
  <c r="BL49" i="16"/>
  <c r="AO6" i="16" s="1"/>
  <c r="AZ49" i="34"/>
  <c r="BD49" i="34" s="1"/>
  <c r="AJ6" i="34" s="1"/>
  <c r="BH49" i="34"/>
  <c r="BL49" i="34" s="1"/>
  <c r="AO6" i="34" s="1"/>
  <c r="BL41" i="30"/>
  <c r="AN7" i="30" s="1"/>
  <c r="BL53" i="24"/>
  <c r="AO10" i="24" s="1"/>
  <c r="AZ44" i="26"/>
  <c r="BD44" i="26" s="1"/>
  <c r="AI10" i="26" s="1"/>
  <c r="BH44" i="26"/>
  <c r="BL44" i="26" s="1"/>
  <c r="AN10" i="26" s="1"/>
  <c r="AY35" i="20"/>
  <c r="BG35" i="20"/>
  <c r="BL35" i="20" s="1"/>
  <c r="AM10" i="20" s="1"/>
  <c r="BG34" i="20"/>
  <c r="BL34" i="20" s="1"/>
  <c r="AM9" i="20" s="1"/>
  <c r="AY34" i="20"/>
  <c r="BD34" i="20" s="1"/>
  <c r="AH9" i="20" s="1"/>
  <c r="BD54" i="40"/>
  <c r="AJ11" i="40" s="1"/>
  <c r="BD45" i="42"/>
  <c r="AI11" i="42" s="1"/>
  <c r="BA27" i="41"/>
  <c r="BD27" i="41" s="1"/>
  <c r="AG11" i="41" s="1"/>
  <c r="BI27" i="41"/>
  <c r="BL27" i="41" s="1"/>
  <c r="AL11" i="41" s="1"/>
  <c r="AX52" i="25"/>
  <c r="BD52" i="25" s="1"/>
  <c r="AJ9" i="25" s="1"/>
  <c r="BF52" i="25"/>
  <c r="BL52" i="25" s="1"/>
  <c r="AO9" i="25" s="1"/>
  <c r="AX54" i="25"/>
  <c r="BD54" i="25" s="1"/>
  <c r="AJ11" i="25" s="1"/>
  <c r="BF54" i="25"/>
  <c r="BL54" i="25" s="1"/>
  <c r="AO11" i="25" s="1"/>
  <c r="BL22" i="28"/>
  <c r="AL6" i="28" s="1"/>
  <c r="BL31" i="18"/>
  <c r="AM6" i="18" s="1"/>
  <c r="BL27" i="21"/>
  <c r="AL11" i="21" s="1"/>
  <c r="BD26" i="20"/>
  <c r="AG10" i="20" s="1"/>
  <c r="BD25" i="13"/>
  <c r="AG9" i="13" s="1"/>
  <c r="BL36" i="15"/>
  <c r="AM11" i="15" s="1"/>
  <c r="BD34" i="26"/>
  <c r="AH9" i="26" s="1"/>
  <c r="BI44" i="41"/>
  <c r="BL44" i="41" s="1"/>
  <c r="AN10" i="41" s="1"/>
  <c r="BA44" i="41"/>
  <c r="BD44" i="41" s="1"/>
  <c r="AI10" i="41" s="1"/>
  <c r="BL27" i="30"/>
  <c r="AL11" i="30" s="1"/>
  <c r="BD50" i="10"/>
  <c r="AJ7" i="10" s="1"/>
  <c r="BL45" i="18"/>
  <c r="AN11" i="18" s="1"/>
  <c r="BH45" i="11"/>
  <c r="AZ45" i="11"/>
  <c r="AZ44" i="11"/>
  <c r="BH44" i="11"/>
  <c r="BL44" i="11" s="1"/>
  <c r="AN10" i="11" s="1"/>
  <c r="BD54" i="16"/>
  <c r="AJ11" i="16" s="1"/>
  <c r="BD49" i="11"/>
  <c r="AJ6" i="11" s="1"/>
  <c r="BD40" i="22"/>
  <c r="AI6" i="22" s="1"/>
  <c r="BD54" i="39"/>
  <c r="AJ11" i="39" s="1"/>
  <c r="BH27" i="24"/>
  <c r="BL27" i="24" s="1"/>
  <c r="AL11" i="24" s="1"/>
  <c r="AZ27" i="24"/>
  <c r="AZ26" i="24"/>
  <c r="BD26" i="24" s="1"/>
  <c r="AG10" i="24" s="1"/>
  <c r="BH26" i="24"/>
  <c r="BL26" i="24" s="1"/>
  <c r="AL10" i="24" s="1"/>
  <c r="BD41" i="11"/>
  <c r="AI7" i="11" s="1"/>
  <c r="BD36" i="17"/>
  <c r="AH11" i="17" s="1"/>
  <c r="BL31" i="28"/>
  <c r="AM6" i="28" s="1"/>
  <c r="AY43" i="11"/>
  <c r="BD43" i="11" s="1"/>
  <c r="AI9" i="11" s="1"/>
  <c r="BG43" i="11"/>
  <c r="AY45" i="11"/>
  <c r="BD45" i="11" s="1"/>
  <c r="AI11" i="11" s="1"/>
  <c r="BG45" i="11"/>
  <c r="BL45" i="11" s="1"/>
  <c r="AN11" i="11" s="1"/>
  <c r="BL35" i="35"/>
  <c r="AM10" i="35" s="1"/>
  <c r="BD27" i="19"/>
  <c r="AG11" i="19" s="1"/>
  <c r="BD49" i="26"/>
  <c r="AJ6" i="26" s="1"/>
  <c r="AZ34" i="26"/>
  <c r="BH34" i="26"/>
  <c r="BD25" i="14"/>
  <c r="AG9" i="14" s="1"/>
  <c r="BL41" i="13"/>
  <c r="AN7" i="13" s="1"/>
  <c r="BD54" i="34"/>
  <c r="AJ11" i="34" s="1"/>
  <c r="BD26" i="39"/>
  <c r="AG10" i="39" s="1"/>
  <c r="AS10" i="39" s="1"/>
  <c r="BD33" i="24"/>
  <c r="AH8" i="24" s="1"/>
  <c r="BL53" i="17"/>
  <c r="AO10" i="17" s="1"/>
  <c r="AZ53" i="33"/>
  <c r="BH53" i="33"/>
  <c r="BD33" i="42"/>
  <c r="AH8" i="42" s="1"/>
  <c r="BD40" i="19"/>
  <c r="AI6" i="19" s="1"/>
  <c r="BD25" i="26"/>
  <c r="AG9" i="26" s="1"/>
  <c r="BI25" i="12"/>
  <c r="BL25" i="12" s="1"/>
  <c r="AL9" i="12" s="1"/>
  <c r="BA25" i="12"/>
  <c r="BD25" i="12" s="1"/>
  <c r="AG9" i="12" s="1"/>
  <c r="AS9" i="12" s="1"/>
  <c r="BA27" i="12"/>
  <c r="BD27" i="12" s="1"/>
  <c r="AG11" i="12" s="1"/>
  <c r="BI27" i="12"/>
  <c r="BB26" i="34"/>
  <c r="BJ26" i="34"/>
  <c r="BB25" i="34"/>
  <c r="BJ25" i="34"/>
  <c r="BL35" i="30"/>
  <c r="AM10" i="30" s="1"/>
  <c r="BL50" i="27"/>
  <c r="AO7" i="27" s="1"/>
  <c r="BF25" i="23"/>
  <c r="BL25" i="23" s="1"/>
  <c r="AL9" i="23" s="1"/>
  <c r="AX25" i="23"/>
  <c r="BD25" i="23" s="1"/>
  <c r="AG9" i="23" s="1"/>
  <c r="BD35" i="37"/>
  <c r="AH10" i="37" s="1"/>
  <c r="BD34" i="10"/>
  <c r="AH9" i="10" s="1"/>
  <c r="BH31" i="10"/>
  <c r="BL31" i="10" s="1"/>
  <c r="AM6" i="10" s="1"/>
  <c r="AZ31" i="10"/>
  <c r="BD31" i="10" s="1"/>
  <c r="AH6" i="10" s="1"/>
  <c r="BH35" i="10"/>
  <c r="BL35" i="10" s="1"/>
  <c r="AM10" i="10" s="1"/>
  <c r="AZ35" i="10"/>
  <c r="BL43" i="27"/>
  <c r="AN9" i="27" s="1"/>
  <c r="BG23" i="33"/>
  <c r="AY23" i="33"/>
  <c r="AY26" i="33"/>
  <c r="BG26" i="33"/>
  <c r="AZ23" i="14"/>
  <c r="BD23" i="14" s="1"/>
  <c r="AG7" i="14" s="1"/>
  <c r="BH23" i="14"/>
  <c r="BL23" i="14" s="1"/>
  <c r="AL7" i="14" s="1"/>
  <c r="BL26" i="12"/>
  <c r="AL10" i="12" s="1"/>
  <c r="BD45" i="35"/>
  <c r="AI11" i="35" s="1"/>
  <c r="BL41" i="29"/>
  <c r="AN7" i="29" s="1"/>
  <c r="BL31" i="22"/>
  <c r="AM6" i="22" s="1"/>
  <c r="BL31" i="16"/>
  <c r="AM6" i="16" s="1"/>
  <c r="BL24" i="17"/>
  <c r="AL8" i="17" s="1"/>
  <c r="AX26" i="31"/>
  <c r="BD26" i="31" s="1"/>
  <c r="AG10" i="31" s="1"/>
  <c r="BF26" i="31"/>
  <c r="BL26" i="31" s="1"/>
  <c r="AL10" i="31" s="1"/>
  <c r="BL31" i="11"/>
  <c r="AM6" i="11" s="1"/>
  <c r="BD50" i="42"/>
  <c r="AJ7" i="42" s="1"/>
  <c r="BD50" i="19"/>
  <c r="AJ7" i="19" s="1"/>
  <c r="BL42" i="15"/>
  <c r="AN8" i="15" s="1"/>
  <c r="BH22" i="33"/>
  <c r="AZ22" i="33"/>
  <c r="AZ25" i="33"/>
  <c r="BH25" i="33"/>
  <c r="BH52" i="24"/>
  <c r="AZ52" i="24"/>
  <c r="AZ54" i="24"/>
  <c r="BD54" i="24" s="1"/>
  <c r="AJ11" i="24" s="1"/>
  <c r="BH54" i="24"/>
  <c r="BL54" i="24" s="1"/>
  <c r="AO11" i="24" s="1"/>
  <c r="BL54" i="37"/>
  <c r="AO11" i="37" s="1"/>
  <c r="BL50" i="41"/>
  <c r="AO7" i="41" s="1"/>
  <c r="BL52" i="35"/>
  <c r="AO9" i="35" s="1"/>
  <c r="BL34" i="14"/>
  <c r="AM9" i="14" s="1"/>
  <c r="AY32" i="42"/>
  <c r="BD32" i="42" s="1"/>
  <c r="AH7" i="42" s="1"/>
  <c r="BG32" i="42"/>
  <c r="BB41" i="34"/>
  <c r="BD41" i="34" s="1"/>
  <c r="AI7" i="34" s="1"/>
  <c r="BJ41" i="34"/>
  <c r="BL41" i="34" s="1"/>
  <c r="AN7" i="34" s="1"/>
  <c r="AZ25" i="11"/>
  <c r="BD25" i="11" s="1"/>
  <c r="AG9" i="11" s="1"/>
  <c r="AS9" i="11" s="1"/>
  <c r="BH25" i="11"/>
  <c r="BL25" i="11" s="1"/>
  <c r="AL9" i="11" s="1"/>
  <c r="BL24" i="18"/>
  <c r="AL8" i="18" s="1"/>
  <c r="AY54" i="11"/>
  <c r="BD54" i="11" s="1"/>
  <c r="AJ11" i="11" s="1"/>
  <c r="BG54" i="11"/>
  <c r="BL54" i="11" s="1"/>
  <c r="AO11" i="11" s="1"/>
  <c r="BG53" i="11"/>
  <c r="BL53" i="11" s="1"/>
  <c r="AO10" i="11" s="1"/>
  <c r="AY53" i="11"/>
  <c r="BD53" i="11" s="1"/>
  <c r="AJ10" i="11" s="1"/>
  <c r="BD43" i="17"/>
  <c r="AI9" i="17" s="1"/>
  <c r="AZ32" i="16"/>
  <c r="BH32" i="16"/>
  <c r="BL32" i="16" s="1"/>
  <c r="AM7" i="16" s="1"/>
  <c r="BL54" i="10"/>
  <c r="AO11" i="10" s="1"/>
  <c r="BD36" i="27"/>
  <c r="AH11" i="27" s="1"/>
  <c r="BL34" i="39"/>
  <c r="AM9" i="39" s="1"/>
  <c r="BF32" i="23"/>
  <c r="BL32" i="23" s="1"/>
  <c r="AM7" i="23" s="1"/>
  <c r="AX32" i="23"/>
  <c r="BD32" i="23" s="1"/>
  <c r="AH7" i="23" s="1"/>
  <c r="BD40" i="12"/>
  <c r="AI6" i="12" s="1"/>
  <c r="BH44" i="36"/>
  <c r="AZ44" i="36"/>
  <c r="BD44" i="36" s="1"/>
  <c r="AI10" i="36" s="1"/>
  <c r="AZ43" i="36"/>
  <c r="BD43" i="36" s="1"/>
  <c r="AI9" i="36" s="1"/>
  <c r="BH43" i="36"/>
  <c r="BL43" i="36" s="1"/>
  <c r="AN9" i="36" s="1"/>
  <c r="AX53" i="38"/>
  <c r="BD53" i="38" s="1"/>
  <c r="AJ10" i="38" s="1"/>
  <c r="BF53" i="38"/>
  <c r="BL53" i="38" s="1"/>
  <c r="AO10" i="38" s="1"/>
  <c r="AX52" i="38"/>
  <c r="BD52" i="38" s="1"/>
  <c r="AJ9" i="38" s="1"/>
  <c r="BF52" i="38"/>
  <c r="BL52" i="38" s="1"/>
  <c r="AO9" i="38" s="1"/>
  <c r="BD44" i="21"/>
  <c r="AI10" i="21" s="1"/>
  <c r="BD27" i="27"/>
  <c r="AG11" i="27" s="1"/>
  <c r="BL45" i="16"/>
  <c r="AN11" i="16" s="1"/>
  <c r="BD54" i="15"/>
  <c r="AJ11" i="15" s="1"/>
  <c r="BH26" i="34"/>
  <c r="BL26" i="34" s="1"/>
  <c r="AL10" i="34" s="1"/>
  <c r="AZ26" i="34"/>
  <c r="BG53" i="33"/>
  <c r="BL53" i="33" s="1"/>
  <c r="AO10" i="33" s="1"/>
  <c r="AY53" i="33"/>
  <c r="BL24" i="14"/>
  <c r="AL8" i="14" s="1"/>
  <c r="BD22" i="39"/>
  <c r="AG6" i="39" s="1"/>
  <c r="BF34" i="31"/>
  <c r="BL34" i="31" s="1"/>
  <c r="AM9" i="31" s="1"/>
  <c r="AX34" i="31"/>
  <c r="BD34" i="31" s="1"/>
  <c r="AH9" i="31" s="1"/>
  <c r="AZ43" i="34"/>
  <c r="BD43" i="34" s="1"/>
  <c r="AI9" i="34" s="1"/>
  <c r="BH43" i="34"/>
  <c r="BL43" i="34" s="1"/>
  <c r="AN9" i="34" s="1"/>
  <c r="AX34" i="32"/>
  <c r="BD34" i="32" s="1"/>
  <c r="AH9" i="32" s="1"/>
  <c r="BF34" i="32"/>
  <c r="BL34" i="32" s="1"/>
  <c r="AM9" i="32" s="1"/>
  <c r="AY43" i="20"/>
  <c r="BD43" i="20" s="1"/>
  <c r="AI9" i="20" s="1"/>
  <c r="BG43" i="20"/>
  <c r="BL43" i="15"/>
  <c r="AN9" i="15" s="1"/>
  <c r="BL33" i="14"/>
  <c r="AM8" i="14" s="1"/>
  <c r="AZ22" i="26"/>
  <c r="BD22" i="26" s="1"/>
  <c r="AG6" i="26" s="1"/>
  <c r="BH22" i="26"/>
  <c r="BL22" i="26" s="1"/>
  <c r="AL6" i="26" s="1"/>
  <c r="BG42" i="33"/>
  <c r="BL42" i="33" s="1"/>
  <c r="AN8" i="33" s="1"/>
  <c r="AY42" i="33"/>
  <c r="BL43" i="20"/>
  <c r="AN9" i="20" s="1"/>
  <c r="BA45" i="36"/>
  <c r="BD45" i="36" s="1"/>
  <c r="AI11" i="36" s="1"/>
  <c r="BI45" i="36"/>
  <c r="BL45" i="36" s="1"/>
  <c r="AN11" i="36" s="1"/>
  <c r="BD41" i="18"/>
  <c r="AI7" i="18" s="1"/>
  <c r="BL22" i="34"/>
  <c r="AL6" i="34" s="1"/>
  <c r="BD52" i="24"/>
  <c r="AJ9" i="24" s="1"/>
  <c r="BD41" i="28"/>
  <c r="AI7" i="28" s="1"/>
  <c r="AX51" i="31"/>
  <c r="BD51" i="31" s="1"/>
  <c r="AJ8" i="31" s="1"/>
  <c r="BF51" i="31"/>
  <c r="BL51" i="31" s="1"/>
  <c r="AO8" i="31" s="1"/>
  <c r="BL24" i="27"/>
  <c r="AL8" i="27" s="1"/>
  <c r="BD45" i="22"/>
  <c r="AI11" i="22" s="1"/>
  <c r="BL35" i="34"/>
  <c r="AM10" i="34" s="1"/>
  <c r="BD43" i="16"/>
  <c r="AI9" i="16" s="1"/>
  <c r="BD34" i="36"/>
  <c r="AH9" i="36" s="1"/>
  <c r="BL43" i="11"/>
  <c r="AN9" i="11" s="1"/>
  <c r="BL54" i="20"/>
  <c r="AO11" i="20" s="1"/>
  <c r="BL44" i="36"/>
  <c r="AN10" i="36" s="1"/>
  <c r="BL36" i="20"/>
  <c r="AM11" i="20" s="1"/>
  <c r="BL54" i="15"/>
  <c r="AO11" i="15" s="1"/>
  <c r="BH22" i="34"/>
  <c r="AZ22" i="34"/>
  <c r="BD22" i="34" s="1"/>
  <c r="AG6" i="34" s="1"/>
  <c r="AZ24" i="34"/>
  <c r="BD24" i="34" s="1"/>
  <c r="AG8" i="34" s="1"/>
  <c r="BH24" i="34"/>
  <c r="BL24" i="34" s="1"/>
  <c r="AL8" i="34" s="1"/>
  <c r="AY50" i="33"/>
  <c r="BG50" i="33"/>
  <c r="BG49" i="33"/>
  <c r="BL49" i="33" s="1"/>
  <c r="AO6" i="33" s="1"/>
  <c r="AY49" i="33"/>
  <c r="BD49" i="33" s="1"/>
  <c r="AJ6" i="33" s="1"/>
  <c r="AZ49" i="14"/>
  <c r="BD49" i="14" s="1"/>
  <c r="AJ6" i="14" s="1"/>
  <c r="BH49" i="14"/>
  <c r="BL49" i="14" s="1"/>
  <c r="AO6" i="14" s="1"/>
  <c r="AY24" i="20"/>
  <c r="BG24" i="20"/>
  <c r="BL24" i="20" s="1"/>
  <c r="AL8" i="20" s="1"/>
  <c r="BG23" i="20"/>
  <c r="BL23" i="20" s="1"/>
  <c r="AL7" i="20" s="1"/>
  <c r="AY23" i="20"/>
  <c r="BD24" i="14"/>
  <c r="AG8" i="14" s="1"/>
  <c r="BL50" i="34"/>
  <c r="AO7" i="34" s="1"/>
  <c r="BL22" i="39"/>
  <c r="AL6" i="39" s="1"/>
  <c r="AX33" i="31"/>
  <c r="BD33" i="31" s="1"/>
  <c r="AH8" i="31" s="1"/>
  <c r="BF33" i="31"/>
  <c r="BL33" i="31" s="1"/>
  <c r="AM8" i="31" s="1"/>
  <c r="BD36" i="24"/>
  <c r="AH11" i="24" s="1"/>
  <c r="BD52" i="12"/>
  <c r="AJ9" i="12" s="1"/>
  <c r="BD33" i="41"/>
  <c r="AH8" i="41" s="1"/>
  <c r="BD49" i="17"/>
  <c r="AJ6" i="17" s="1"/>
  <c r="BA53" i="36"/>
  <c r="BI53" i="36"/>
  <c r="BA52" i="36"/>
  <c r="BI52" i="36"/>
  <c r="BD31" i="30"/>
  <c r="AH6" i="30" s="1"/>
  <c r="BL23" i="40"/>
  <c r="AL7" i="40" s="1"/>
  <c r="BL41" i="14"/>
  <c r="AN7" i="14" s="1"/>
  <c r="BL51" i="13"/>
  <c r="AO8" i="13" s="1"/>
  <c r="BF22" i="38"/>
  <c r="BL22" i="38" s="1"/>
  <c r="AL6" i="38" s="1"/>
  <c r="AX22" i="38"/>
  <c r="BD22" i="38" s="1"/>
  <c r="AG6" i="38" s="1"/>
  <c r="BH40" i="34"/>
  <c r="BL40" i="34" s="1"/>
  <c r="AN6" i="34" s="1"/>
  <c r="AZ40" i="34"/>
  <c r="BD40" i="34" s="1"/>
  <c r="AI6" i="34" s="1"/>
  <c r="AZ42" i="34"/>
  <c r="BD42" i="34" s="1"/>
  <c r="AI8" i="34" s="1"/>
  <c r="BH42" i="34"/>
  <c r="BL41" i="27"/>
  <c r="AN7" i="27" s="1"/>
  <c r="AX31" i="32"/>
  <c r="BF31" i="32"/>
  <c r="BF33" i="32"/>
  <c r="AX33" i="32"/>
  <c r="BD24" i="12"/>
  <c r="AG8" i="12" s="1"/>
  <c r="AY42" i="20"/>
  <c r="BD42" i="20" s="1"/>
  <c r="AI8" i="20" s="1"/>
  <c r="BG42" i="20"/>
  <c r="BG41" i="20"/>
  <c r="BL41" i="20" s="1"/>
  <c r="AN7" i="20" s="1"/>
  <c r="AY41" i="20"/>
  <c r="BD41" i="20" s="1"/>
  <c r="AI7" i="20" s="1"/>
  <c r="BL26" i="41"/>
  <c r="AL10" i="41" s="1"/>
  <c r="AX44" i="25"/>
  <c r="BD44" i="25" s="1"/>
  <c r="AI10" i="25" s="1"/>
  <c r="BF44" i="25"/>
  <c r="BL44" i="25" s="1"/>
  <c r="AN10" i="25" s="1"/>
  <c r="AX43" i="25"/>
  <c r="BD43" i="25" s="1"/>
  <c r="AI9" i="25" s="1"/>
  <c r="BF43" i="25"/>
  <c r="BL43" i="25" s="1"/>
  <c r="AN9" i="25" s="1"/>
  <c r="BD53" i="42"/>
  <c r="AJ10" i="42" s="1"/>
  <c r="BD53" i="19"/>
  <c r="AJ10" i="19" s="1"/>
  <c r="BL45" i="15"/>
  <c r="AN11" i="15" s="1"/>
  <c r="BD27" i="24"/>
  <c r="AG11" i="24" s="1"/>
  <c r="BL51" i="35"/>
  <c r="AO8" i="35" s="1"/>
  <c r="BD32" i="14"/>
  <c r="AH7" i="14" s="1"/>
  <c r="BD45" i="39"/>
  <c r="AI11" i="39" s="1"/>
  <c r="BF40" i="38"/>
  <c r="BL40" i="38" s="1"/>
  <c r="AN6" i="38" s="1"/>
  <c r="AX40" i="38"/>
  <c r="BD40" i="38" s="1"/>
  <c r="AI6" i="38" s="1"/>
  <c r="BH25" i="26"/>
  <c r="BL25" i="26" s="1"/>
  <c r="AL9" i="26" s="1"/>
  <c r="AZ25" i="26"/>
  <c r="AZ27" i="26"/>
  <c r="BH27" i="26"/>
  <c r="BL27" i="26" s="1"/>
  <c r="AL11" i="26" s="1"/>
  <c r="AY43" i="33"/>
  <c r="BD43" i="33" s="1"/>
  <c r="AI9" i="33" s="1"/>
  <c r="BG43" i="33"/>
  <c r="BL43" i="33" s="1"/>
  <c r="AN9" i="33" s="1"/>
  <c r="AY45" i="33"/>
  <c r="BD45" i="33" s="1"/>
  <c r="AI11" i="33" s="1"/>
  <c r="BG45" i="33"/>
  <c r="BL45" i="33" s="1"/>
  <c r="AN11" i="33" s="1"/>
  <c r="BH44" i="14"/>
  <c r="BL44" i="14" s="1"/>
  <c r="AN10" i="14" s="1"/>
  <c r="AZ44" i="14"/>
  <c r="AZ43" i="14"/>
  <c r="BD43" i="14" s="1"/>
  <c r="AI9" i="14" s="1"/>
  <c r="BH43" i="14"/>
  <c r="BL43" i="14" s="1"/>
  <c r="AN9" i="14" s="1"/>
  <c r="BD44" i="20"/>
  <c r="AI10" i="20" s="1"/>
  <c r="BL31" i="15"/>
  <c r="AM6" i="15" s="1"/>
  <c r="AX44" i="31"/>
  <c r="BD44" i="31" s="1"/>
  <c r="AI10" i="31" s="1"/>
  <c r="BF44" i="31"/>
  <c r="BL44" i="31" s="1"/>
  <c r="AN10" i="31" s="1"/>
  <c r="BL24" i="37"/>
  <c r="AL8" i="37" s="1"/>
  <c r="BD31" i="40"/>
  <c r="AH6" i="40" s="1"/>
  <c r="BD49" i="10"/>
  <c r="AJ6" i="10" s="1"/>
  <c r="BA42" i="36"/>
  <c r="BI42" i="36"/>
  <c r="BL42" i="36" s="1"/>
  <c r="AN8" i="36" s="1"/>
  <c r="BA41" i="36"/>
  <c r="BI41" i="36"/>
  <c r="AZ42" i="33"/>
  <c r="BH42" i="33"/>
  <c r="BL49" i="28"/>
  <c r="AO6" i="28" s="1"/>
  <c r="BL41" i="18"/>
  <c r="AN7" i="18" s="1"/>
  <c r="BL32" i="12"/>
  <c r="AM7" i="12" s="1"/>
  <c r="AY50" i="29"/>
  <c r="BD50" i="29" s="1"/>
  <c r="AJ7" i="29" s="1"/>
  <c r="BG50" i="29"/>
  <c r="BL50" i="29" s="1"/>
  <c r="AO7" i="29" s="1"/>
  <c r="BG49" i="29"/>
  <c r="BL49" i="29" s="1"/>
  <c r="AO6" i="29" s="1"/>
  <c r="AY49" i="29"/>
  <c r="BD49" i="29" s="1"/>
  <c r="AJ6" i="29" s="1"/>
  <c r="BD41" i="40"/>
  <c r="AI7" i="40" s="1"/>
  <c r="BL25" i="10"/>
  <c r="AL9" i="10" s="1"/>
  <c r="BL25" i="22"/>
  <c r="AL9" i="22" s="1"/>
  <c r="BL25" i="16"/>
  <c r="AL9" i="16" s="1"/>
  <c r="BB33" i="34"/>
  <c r="BJ33" i="34"/>
  <c r="BL33" i="34" s="1"/>
  <c r="AM8" i="34" s="1"/>
  <c r="BB32" i="34"/>
  <c r="BJ32" i="34"/>
  <c r="BD24" i="11"/>
  <c r="AG8" i="11" s="1"/>
  <c r="BD35" i="21"/>
  <c r="AH10" i="21" s="1"/>
  <c r="AS10" i="21" s="1"/>
  <c r="BD50" i="16"/>
  <c r="AJ7" i="16" s="1"/>
  <c r="AZ51" i="10"/>
  <c r="BH51" i="10"/>
  <c r="BL51" i="10" s="1"/>
  <c r="AO8" i="10" s="1"/>
  <c r="BL40" i="30"/>
  <c r="AN6" i="30" s="1"/>
  <c r="BL52" i="24"/>
  <c r="AO9" i="24" s="1"/>
  <c r="BB33" i="15"/>
  <c r="BD33" i="15" s="1"/>
  <c r="AH8" i="15" s="1"/>
  <c r="BJ33" i="15"/>
  <c r="BL33" i="15" s="1"/>
  <c r="AM8" i="15" s="1"/>
  <c r="BL41" i="28"/>
  <c r="AN7" i="28" s="1"/>
  <c r="BL52" i="11"/>
  <c r="AO9" i="11" s="1"/>
  <c r="BL40" i="21"/>
  <c r="AN6" i="21" s="1"/>
  <c r="AX54" i="31"/>
  <c r="BD54" i="31" s="1"/>
  <c r="AJ11" i="31" s="1"/>
  <c r="BF54" i="31"/>
  <c r="BL54" i="31" s="1"/>
  <c r="AO11" i="31" s="1"/>
  <c r="AX53" i="31"/>
  <c r="BD53" i="31" s="1"/>
  <c r="AJ10" i="31" s="1"/>
  <c r="BF53" i="31"/>
  <c r="BL53" i="31" s="1"/>
  <c r="AO10" i="31" s="1"/>
  <c r="BD24" i="28"/>
  <c r="AG8" i="28" s="1"/>
  <c r="AS8" i="28" s="1"/>
  <c r="BD23" i="27"/>
  <c r="AG7" i="27" s="1"/>
  <c r="AS7" i="27" s="1"/>
  <c r="BL26" i="21"/>
  <c r="AL10" i="21" s="1"/>
  <c r="AY33" i="33"/>
  <c r="BD33" i="33" s="1"/>
  <c r="AH8" i="33" s="1"/>
  <c r="BG33" i="33"/>
  <c r="BL33" i="33" s="1"/>
  <c r="AM8" i="33" s="1"/>
  <c r="BD44" i="42"/>
  <c r="AI10" i="42" s="1"/>
  <c r="BL22" i="21"/>
  <c r="AL6" i="21" s="1"/>
  <c r="BL33" i="21"/>
  <c r="AM8" i="21" s="1"/>
  <c r="AY26" i="11"/>
  <c r="BD26" i="11" s="1"/>
  <c r="AG10" i="11" s="1"/>
  <c r="BG26" i="11"/>
  <c r="BL26" i="11" s="1"/>
  <c r="AL10" i="11" s="1"/>
  <c r="BF22" i="32"/>
  <c r="BL22" i="32" s="1"/>
  <c r="AL6" i="32" s="1"/>
  <c r="AX22" i="32"/>
  <c r="BD43" i="42"/>
  <c r="AI9" i="42" s="1"/>
  <c r="BD23" i="13"/>
  <c r="AG7" i="13" s="1"/>
  <c r="BD41" i="22"/>
  <c r="AI7" i="22" s="1"/>
  <c r="BL31" i="34"/>
  <c r="AM6" i="34" s="1"/>
  <c r="BD42" i="16"/>
  <c r="AI8" i="16" s="1"/>
  <c r="BD33" i="36"/>
  <c r="AH8" i="36" s="1"/>
  <c r="AZ32" i="33"/>
  <c r="BH32" i="33"/>
  <c r="BD51" i="30"/>
  <c r="AJ8" i="30" s="1"/>
  <c r="BD50" i="21"/>
  <c r="AJ7" i="21" s="1"/>
  <c r="AY23" i="29"/>
  <c r="BD23" i="29" s="1"/>
  <c r="AG7" i="29" s="1"/>
  <c r="BG23" i="29"/>
  <c r="BL23" i="29" s="1"/>
  <c r="AL7" i="29" s="1"/>
  <c r="BL50" i="20"/>
  <c r="AO7" i="20" s="1"/>
  <c r="BA42" i="12"/>
  <c r="BD42" i="12" s="1"/>
  <c r="AI8" i="12" s="1"/>
  <c r="BI42" i="12"/>
  <c r="BL42" i="12" s="1"/>
  <c r="AN8" i="12" s="1"/>
  <c r="BA41" i="12"/>
  <c r="BD41" i="12" s="1"/>
  <c r="AI7" i="12" s="1"/>
  <c r="BI41" i="12"/>
  <c r="BL41" i="12" s="1"/>
  <c r="AN7" i="12" s="1"/>
  <c r="BL40" i="36"/>
  <c r="AN6" i="36" s="1"/>
  <c r="BJ49" i="34"/>
  <c r="BB49" i="34"/>
  <c r="BH34" i="11"/>
  <c r="AZ34" i="11"/>
  <c r="AZ36" i="11"/>
  <c r="BH36" i="11"/>
  <c r="BL45" i="41"/>
  <c r="AN11" i="41" s="1"/>
  <c r="BL32" i="20"/>
  <c r="AM7" i="20" s="1"/>
  <c r="BL50" i="15"/>
  <c r="AO7" i="15" s="1"/>
  <c r="BL51" i="26"/>
  <c r="AO8" i="26" s="1"/>
  <c r="BL22" i="36"/>
  <c r="AL6" i="36" s="1"/>
  <c r="AZ40" i="10"/>
  <c r="BD40" i="10" s="1"/>
  <c r="AI6" i="10" s="1"/>
  <c r="BH40" i="10"/>
  <c r="BL40" i="10" s="1"/>
  <c r="AN6" i="10" s="1"/>
  <c r="AZ44" i="10"/>
  <c r="BD44" i="10" s="1"/>
  <c r="AI10" i="10" s="1"/>
  <c r="BH44" i="10"/>
  <c r="BL44" i="10" s="1"/>
  <c r="AN10" i="10" s="1"/>
  <c r="AX31" i="38"/>
  <c r="BD31" i="38" s="1"/>
  <c r="AH6" i="38" s="1"/>
  <c r="BF31" i="38"/>
  <c r="BL31" i="38" s="1"/>
  <c r="AM6" i="38" s="1"/>
  <c r="BF33" i="38"/>
  <c r="BL33" i="38" s="1"/>
  <c r="AM8" i="38" s="1"/>
  <c r="AX33" i="38"/>
  <c r="BD33" i="38" s="1"/>
  <c r="AH8" i="38" s="1"/>
  <c r="AZ22" i="32"/>
  <c r="BH22" i="32"/>
  <c r="AZ22" i="16"/>
  <c r="BD22" i="16" s="1"/>
  <c r="AG6" i="16" s="1"/>
  <c r="AS6" i="16" s="1"/>
  <c r="BH22" i="16"/>
  <c r="BL22" i="16" s="1"/>
  <c r="AL6" i="16" s="1"/>
  <c r="BB51" i="15"/>
  <c r="BD51" i="15" s="1"/>
  <c r="AJ8" i="15" s="1"/>
  <c r="BJ51" i="15"/>
  <c r="BL51" i="15" s="1"/>
  <c r="AO8" i="15" s="1"/>
  <c r="BL40" i="13"/>
  <c r="AN6" i="13" s="1"/>
  <c r="BD53" i="34"/>
  <c r="AJ10" i="34" s="1"/>
  <c r="AX23" i="25"/>
  <c r="BD23" i="25" s="1"/>
  <c r="AG7" i="25" s="1"/>
  <c r="BF23" i="25"/>
  <c r="BL23" i="25" s="1"/>
  <c r="AL7" i="25" s="1"/>
  <c r="BD32" i="24"/>
  <c r="AH7" i="24" s="1"/>
  <c r="BL34" i="41"/>
  <c r="AM9" i="41" s="1"/>
  <c r="BD22" i="35"/>
  <c r="AG6" i="35" s="1"/>
  <c r="BH45" i="24"/>
  <c r="BL45" i="24" s="1"/>
  <c r="AN11" i="24" s="1"/>
  <c r="AZ45" i="24"/>
  <c r="BD45" i="24" s="1"/>
  <c r="AI11" i="24" s="1"/>
  <c r="AZ44" i="24"/>
  <c r="BD44" i="24" s="1"/>
  <c r="AI10" i="24" s="1"/>
  <c r="BH44" i="24"/>
  <c r="BL44" i="24" s="1"/>
  <c r="AN10" i="24" s="1"/>
  <c r="AY43" i="29"/>
  <c r="BD43" i="29" s="1"/>
  <c r="AI9" i="29" s="1"/>
  <c r="BG43" i="29"/>
  <c r="BL43" i="29" s="1"/>
  <c r="AN9" i="29" s="1"/>
  <c r="AY45" i="29"/>
  <c r="BD45" i="29" s="1"/>
  <c r="AI11" i="29" s="1"/>
  <c r="BG45" i="29"/>
  <c r="BL45" i="29" s="1"/>
  <c r="AN11" i="29" s="1"/>
  <c r="BL31" i="42"/>
  <c r="AM6" i="42" s="1"/>
  <c r="BD45" i="19"/>
  <c r="AI11" i="19" s="1"/>
  <c r="BD25" i="15"/>
  <c r="AG9" i="15" s="1"/>
  <c r="BL26" i="26"/>
  <c r="AL10" i="26" s="1"/>
  <c r="AY54" i="42"/>
  <c r="BD54" i="42" s="1"/>
  <c r="AJ11" i="42" s="1"/>
  <c r="BG54" i="42"/>
  <c r="BL54" i="42" s="1"/>
  <c r="AO11" i="42" s="1"/>
  <c r="AZ50" i="11"/>
  <c r="BD50" i="11" s="1"/>
  <c r="AJ7" i="11" s="1"/>
  <c r="BH50" i="11"/>
  <c r="BL50" i="11" s="1"/>
  <c r="AO7" i="11" s="1"/>
  <c r="BL52" i="27"/>
  <c r="AO9" i="27" s="1"/>
  <c r="AY36" i="11"/>
  <c r="BD36" i="11" s="1"/>
  <c r="AH11" i="11" s="1"/>
  <c r="BG36" i="11"/>
  <c r="BL36" i="11" s="1"/>
  <c r="AM11" i="11" s="1"/>
  <c r="BG35" i="11"/>
  <c r="BL35" i="11" s="1"/>
  <c r="AM10" i="11" s="1"/>
  <c r="AY35" i="11"/>
  <c r="BD26" i="40"/>
  <c r="AG10" i="40" s="1"/>
  <c r="BD44" i="14"/>
  <c r="AI10" i="14" s="1"/>
  <c r="BD54" i="13"/>
  <c r="AJ11" i="13" s="1"/>
  <c r="BD26" i="42"/>
  <c r="AG10" i="42" s="1"/>
  <c r="AZ43" i="32"/>
  <c r="BH43" i="32"/>
  <c r="AZ45" i="32"/>
  <c r="BH45" i="32"/>
  <c r="AZ52" i="26"/>
  <c r="BD52" i="26" s="1"/>
  <c r="AJ9" i="26" s="1"/>
  <c r="BH52" i="26"/>
  <c r="BL52" i="26" s="1"/>
  <c r="AO9" i="26" s="1"/>
  <c r="AZ44" i="16"/>
  <c r="BD44" i="16" s="1"/>
  <c r="AI10" i="16" s="1"/>
  <c r="BH44" i="16"/>
  <c r="BL44" i="16" s="1"/>
  <c r="AN10" i="16" s="1"/>
  <c r="BB22" i="15"/>
  <c r="BD22" i="15" s="1"/>
  <c r="AG6" i="15" s="1"/>
  <c r="AS6" i="15" s="1"/>
  <c r="BJ22" i="15"/>
  <c r="BL22" i="15" s="1"/>
  <c r="AL6" i="15" s="1"/>
  <c r="BB24" i="15"/>
  <c r="BD24" i="15" s="1"/>
  <c r="AG8" i="15" s="1"/>
  <c r="AS8" i="15" s="1"/>
  <c r="BJ24" i="15"/>
  <c r="BL24" i="15" s="1"/>
  <c r="AL8" i="15" s="1"/>
  <c r="BL45" i="27"/>
  <c r="AN11" i="27" s="1"/>
  <c r="BD50" i="18"/>
  <c r="AJ7" i="18" s="1"/>
  <c r="BL27" i="12"/>
  <c r="AL11" i="12" s="1"/>
  <c r="BD32" i="16"/>
  <c r="AH7" i="16" s="1"/>
  <c r="BL51" i="42"/>
  <c r="AO8" i="42" s="1"/>
  <c r="BD51" i="19"/>
  <c r="AJ8" i="19" s="1"/>
  <c r="BD42" i="26"/>
  <c r="AI8" i="26" s="1"/>
  <c r="BD23" i="24"/>
  <c r="AG7" i="24" s="1"/>
  <c r="BL49" i="41"/>
  <c r="AO6" i="41" s="1"/>
  <c r="BL53" i="35"/>
  <c r="AO10" i="35" s="1"/>
  <c r="BL35" i="14"/>
  <c r="AM10" i="14" s="1"/>
  <c r="BD40" i="24"/>
  <c r="AI6" i="24" s="1"/>
  <c r="BD23" i="18"/>
  <c r="AG7" i="18" s="1"/>
  <c r="AX40" i="23"/>
  <c r="BD40" i="23" s="1"/>
  <c r="AI6" i="23" s="1"/>
  <c r="BF40" i="23"/>
  <c r="BL40" i="23" s="1"/>
  <c r="AN6" i="23" s="1"/>
  <c r="AZ27" i="36"/>
  <c r="BH27" i="36"/>
  <c r="BL27" i="36" s="1"/>
  <c r="AL11" i="36" s="1"/>
  <c r="BD40" i="39"/>
  <c r="AI6" i="39" s="1"/>
  <c r="AZ24" i="10"/>
  <c r="BD24" i="10" s="1"/>
  <c r="AG8" i="10" s="1"/>
  <c r="AS8" i="10" s="1"/>
  <c r="BH24" i="10"/>
  <c r="BL24" i="10" s="1"/>
  <c r="AL8" i="10" s="1"/>
  <c r="BL45" i="17"/>
  <c r="AN11" i="17" s="1"/>
  <c r="BH31" i="32"/>
  <c r="AZ31" i="32"/>
  <c r="AZ33" i="32"/>
  <c r="BH33" i="32"/>
  <c r="AX49" i="32"/>
  <c r="BD49" i="32" s="1"/>
  <c r="AJ6" i="32" s="1"/>
  <c r="BF49" i="32"/>
  <c r="BL49" i="32" s="1"/>
  <c r="AO6" i="32" s="1"/>
  <c r="BF51" i="32"/>
  <c r="BL51" i="32" s="1"/>
  <c r="AO8" i="32" s="1"/>
  <c r="AX51" i="32"/>
  <c r="BD51" i="32" s="1"/>
  <c r="AJ8" i="32" s="1"/>
  <c r="BL42" i="20"/>
  <c r="AN8" i="20" s="1"/>
  <c r="BL43" i="10"/>
  <c r="AN9" i="10" s="1"/>
  <c r="BD34" i="15"/>
  <c r="AH9" i="15" s="1"/>
  <c r="BL35" i="26"/>
  <c r="AM10" i="26" s="1"/>
  <c r="BL26" i="30"/>
  <c r="AL10" i="30" s="1"/>
  <c r="BD25" i="37"/>
  <c r="AG9" i="37" s="1"/>
  <c r="AS9" i="37" s="1"/>
  <c r="BD36" i="40"/>
  <c r="AH11" i="40" s="1"/>
  <c r="BD54" i="14"/>
  <c r="AJ11" i="14" s="1"/>
  <c r="BL52" i="10"/>
  <c r="AO9" i="10" s="1"/>
  <c r="BD54" i="28"/>
  <c r="AJ11" i="28" s="1"/>
  <c r="BD35" i="27"/>
  <c r="AH10" i="27" s="1"/>
  <c r="AS10" i="27" s="1"/>
  <c r="BD44" i="18"/>
  <c r="AI10" i="18" s="1"/>
  <c r="BL44" i="40"/>
  <c r="AN10" i="40" s="1"/>
  <c r="BL32" i="13"/>
  <c r="AM7" i="13" s="1"/>
  <c r="BL24" i="22"/>
  <c r="AL8" i="22" s="1"/>
  <c r="BL24" i="16"/>
  <c r="AL8" i="16" s="1"/>
  <c r="BI50" i="12"/>
  <c r="BL50" i="12" s="1"/>
  <c r="AO7" i="12" s="1"/>
  <c r="BA50" i="12"/>
  <c r="BD50" i="12" s="1"/>
  <c r="AJ7" i="12" s="1"/>
  <c r="BD27" i="11"/>
  <c r="AG11" i="11" s="1"/>
  <c r="BD31" i="21"/>
  <c r="AH6" i="21" s="1"/>
  <c r="AS6" i="21" s="1"/>
  <c r="BD52" i="22"/>
  <c r="AJ9" i="22" s="1"/>
  <c r="BD27" i="34"/>
  <c r="AG11" i="34" s="1"/>
  <c r="AZ54" i="32"/>
  <c r="BH54" i="32"/>
  <c r="BH53" i="16"/>
  <c r="BL53" i="16" s="1"/>
  <c r="AO10" i="16" s="1"/>
  <c r="AZ53" i="16"/>
  <c r="BD53" i="16" s="1"/>
  <c r="AJ10" i="16" s="1"/>
  <c r="AZ52" i="16"/>
  <c r="BD52" i="16" s="1"/>
  <c r="AJ9" i="16" s="1"/>
  <c r="BH52" i="16"/>
  <c r="BL52" i="16" s="1"/>
  <c r="AO9" i="16" s="1"/>
  <c r="BD43" i="21"/>
  <c r="AI9" i="21" s="1"/>
  <c r="AZ35" i="14"/>
  <c r="BD35" i="14" s="1"/>
  <c r="AH10" i="14" s="1"/>
  <c r="BH35" i="14"/>
  <c r="BD42" i="42"/>
  <c r="AI8" i="42" s="1"/>
  <c r="AS8" i="21"/>
  <c r="BD23" i="20"/>
  <c r="AG7" i="20" s="1"/>
  <c r="BL36" i="39"/>
  <c r="AM11" i="39" s="1"/>
  <c r="BD26" i="34"/>
  <c r="AG10" i="34" s="1"/>
  <c r="BL43" i="30"/>
  <c r="AN9" i="30" s="1"/>
  <c r="BD27" i="28"/>
  <c r="AG11" i="28" s="1"/>
  <c r="BL23" i="21"/>
  <c r="AL7" i="21" s="1"/>
  <c r="BL44" i="22"/>
  <c r="AN10" i="22" s="1"/>
  <c r="BD34" i="34"/>
  <c r="AH9" i="34" s="1"/>
  <c r="BD51" i="39"/>
  <c r="AJ8" i="39" s="1"/>
  <c r="BL35" i="36"/>
  <c r="AM10" i="36" s="1"/>
  <c r="BI36" i="36"/>
  <c r="BA36" i="36"/>
  <c r="BL53" i="30"/>
  <c r="AO10" i="30" s="1"/>
  <c r="BD44" i="11"/>
  <c r="AI10" i="11" s="1"/>
  <c r="BL52" i="21"/>
  <c r="AO9" i="21" s="1"/>
  <c r="BD53" i="20"/>
  <c r="AJ10" i="20" s="1"/>
  <c r="BL44" i="34"/>
  <c r="AN10" i="34" s="1"/>
  <c r="AY40" i="42"/>
  <c r="BD40" i="42" s="1"/>
  <c r="AI6" i="42" s="1"/>
  <c r="BG40" i="42"/>
  <c r="BL40" i="42" s="1"/>
  <c r="AN6" i="42" s="1"/>
  <c r="AY41" i="42"/>
  <c r="BG41" i="42"/>
  <c r="BL41" i="42" s="1"/>
  <c r="AN7" i="42" s="1"/>
  <c r="BL34" i="28"/>
  <c r="AM9" i="28" s="1"/>
  <c r="AX49" i="23"/>
  <c r="BD49" i="23" s="1"/>
  <c r="AJ6" i="23" s="1"/>
  <c r="BF49" i="23"/>
  <c r="BL49" i="23" s="1"/>
  <c r="AO6" i="23" s="1"/>
  <c r="BF51" i="23"/>
  <c r="BL51" i="23" s="1"/>
  <c r="AO8" i="23" s="1"/>
  <c r="AX51" i="23"/>
  <c r="BD51" i="23" s="1"/>
  <c r="AJ8" i="23" s="1"/>
  <c r="BL40" i="41"/>
  <c r="AN6" i="41" s="1"/>
  <c r="AZ31" i="36"/>
  <c r="BD31" i="36" s="1"/>
  <c r="AH6" i="36" s="1"/>
  <c r="BH31" i="36"/>
  <c r="BL33" i="35"/>
  <c r="AM8" i="35" s="1"/>
  <c r="BD35" i="20"/>
  <c r="AH10" i="20" s="1"/>
  <c r="BL22" i="19"/>
  <c r="AL6" i="19" s="1"/>
  <c r="BD52" i="15"/>
  <c r="AJ9" i="15" s="1"/>
  <c r="BD54" i="26"/>
  <c r="AJ11" i="26" s="1"/>
  <c r="BD27" i="36"/>
  <c r="AG11" i="36" s="1"/>
  <c r="BF44" i="32"/>
  <c r="BL44" i="32" s="1"/>
  <c r="AN10" i="32" s="1"/>
  <c r="AX44" i="32"/>
  <c r="BD44" i="32" s="1"/>
  <c r="AI10" i="32" s="1"/>
  <c r="BD41" i="37"/>
  <c r="AI7" i="37" s="1"/>
  <c r="BL45" i="13"/>
  <c r="AN11" i="13" s="1"/>
  <c r="BD24" i="39"/>
  <c r="AG8" i="39" s="1"/>
  <c r="AS8" i="39" s="1"/>
  <c r="BD51" i="36"/>
  <c r="AJ8" i="36" s="1"/>
  <c r="BA32" i="41"/>
  <c r="BI32" i="41"/>
  <c r="BL32" i="41" s="1"/>
  <c r="AM7" i="41" s="1"/>
  <c r="BD53" i="12"/>
  <c r="AJ10" i="12" s="1"/>
  <c r="BD36" i="41"/>
  <c r="AH11" i="41" s="1"/>
  <c r="BL25" i="35"/>
  <c r="AL9" i="35" s="1"/>
  <c r="BD32" i="29"/>
  <c r="AH7" i="29" s="1"/>
  <c r="BL44" i="19"/>
  <c r="AN10" i="19" s="1"/>
  <c r="BD23" i="15"/>
  <c r="AG7" i="15" s="1"/>
  <c r="BL24" i="26"/>
  <c r="AL8" i="26" s="1"/>
  <c r="BD54" i="27"/>
  <c r="AJ11" i="27" s="1"/>
  <c r="BD33" i="37"/>
  <c r="AH8" i="37" s="1"/>
  <c r="AS8" i="37" s="1"/>
  <c r="BL24" i="40"/>
  <c r="AL8" i="40" s="1"/>
  <c r="AZ52" i="36"/>
  <c r="BD52" i="36" s="1"/>
  <c r="AJ9" i="36" s="1"/>
  <c r="BH52" i="36"/>
  <c r="BL52" i="36" s="1"/>
  <c r="AO9" i="36" s="1"/>
  <c r="AZ54" i="36"/>
  <c r="BD54" i="36" s="1"/>
  <c r="AJ11" i="36" s="1"/>
  <c r="BH54" i="36"/>
  <c r="BL54" i="36" s="1"/>
  <c r="AO11" i="36" s="1"/>
  <c r="BL42" i="14"/>
  <c r="AN8" i="14" s="1"/>
  <c r="BD35" i="10"/>
  <c r="AH10" i="10" s="1"/>
  <c r="BD49" i="13"/>
  <c r="AJ6" i="13" s="1"/>
  <c r="BL24" i="42"/>
  <c r="AL8" i="42" s="1"/>
  <c r="BD40" i="27"/>
  <c r="AI6" i="27" s="1"/>
  <c r="BD40" i="35"/>
  <c r="AI6" i="35" s="1"/>
  <c r="BD34" i="22"/>
  <c r="AH9" i="22" s="1"/>
  <c r="AS9" i="22" s="1"/>
  <c r="BD34" i="16"/>
  <c r="AH9" i="16" s="1"/>
  <c r="BA54" i="41"/>
  <c r="BI54" i="41"/>
  <c r="BL54" i="41" s="1"/>
  <c r="AO11" i="41" s="1"/>
  <c r="BA53" i="41"/>
  <c r="BD53" i="41" s="1"/>
  <c r="AJ10" i="41" s="1"/>
  <c r="BI53" i="41"/>
  <c r="BL53" i="41" s="1"/>
  <c r="AO10" i="41" s="1"/>
  <c r="BD35" i="11"/>
  <c r="AH10" i="11" s="1"/>
  <c r="BD52" i="42"/>
  <c r="AJ9" i="42" s="1"/>
  <c r="BD52" i="19"/>
  <c r="AJ9" i="19" s="1"/>
  <c r="BD43" i="26"/>
  <c r="AI9" i="26" s="1"/>
  <c r="BA26" i="36"/>
  <c r="BI26" i="36"/>
  <c r="BL26" i="36" s="1"/>
  <c r="AL10" i="36" s="1"/>
  <c r="BL25" i="24"/>
  <c r="AL9" i="24" s="1"/>
  <c r="BD51" i="37"/>
  <c r="AJ8" i="37" s="1"/>
  <c r="AY36" i="29"/>
  <c r="BD36" i="29" s="1"/>
  <c r="AH11" i="29" s="1"/>
  <c r="BG36" i="29"/>
  <c r="BL36" i="29" s="1"/>
  <c r="AM11" i="29" s="1"/>
  <c r="BG35" i="29"/>
  <c r="BL35" i="29" s="1"/>
  <c r="AM10" i="29" s="1"/>
  <c r="AY35" i="29"/>
  <c r="BD35" i="29" s="1"/>
  <c r="AH10" i="29" s="1"/>
  <c r="BD54" i="41"/>
  <c r="AJ11" i="41" s="1"/>
  <c r="BL50" i="35"/>
  <c r="AO7" i="35" s="1"/>
  <c r="BI36" i="12"/>
  <c r="BA36" i="12"/>
  <c r="BD36" i="12" s="1"/>
  <c r="AH11" i="12" s="1"/>
  <c r="BL43" i="24"/>
  <c r="AN9" i="24" s="1"/>
  <c r="BL25" i="18"/>
  <c r="AL9" i="18" s="1"/>
  <c r="BD41" i="17"/>
  <c r="AI7" i="17" s="1"/>
  <c r="AS7" i="17" s="1"/>
  <c r="AZ34" i="34"/>
  <c r="BH34" i="34"/>
  <c r="BL34" i="34" s="1"/>
  <c r="AM9" i="34" s="1"/>
  <c r="AZ36" i="34"/>
  <c r="BD36" i="34" s="1"/>
  <c r="AH11" i="34" s="1"/>
  <c r="BH36" i="34"/>
  <c r="BL36" i="34" s="1"/>
  <c r="AM11" i="34" s="1"/>
  <c r="BJ41" i="15"/>
  <c r="BL41" i="15" s="1"/>
  <c r="AN7" i="15" s="1"/>
  <c r="BB41" i="15"/>
  <c r="BD41" i="15" s="1"/>
  <c r="AI7" i="15" s="1"/>
  <c r="AY49" i="20"/>
  <c r="BD49" i="20" s="1"/>
  <c r="AJ6" i="20" s="1"/>
  <c r="BG49" i="20"/>
  <c r="BL49" i="20" s="1"/>
  <c r="AO6" i="20" s="1"/>
  <c r="AY51" i="20"/>
  <c r="BD51" i="20" s="1"/>
  <c r="AJ8" i="20" s="1"/>
  <c r="BG51" i="20"/>
  <c r="BL51" i="20" s="1"/>
  <c r="AO8" i="20" s="1"/>
  <c r="BL45" i="20"/>
  <c r="AN11" i="20" s="1"/>
  <c r="BD31" i="19"/>
  <c r="AH6" i="19" s="1"/>
  <c r="BL24" i="30"/>
  <c r="AL8" i="30" s="1"/>
  <c r="AX34" i="25"/>
  <c r="BD34" i="25" s="1"/>
  <c r="AH9" i="25" s="1"/>
  <c r="BF34" i="25"/>
  <c r="BL34" i="25" s="1"/>
  <c r="AM9" i="25" s="1"/>
  <c r="AX36" i="25"/>
  <c r="BD36" i="25" s="1"/>
  <c r="AH11" i="25" s="1"/>
  <c r="BF36" i="25"/>
  <c r="BL36" i="25" s="1"/>
  <c r="AM11" i="25" s="1"/>
  <c r="BL32" i="40"/>
  <c r="AM7" i="40" s="1"/>
  <c r="BL50" i="14"/>
  <c r="AO7" i="14" s="1"/>
  <c r="BD51" i="10"/>
  <c r="AJ8" i="10" s="1"/>
  <c r="AZ35" i="24"/>
  <c r="BD35" i="24" s="1"/>
  <c r="AH10" i="24" s="1"/>
  <c r="BH35" i="24"/>
  <c r="BL35" i="24" s="1"/>
  <c r="AM10" i="24" s="1"/>
  <c r="BD33" i="27"/>
  <c r="AH8" i="27" s="1"/>
  <c r="BD42" i="18"/>
  <c r="AI8" i="18" s="1"/>
  <c r="BD31" i="12"/>
  <c r="AH6" i="12" s="1"/>
  <c r="BD40" i="40"/>
  <c r="AI6" i="40" s="1"/>
  <c r="BD23" i="10"/>
  <c r="AG7" i="10" s="1"/>
  <c r="BL26" i="22"/>
  <c r="AL10" i="22" s="1"/>
  <c r="BD33" i="39"/>
  <c r="AH8" i="39" s="1"/>
  <c r="AY25" i="42"/>
  <c r="BD25" i="42" s="1"/>
  <c r="AG9" i="42" s="1"/>
  <c r="BG25" i="42"/>
  <c r="BL25" i="42" s="1"/>
  <c r="AL9" i="42" s="1"/>
  <c r="BG27" i="42"/>
  <c r="BL27" i="42" s="1"/>
  <c r="AL11" i="42" s="1"/>
  <c r="AY27" i="42"/>
  <c r="BD27" i="42" s="1"/>
  <c r="AG11" i="42" s="1"/>
  <c r="AS11" i="42" s="1"/>
  <c r="BD34" i="21"/>
  <c r="AH9" i="21" s="1"/>
  <c r="BL44" i="12"/>
  <c r="AN10" i="12" s="1"/>
  <c r="BL51" i="22"/>
  <c r="AO8" i="22" s="1"/>
  <c r="BD23" i="34"/>
  <c r="AG7" i="34" s="1"/>
  <c r="BD49" i="16"/>
  <c r="AJ6" i="16" s="1"/>
  <c r="AZ53" i="34"/>
  <c r="BH53" i="34"/>
  <c r="BL53" i="34" s="1"/>
  <c r="AO10" i="34" s="1"/>
  <c r="BD41" i="30"/>
  <c r="AI7" i="30" s="1"/>
  <c r="AS7" i="30" s="1"/>
  <c r="BD53" i="24"/>
  <c r="AJ10" i="24" s="1"/>
  <c r="AZ41" i="26"/>
  <c r="BD41" i="26" s="1"/>
  <c r="AI7" i="26" s="1"/>
  <c r="BH41" i="26"/>
  <c r="BL41" i="26" s="1"/>
  <c r="AN7" i="26" s="1"/>
  <c r="BD41" i="21"/>
  <c r="AI7" i="21" s="1"/>
  <c r="AY32" i="20"/>
  <c r="BD32" i="20" s="1"/>
  <c r="AH7" i="20" s="1"/>
  <c r="BG32" i="20"/>
  <c r="BL52" i="40"/>
  <c r="AO9" i="40" s="1"/>
  <c r="BD41" i="42"/>
  <c r="AI7" i="42" s="1"/>
  <c r="BI22" i="41"/>
  <c r="BL22" i="41" s="1"/>
  <c r="AL6" i="41" s="1"/>
  <c r="BA22" i="41"/>
  <c r="BD22" i="41" s="1"/>
  <c r="AG6" i="41" s="1"/>
  <c r="BI25" i="41"/>
  <c r="BL25" i="41" s="1"/>
  <c r="AL9" i="41" s="1"/>
  <c r="BA25" i="41"/>
  <c r="BD25" i="41" s="1"/>
  <c r="AG9" i="41" s="1"/>
  <c r="AS9" i="41" s="1"/>
  <c r="BF49" i="25"/>
  <c r="BL49" i="25" s="1"/>
  <c r="AO6" i="25" s="1"/>
  <c r="AX49" i="25"/>
  <c r="BD49" i="25" s="1"/>
  <c r="AJ6" i="25" s="1"/>
  <c r="BD22" i="27"/>
  <c r="AG6" i="27" s="1"/>
  <c r="BL25" i="21"/>
  <c r="AL9" i="21" s="1"/>
  <c r="BL25" i="20"/>
  <c r="AL9" i="20" s="1"/>
  <c r="BD27" i="13"/>
  <c r="AG11" i="13" s="1"/>
  <c r="BD36" i="15"/>
  <c r="AH11" i="15" s="1"/>
  <c r="BL34" i="26"/>
  <c r="AM9" i="26" s="1"/>
  <c r="BA41" i="41"/>
  <c r="BD41" i="41" s="1"/>
  <c r="AI7" i="41" s="1"/>
  <c r="BI41" i="41"/>
  <c r="BL41" i="41" s="1"/>
  <c r="AN7" i="41" s="1"/>
  <c r="BD27" i="30"/>
  <c r="AG11" i="30" s="1"/>
  <c r="AS11" i="30" s="1"/>
  <c r="BL50" i="10"/>
  <c r="AO7" i="10" s="1"/>
  <c r="BD45" i="18"/>
  <c r="AI11" i="18" s="1"/>
  <c r="BL45" i="40"/>
  <c r="AN11" i="40" s="1"/>
  <c r="BL26" i="10"/>
  <c r="AL10" i="10" s="1"/>
  <c r="AZ42" i="11"/>
  <c r="BH42" i="11"/>
  <c r="BL50" i="40"/>
  <c r="AO7" i="40" s="1"/>
  <c r="BL25" i="28"/>
  <c r="AL9" i="28" s="1"/>
  <c r="BD24" i="20"/>
  <c r="AG8" i="20" s="1"/>
  <c r="BL40" i="22"/>
  <c r="AN6" i="22" s="1"/>
  <c r="BD33" i="34"/>
  <c r="AH8" i="34" s="1"/>
  <c r="BL54" i="39"/>
  <c r="AO11" i="39" s="1"/>
  <c r="BL31" i="36"/>
  <c r="AM6" i="36" s="1"/>
  <c r="BD49" i="30"/>
  <c r="AJ6" i="30" s="1"/>
  <c r="AZ24" i="24"/>
  <c r="BD24" i="24" s="1"/>
  <c r="AG8" i="24" s="1"/>
  <c r="BH24" i="24"/>
  <c r="BL24" i="24" s="1"/>
  <c r="AL8" i="24" s="1"/>
  <c r="BL40" i="11"/>
  <c r="AN6" i="11" s="1"/>
  <c r="BL51" i="21"/>
  <c r="AO8" i="21" s="1"/>
  <c r="BL42" i="34"/>
  <c r="AN8" i="34" s="1"/>
  <c r="BD41" i="36"/>
  <c r="AI7" i="36" s="1"/>
  <c r="BL36" i="17"/>
  <c r="AM11" i="17" s="1"/>
  <c r="AS11" i="17" s="1"/>
  <c r="BD31" i="28"/>
  <c r="AH6" i="28" s="1"/>
  <c r="AY40" i="11"/>
  <c r="BD40" i="11" s="1"/>
  <c r="AI6" i="11" s="1"/>
  <c r="BG40" i="11"/>
  <c r="BG42" i="11"/>
  <c r="BL42" i="11" s="1"/>
  <c r="AN8" i="11" s="1"/>
  <c r="AY42" i="11"/>
  <c r="BD42" i="11" s="1"/>
  <c r="AI8" i="11" s="1"/>
  <c r="BD35" i="35"/>
  <c r="AH10" i="35" s="1"/>
  <c r="AS10" i="35" s="1"/>
  <c r="BL27" i="19"/>
  <c r="AL11" i="19" s="1"/>
  <c r="BL50" i="26"/>
  <c r="AO7" i="26" s="1"/>
  <c r="BL23" i="36"/>
  <c r="AL7" i="36" s="1"/>
  <c r="BH32" i="26"/>
  <c r="BL32" i="26" s="1"/>
  <c r="AM7" i="26" s="1"/>
  <c r="AZ32" i="26"/>
  <c r="BD32" i="26" s="1"/>
  <c r="AH7" i="26" s="1"/>
  <c r="AZ31" i="26"/>
  <c r="BD31" i="26" s="1"/>
  <c r="AH6" i="26" s="1"/>
  <c r="BH31" i="26"/>
  <c r="BL31" i="26" s="1"/>
  <c r="AM6" i="26" s="1"/>
  <c r="BL44" i="37"/>
  <c r="AN10" i="37" s="1"/>
  <c r="BL26" i="14"/>
  <c r="AL10" i="14" s="1"/>
  <c r="BL52" i="34"/>
  <c r="AO9" i="34" s="1"/>
  <c r="BL27" i="39"/>
  <c r="AL11" i="39" s="1"/>
  <c r="BD53" i="36"/>
  <c r="AJ10" i="36" s="1"/>
  <c r="BL31" i="24"/>
  <c r="AM6" i="24" s="1"/>
  <c r="BD32" i="41"/>
  <c r="AH7" i="41" s="1"/>
  <c r="BD53" i="17"/>
  <c r="AJ10" i="17" s="1"/>
  <c r="AZ50" i="33"/>
  <c r="BH50" i="33"/>
  <c r="BL32" i="42"/>
  <c r="AM7" i="42" s="1"/>
  <c r="BD43" i="19"/>
  <c r="AI9" i="19" s="1"/>
  <c r="BL26" i="15"/>
  <c r="AL10" i="15" s="1"/>
  <c r="BD27" i="26"/>
  <c r="AG11" i="26" s="1"/>
  <c r="BA22" i="12"/>
  <c r="BD22" i="12" s="1"/>
  <c r="AG6" i="12" s="1"/>
  <c r="AS6" i="12" s="1"/>
  <c r="BI22" i="12"/>
  <c r="BL22" i="12" s="1"/>
  <c r="AL6" i="12" s="1"/>
  <c r="BB23" i="34"/>
  <c r="BJ23" i="34"/>
  <c r="BL23" i="34" s="1"/>
  <c r="AL7" i="34" s="1"/>
  <c r="BL49" i="27"/>
  <c r="AO6" i="27" s="1"/>
  <c r="AX23" i="23"/>
  <c r="BD23" i="23" s="1"/>
  <c r="AG7" i="23" s="1"/>
  <c r="AS7" i="23" s="1"/>
  <c r="BF23" i="23"/>
  <c r="BL23" i="23" s="1"/>
  <c r="AL7" i="23" s="1"/>
  <c r="AX22" i="23"/>
  <c r="BD22" i="23" s="1"/>
  <c r="AG6" i="23" s="1"/>
  <c r="BF22" i="23"/>
  <c r="BL22" i="23" s="1"/>
  <c r="AL6" i="23" s="1"/>
  <c r="BL36" i="37"/>
  <c r="AM11" i="37" s="1"/>
  <c r="BL27" i="40"/>
  <c r="AL11" i="40" s="1"/>
  <c r="BL45" i="14"/>
  <c r="AN11" i="14" s="1"/>
  <c r="BD52" i="13"/>
  <c r="AJ9" i="13" s="1"/>
  <c r="BH32" i="10"/>
  <c r="BL32" i="10" s="1"/>
  <c r="AM7" i="10" s="1"/>
  <c r="AZ32" i="10"/>
  <c r="BD32" i="10" s="1"/>
  <c r="AH7" i="10" s="1"/>
  <c r="BH36" i="10"/>
  <c r="BL36" i="10" s="1"/>
  <c r="AM11" i="10" s="1"/>
  <c r="AZ36" i="10"/>
  <c r="BD36" i="10" s="1"/>
  <c r="AH11" i="10" s="1"/>
  <c r="BD43" i="27"/>
  <c r="AI9" i="27" s="1"/>
  <c r="AY24" i="33"/>
  <c r="BD24" i="33" s="1"/>
  <c r="AG8" i="33" s="1"/>
  <c r="BG24" i="33"/>
  <c r="AY27" i="33"/>
  <c r="BD27" i="33" s="1"/>
  <c r="AG11" i="33" s="1"/>
  <c r="AS11" i="33" s="1"/>
  <c r="BG27" i="33"/>
  <c r="BL27" i="33" s="1"/>
  <c r="AL11" i="33" s="1"/>
  <c r="AZ27" i="14"/>
  <c r="BD27" i="14" s="1"/>
  <c r="AG11" i="14" s="1"/>
  <c r="AS11" i="14" s="1"/>
  <c r="BH27" i="14"/>
  <c r="BL27" i="14" s="1"/>
  <c r="AL11" i="14" s="1"/>
  <c r="BD26" i="12"/>
  <c r="AG10" i="12" s="1"/>
  <c r="BL45" i="35"/>
  <c r="AN11" i="35" s="1"/>
  <c r="BD41" i="29"/>
  <c r="AI7" i="29" s="1"/>
  <c r="BD31" i="22"/>
  <c r="AH6" i="22" s="1"/>
  <c r="BD31" i="16"/>
  <c r="AH6" i="16" s="1"/>
  <c r="BD24" i="17"/>
  <c r="AG8" i="17" s="1"/>
  <c r="AS8" i="17" s="1"/>
  <c r="BF23" i="31"/>
  <c r="BL23" i="31" s="1"/>
  <c r="AL7" i="31" s="1"/>
  <c r="AX23" i="31"/>
  <c r="BD23" i="31" s="1"/>
  <c r="AG7" i="31" s="1"/>
  <c r="AS7" i="31" s="1"/>
  <c r="BD31" i="11"/>
  <c r="AH6" i="11" s="1"/>
  <c r="BL50" i="42"/>
  <c r="AO7" i="42" s="1"/>
  <c r="BL50" i="19"/>
  <c r="AO7" i="19" s="1"/>
  <c r="BD42" i="15"/>
  <c r="AI8" i="15" s="1"/>
  <c r="AZ23" i="33"/>
  <c r="BH23" i="33"/>
  <c r="AZ26" i="33"/>
  <c r="BH26" i="33"/>
  <c r="AZ49" i="24"/>
  <c r="BD49" i="24" s="1"/>
  <c r="AJ6" i="24" s="1"/>
  <c r="BH49" i="24"/>
  <c r="BL49" i="24" s="1"/>
  <c r="AO6" i="24" s="1"/>
  <c r="AZ51" i="24"/>
  <c r="BD51" i="24" s="1"/>
  <c r="AJ8" i="24" s="1"/>
  <c r="BH51" i="24"/>
  <c r="BL51" i="24" s="1"/>
  <c r="AO8" i="24" s="1"/>
  <c r="BD54" i="37"/>
  <c r="AJ11" i="37" s="1"/>
  <c r="BD34" i="14"/>
  <c r="AH9" i="14" s="1"/>
  <c r="BG36" i="42"/>
  <c r="BL36" i="42" s="1"/>
  <c r="AM11" i="42" s="1"/>
  <c r="AY36" i="42"/>
  <c r="BD36" i="42" s="1"/>
  <c r="AH11" i="42" s="1"/>
  <c r="BB45" i="34"/>
  <c r="BJ45" i="34"/>
  <c r="BL24" i="33"/>
  <c r="AL8" i="33" s="1"/>
  <c r="BH23" i="11"/>
  <c r="BL23" i="11" s="1"/>
  <c r="AL7" i="11" s="1"/>
  <c r="AZ23" i="11"/>
  <c r="AZ22" i="11"/>
  <c r="BD22" i="11" s="1"/>
  <c r="AG6" i="11" s="1"/>
  <c r="BH22" i="11"/>
  <c r="BL22" i="18"/>
  <c r="AL6" i="18" s="1"/>
  <c r="AY51" i="11"/>
  <c r="BD51" i="11" s="1"/>
  <c r="AJ8" i="11" s="1"/>
  <c r="BG51" i="11"/>
  <c r="BL51" i="11" s="1"/>
  <c r="AO8" i="11" s="1"/>
  <c r="BL42" i="39"/>
  <c r="AN8" i="39" s="1"/>
  <c r="BL43" i="17"/>
  <c r="AN9" i="17" s="1"/>
  <c r="AZ36" i="16"/>
  <c r="BD36" i="16" s="1"/>
  <c r="AH11" i="16" s="1"/>
  <c r="BH36" i="16"/>
  <c r="BL36" i="16" s="1"/>
  <c r="AM11" i="16" s="1"/>
  <c r="BL45" i="10"/>
  <c r="AN11" i="10" s="1"/>
  <c r="BL35" i="15"/>
  <c r="AM10" i="15" s="1"/>
  <c r="BD35" i="40"/>
  <c r="AH10" i="40" s="1"/>
  <c r="BD53" i="14"/>
  <c r="AJ10" i="14" s="1"/>
  <c r="BL53" i="28"/>
  <c r="AO10" i="28" s="1"/>
  <c r="BL36" i="12"/>
  <c r="AM11" i="12" s="1"/>
  <c r="BD34" i="39"/>
  <c r="AH9" i="39" s="1"/>
  <c r="AX34" i="23"/>
  <c r="BD34" i="23" s="1"/>
  <c r="AH9" i="23" s="1"/>
  <c r="BF34" i="23"/>
  <c r="BL34" i="23" s="1"/>
  <c r="AM9" i="23" s="1"/>
  <c r="BF36" i="23"/>
  <c r="BL36" i="23" s="1"/>
  <c r="AM11" i="23" s="1"/>
  <c r="AX36" i="23"/>
  <c r="BD36" i="23" s="1"/>
  <c r="AH11" i="23" s="1"/>
  <c r="AZ41" i="36"/>
  <c r="BH41" i="36"/>
  <c r="BL41" i="36" s="1"/>
  <c r="AN7" i="36" s="1"/>
  <c r="BL25" i="34"/>
  <c r="AL9" i="34" s="1"/>
  <c r="AX50" i="38"/>
  <c r="BD50" i="38" s="1"/>
  <c r="AJ7" i="38" s="1"/>
  <c r="BF50" i="38"/>
  <c r="BL50" i="38" s="1"/>
  <c r="AO7" i="38" s="1"/>
  <c r="BL44" i="30"/>
  <c r="AN10" i="30" s="1"/>
  <c r="BL43" i="28"/>
  <c r="AN9" i="28" s="1"/>
  <c r="BL34" i="18"/>
  <c r="AM9" i="18" s="1"/>
  <c r="L192" i="54" l="1"/>
  <c r="L176" i="54"/>
  <c r="L160" i="54"/>
  <c r="L144" i="54"/>
  <c r="L136" i="54"/>
  <c r="L128" i="54"/>
  <c r="L120" i="54"/>
  <c r="L112" i="54"/>
  <c r="L103" i="54"/>
  <c r="L99" i="54"/>
  <c r="L95" i="54"/>
  <c r="L91" i="54"/>
  <c r="L87" i="54"/>
  <c r="L83" i="54"/>
  <c r="L79" i="54"/>
  <c r="L75" i="54"/>
  <c r="L71" i="54"/>
  <c r="L67" i="54"/>
  <c r="L63" i="54"/>
  <c r="L59" i="54"/>
  <c r="L55" i="54"/>
  <c r="L51" i="54"/>
  <c r="L47" i="54"/>
  <c r="L43" i="54"/>
  <c r="L39" i="54"/>
  <c r="L35" i="54"/>
  <c r="L31" i="54"/>
  <c r="L27" i="54"/>
  <c r="L23" i="54"/>
  <c r="L19" i="54"/>
  <c r="L15" i="54"/>
  <c r="L11" i="54"/>
  <c r="L7" i="54"/>
  <c r="L3" i="54"/>
  <c r="L181" i="54"/>
  <c r="L165" i="54"/>
  <c r="L149" i="54"/>
  <c r="L190" i="54"/>
  <c r="L174" i="54"/>
  <c r="L158" i="54"/>
  <c r="L141" i="54"/>
  <c r="L133" i="54"/>
  <c r="L125" i="54"/>
  <c r="L117" i="54"/>
  <c r="L109" i="54"/>
  <c r="L183" i="54"/>
  <c r="L171" i="54"/>
  <c r="L159" i="54"/>
  <c r="L147" i="54"/>
  <c r="AL188" i="6"/>
  <c r="C180" i="54" s="1"/>
  <c r="B230" i="8" s="1"/>
  <c r="AL172" i="6"/>
  <c r="C164" i="54" s="1"/>
  <c r="B183" i="8" s="1"/>
  <c r="AL156" i="6"/>
  <c r="C148" i="54" s="1"/>
  <c r="B153" i="8" s="1"/>
  <c r="AL201" i="6"/>
  <c r="C193" i="54" s="1"/>
  <c r="B192" i="8" s="1"/>
  <c r="AL185" i="6"/>
  <c r="C177" i="54" s="1"/>
  <c r="B190" i="8" s="1"/>
  <c r="AL169" i="6"/>
  <c r="C161" i="54" s="1"/>
  <c r="B154" i="8" s="1"/>
  <c r="AL153" i="6"/>
  <c r="C145" i="54" s="1"/>
  <c r="B152" i="8" s="1"/>
  <c r="AL194" i="6"/>
  <c r="C186" i="54" s="1"/>
  <c r="B212" i="8" s="1"/>
  <c r="AL178" i="6"/>
  <c r="C170" i="54" s="1"/>
  <c r="B182" i="8" s="1"/>
  <c r="AL162" i="6"/>
  <c r="C154" i="54" s="1"/>
  <c r="B173" i="8" s="1"/>
  <c r="AL146" i="6"/>
  <c r="C138" i="54" s="1"/>
  <c r="B171" i="8" s="1"/>
  <c r="AL171" i="6"/>
  <c r="C163" i="54" s="1"/>
  <c r="B181" i="8" s="1"/>
  <c r="AL139" i="6"/>
  <c r="C131" i="54" s="1"/>
  <c r="B7" i="8" s="1"/>
  <c r="AL123" i="6"/>
  <c r="C115" i="54" s="1"/>
  <c r="B96" i="8" s="1"/>
  <c r="AL107" i="6"/>
  <c r="C99" i="54" s="1"/>
  <c r="B31" i="8" s="1"/>
  <c r="AL91" i="6"/>
  <c r="C83" i="54" s="1"/>
  <c r="B99" i="8" s="1"/>
  <c r="AL75" i="6"/>
  <c r="C67" i="54" s="1"/>
  <c r="B5" i="8" s="1"/>
  <c r="AL59" i="6"/>
  <c r="C51" i="54" s="1"/>
  <c r="B94" i="8" s="1"/>
  <c r="AL43" i="6"/>
  <c r="C35" i="54" s="1"/>
  <c r="B29" i="8" s="1"/>
  <c r="AL27" i="6"/>
  <c r="C19" i="54" s="1"/>
  <c r="B97" i="8" s="1"/>
  <c r="AL70" i="6"/>
  <c r="C62" i="54" s="1"/>
  <c r="B48" i="8" s="1"/>
  <c r="AL140" i="6"/>
  <c r="C132" i="54" s="1"/>
  <c r="B36" i="8" s="1"/>
  <c r="AL124" i="6"/>
  <c r="C116" i="54" s="1"/>
  <c r="B92" i="8" s="1"/>
  <c r="AL108" i="6"/>
  <c r="C100" i="54" s="1"/>
  <c r="B27" i="8" s="1"/>
  <c r="AL92" i="6"/>
  <c r="C84" i="54" s="1"/>
  <c r="B103" i="8" s="1"/>
  <c r="AL76" i="6"/>
  <c r="C68" i="54" s="1"/>
  <c r="B34" i="8" s="1"/>
  <c r="AL60" i="6"/>
  <c r="C52" i="54" s="1"/>
  <c r="B90" i="8" s="1"/>
  <c r="AL44" i="6"/>
  <c r="C36" i="54" s="1"/>
  <c r="B25" i="8" s="1"/>
  <c r="AL28" i="6"/>
  <c r="C20" i="54" s="1"/>
  <c r="B101" i="8" s="1"/>
  <c r="AL19" i="6"/>
  <c r="C11" i="54" s="1"/>
  <c r="B65" i="8" s="1"/>
  <c r="AL11" i="6"/>
  <c r="C3" i="54" s="1"/>
  <c r="B3" i="8" s="1"/>
  <c r="AL58" i="6"/>
  <c r="C50" i="54" s="1"/>
  <c r="B98" i="8" s="1"/>
  <c r="AL199" i="6"/>
  <c r="C191" i="54" s="1"/>
  <c r="B197" i="8" s="1"/>
  <c r="AL167" i="6"/>
  <c r="C159" i="54" s="1"/>
  <c r="B160" i="8" s="1"/>
  <c r="AL145" i="6"/>
  <c r="C137" i="54" s="1"/>
  <c r="B167" i="8" s="1"/>
  <c r="AL129" i="6"/>
  <c r="C121" i="54" s="1"/>
  <c r="B72" i="8" s="1"/>
  <c r="AL113" i="6"/>
  <c r="C105" i="54" s="1"/>
  <c r="B136" i="8" s="1"/>
  <c r="AL97" i="6"/>
  <c r="C89" i="54" s="1"/>
  <c r="B123" i="8" s="1"/>
  <c r="AL81" i="6"/>
  <c r="C73" i="54" s="1"/>
  <c r="B59" i="8" s="1"/>
  <c r="AL65" i="6"/>
  <c r="C57" i="54" s="1"/>
  <c r="B70" i="8" s="1"/>
  <c r="AL49" i="6"/>
  <c r="C41" i="54" s="1"/>
  <c r="B134" i="8" s="1"/>
  <c r="AL33" i="6"/>
  <c r="C25" i="54" s="1"/>
  <c r="B121" i="8" s="1"/>
  <c r="AL20" i="6"/>
  <c r="C12" i="54" s="1"/>
  <c r="B69" i="8" s="1"/>
  <c r="AL134" i="6"/>
  <c r="C126" i="54" s="1"/>
  <c r="B50" i="8" s="1"/>
  <c r="AL118" i="6"/>
  <c r="C110" i="54" s="1"/>
  <c r="B116" i="8" s="1"/>
  <c r="AL102" i="6"/>
  <c r="C94" i="54" s="1"/>
  <c r="B14" i="8" s="1"/>
  <c r="AL46" i="6"/>
  <c r="C38" i="54" s="1"/>
  <c r="B17" i="8" s="1"/>
  <c r="AL18" i="6"/>
  <c r="C10" i="54" s="1"/>
  <c r="B61" i="8" s="1"/>
  <c r="A101" i="54"/>
  <c r="A133" i="54"/>
  <c r="A24" i="54"/>
  <c r="A84" i="54"/>
  <c r="A29" i="54"/>
  <c r="A25" i="54"/>
  <c r="A181" i="54"/>
  <c r="A143" i="54"/>
  <c r="A49" i="54"/>
  <c r="A100" i="54"/>
  <c r="A150" i="54"/>
  <c r="A180" i="54"/>
  <c r="A69" i="54"/>
  <c r="A32" i="54"/>
  <c r="A108" i="54"/>
  <c r="A11" i="54"/>
  <c r="A63" i="54"/>
  <c r="A79" i="54"/>
  <c r="A95" i="54"/>
  <c r="A111" i="54"/>
  <c r="A127" i="54"/>
  <c r="A53" i="54"/>
  <c r="A34" i="54"/>
  <c r="A50" i="54"/>
  <c r="A66" i="54"/>
  <c r="A82" i="54"/>
  <c r="A98" i="54"/>
  <c r="A114" i="54"/>
  <c r="A153" i="54"/>
  <c r="A172" i="54"/>
  <c r="A154" i="54"/>
  <c r="A64" i="54"/>
  <c r="A193" i="54"/>
  <c r="A97" i="54"/>
  <c r="A129" i="54"/>
  <c r="A44" i="54"/>
  <c r="A104" i="54"/>
  <c r="A3" i="54"/>
  <c r="A31" i="54"/>
  <c r="A47" i="54"/>
  <c r="A134" i="54"/>
  <c r="A189" i="54"/>
  <c r="A192" i="54"/>
  <c r="A171" i="54"/>
  <c r="A186" i="54"/>
  <c r="A166" i="54"/>
  <c r="A13" i="54"/>
  <c r="A177" i="54"/>
  <c r="F3" i="60"/>
  <c r="L188" i="54"/>
  <c r="L172" i="54"/>
  <c r="L156" i="54"/>
  <c r="L142" i="54"/>
  <c r="L134" i="54"/>
  <c r="L126" i="54"/>
  <c r="L118" i="54"/>
  <c r="L110" i="54"/>
  <c r="L102" i="54"/>
  <c r="L98" i="54"/>
  <c r="L94" i="54"/>
  <c r="L90" i="54"/>
  <c r="L86" i="54"/>
  <c r="L82" i="54"/>
  <c r="L78" i="54"/>
  <c r="L74" i="54"/>
  <c r="L70" i="54"/>
  <c r="L66" i="54"/>
  <c r="L62" i="54"/>
  <c r="L58" i="54"/>
  <c r="L54" i="54"/>
  <c r="L50" i="54"/>
  <c r="L46" i="54"/>
  <c r="L42" i="54"/>
  <c r="L38" i="54"/>
  <c r="L34" i="54"/>
  <c r="L30" i="54"/>
  <c r="L26" i="54"/>
  <c r="L22" i="54"/>
  <c r="L18" i="54"/>
  <c r="L14" i="54"/>
  <c r="L10" i="54"/>
  <c r="L6" i="54"/>
  <c r="L193" i="54"/>
  <c r="L177" i="54"/>
  <c r="L161" i="54"/>
  <c r="L145" i="54"/>
  <c r="L186" i="54"/>
  <c r="L170" i="54"/>
  <c r="L154" i="54"/>
  <c r="L139" i="54"/>
  <c r="L131" i="54"/>
  <c r="L123" i="54"/>
  <c r="L115" i="54"/>
  <c r="L107" i="54"/>
  <c r="L167" i="54"/>
  <c r="L155" i="54"/>
  <c r="L143" i="54"/>
  <c r="AL200" i="6"/>
  <c r="C192" i="54" s="1"/>
  <c r="B195" i="8" s="1"/>
  <c r="AL184" i="6"/>
  <c r="C176" i="54" s="1"/>
  <c r="B175" i="8" s="1"/>
  <c r="AL168" i="6"/>
  <c r="C160" i="54" s="1"/>
  <c r="B157" i="8" s="1"/>
  <c r="AL152" i="6"/>
  <c r="C144" i="54" s="1"/>
  <c r="B155" i="8" s="1"/>
  <c r="AL197" i="6"/>
  <c r="C189" i="54" s="1"/>
  <c r="B203" i="8" s="1"/>
  <c r="AL181" i="6"/>
  <c r="C173" i="54" s="1"/>
  <c r="B178" i="8" s="1"/>
  <c r="AL165" i="6"/>
  <c r="C157" i="54" s="1"/>
  <c r="B166" i="8" s="1"/>
  <c r="AL149" i="6"/>
  <c r="C141" i="54" s="1"/>
  <c r="B164" i="8" s="1"/>
  <c r="AL190" i="6"/>
  <c r="C182" i="54" s="1"/>
  <c r="B224" i="8" s="1"/>
  <c r="AL174" i="6"/>
  <c r="C166" i="54" s="1"/>
  <c r="B187" i="8" s="1"/>
  <c r="AL158" i="6"/>
  <c r="C150" i="54" s="1"/>
  <c r="B159" i="8" s="1"/>
  <c r="AL195" i="6"/>
  <c r="C187" i="54" s="1"/>
  <c r="B209" i="8" s="1"/>
  <c r="AL163" i="6"/>
  <c r="C155" i="54" s="1"/>
  <c r="B174" i="8" s="1"/>
  <c r="AL135" i="6"/>
  <c r="C127" i="54" s="1"/>
  <c r="B45" i="8" s="1"/>
  <c r="AL119" i="6"/>
  <c r="C111" i="54" s="1"/>
  <c r="B112" i="8" s="1"/>
  <c r="AL103" i="6"/>
  <c r="C95" i="54" s="1"/>
  <c r="B18" i="8" s="1"/>
  <c r="AL87" i="6"/>
  <c r="C79" i="54" s="1"/>
  <c r="B83" i="8" s="1"/>
  <c r="AL71" i="6"/>
  <c r="C63" i="54" s="1"/>
  <c r="B43" i="8" s="1"/>
  <c r="AL55" i="6"/>
  <c r="C47" i="54" s="1"/>
  <c r="B110" i="8" s="1"/>
  <c r="AL39" i="6"/>
  <c r="C31" i="54" s="1"/>
  <c r="B16" i="8" s="1"/>
  <c r="AL82" i="6"/>
  <c r="C74" i="54" s="1"/>
  <c r="B63" i="8" s="1"/>
  <c r="AL54" i="6"/>
  <c r="C46" i="54" s="1"/>
  <c r="B114" i="8" s="1"/>
  <c r="AL136" i="6"/>
  <c r="C128" i="54" s="1"/>
  <c r="B40" i="8" s="1"/>
  <c r="AL120" i="6"/>
  <c r="C112" i="54" s="1"/>
  <c r="B108" i="8" s="1"/>
  <c r="AL104" i="6"/>
  <c r="C96" i="54" s="1"/>
  <c r="B22" i="8" s="1"/>
  <c r="AL88" i="6"/>
  <c r="C80" i="54" s="1"/>
  <c r="B87" i="8" s="1"/>
  <c r="AL72" i="6"/>
  <c r="C64" i="54" s="1"/>
  <c r="B38" i="8" s="1"/>
  <c r="AL56" i="6"/>
  <c r="C48" i="54" s="1"/>
  <c r="B106" i="8" s="1"/>
  <c r="AL40" i="6"/>
  <c r="C32" i="54" s="1"/>
  <c r="B20" i="8" s="1"/>
  <c r="AL25" i="6"/>
  <c r="C17" i="54" s="1"/>
  <c r="B89" i="8" s="1"/>
  <c r="AL17" i="6"/>
  <c r="C9" i="54" s="1"/>
  <c r="B57" i="8" s="1"/>
  <c r="N6" i="6"/>
  <c r="AL34" i="6"/>
  <c r="C26" i="54" s="1"/>
  <c r="B125" i="8" s="1"/>
  <c r="AL191" i="6"/>
  <c r="C183" i="54" s="1"/>
  <c r="B221" i="8" s="1"/>
  <c r="AL159" i="6"/>
  <c r="C151" i="54" s="1"/>
  <c r="B162" i="8" s="1"/>
  <c r="AL141" i="6"/>
  <c r="C133" i="54" s="1"/>
  <c r="B41" i="8" s="1"/>
  <c r="AL125" i="6"/>
  <c r="C117" i="54" s="1"/>
  <c r="B88" i="8" s="1"/>
  <c r="AL109" i="6"/>
  <c r="C101" i="54" s="1"/>
  <c r="B23" i="8" s="1"/>
  <c r="AL93" i="6"/>
  <c r="C85" i="54" s="1"/>
  <c r="B107" i="8" s="1"/>
  <c r="AL77" i="6"/>
  <c r="C69" i="54" s="1"/>
  <c r="B39" i="8" s="1"/>
  <c r="AL61" i="6"/>
  <c r="C53" i="54" s="1"/>
  <c r="B86" i="8" s="1"/>
  <c r="AL45" i="6"/>
  <c r="C37" i="54" s="1"/>
  <c r="B21" i="8" s="1"/>
  <c r="AL29" i="6"/>
  <c r="C21" i="54" s="1"/>
  <c r="B105" i="8" s="1"/>
  <c r="AL12" i="6"/>
  <c r="C4" i="54" s="1"/>
  <c r="B32" i="8" s="1"/>
  <c r="AL130" i="6"/>
  <c r="C122" i="54" s="1"/>
  <c r="B68" i="8" s="1"/>
  <c r="AL114" i="6"/>
  <c r="C106" i="54" s="1"/>
  <c r="B132" i="8" s="1"/>
  <c r="AL98" i="6"/>
  <c r="C90" i="54" s="1"/>
  <c r="B127" i="8" s="1"/>
  <c r="AL42" i="6"/>
  <c r="C34" i="54" s="1"/>
  <c r="B28" i="8" s="1"/>
  <c r="AL16" i="6"/>
  <c r="C8" i="54" s="1"/>
  <c r="B52" i="8" s="1"/>
  <c r="A109" i="54"/>
  <c r="A140" i="54"/>
  <c r="A36" i="54"/>
  <c r="A96" i="54"/>
  <c r="A77" i="54"/>
  <c r="A126" i="54"/>
  <c r="A152" i="54"/>
  <c r="A151" i="54"/>
  <c r="A178" i="54"/>
  <c r="A116" i="54"/>
  <c r="A182" i="54"/>
  <c r="A167" i="54"/>
  <c r="A14" i="54"/>
  <c r="A72" i="54"/>
  <c r="A124" i="54"/>
  <c r="A15" i="54"/>
  <c r="A67" i="54"/>
  <c r="A83" i="54"/>
  <c r="A99" i="54"/>
  <c r="A115" i="54"/>
  <c r="A131" i="54"/>
  <c r="A22" i="54"/>
  <c r="A38" i="54"/>
  <c r="A54" i="54"/>
  <c r="A70" i="54"/>
  <c r="A86" i="54"/>
  <c r="A102" i="54"/>
  <c r="A118" i="54"/>
  <c r="A169" i="54"/>
  <c r="A188" i="54"/>
  <c r="A170" i="54"/>
  <c r="A6" i="54"/>
  <c r="A164" i="54"/>
  <c r="A105" i="54"/>
  <c r="A138" i="54"/>
  <c r="A56" i="54"/>
  <c r="A120" i="54"/>
  <c r="A7" i="54"/>
  <c r="A35" i="54"/>
  <c r="A51" i="54"/>
  <c r="A141" i="54"/>
  <c r="A144" i="54"/>
  <c r="A139" i="54"/>
  <c r="A183" i="54"/>
  <c r="A33" i="54"/>
  <c r="A145" i="54"/>
  <c r="A142" i="54"/>
  <c r="A148" i="54"/>
  <c r="G2" i="61"/>
  <c r="L184" i="54"/>
  <c r="L168" i="54"/>
  <c r="L152" i="54"/>
  <c r="L140" i="54"/>
  <c r="L132" i="54"/>
  <c r="L124" i="54"/>
  <c r="L116" i="54"/>
  <c r="L108" i="54"/>
  <c r="L101" i="54"/>
  <c r="L97" i="54"/>
  <c r="L93" i="54"/>
  <c r="L89" i="54"/>
  <c r="L85" i="54"/>
  <c r="L81" i="54"/>
  <c r="L77" i="54"/>
  <c r="L73" i="54"/>
  <c r="L69" i="54"/>
  <c r="L65" i="54"/>
  <c r="L61" i="54"/>
  <c r="L57" i="54"/>
  <c r="L53" i="54"/>
  <c r="L49" i="54"/>
  <c r="L45" i="54"/>
  <c r="L41" i="54"/>
  <c r="L37" i="54"/>
  <c r="L33" i="54"/>
  <c r="L29" i="54"/>
  <c r="L25" i="54"/>
  <c r="L21" i="54"/>
  <c r="L17" i="54"/>
  <c r="L13" i="54"/>
  <c r="L9" i="54"/>
  <c r="L5" i="54"/>
  <c r="L189" i="54"/>
  <c r="L173" i="54"/>
  <c r="L157" i="54"/>
  <c r="L104" i="54"/>
  <c r="L182" i="54"/>
  <c r="L166" i="54"/>
  <c r="L150" i="54"/>
  <c r="L137" i="54"/>
  <c r="L129" i="54"/>
  <c r="L121" i="54"/>
  <c r="L113" i="54"/>
  <c r="L105" i="54"/>
  <c r="L151" i="54"/>
  <c r="L191" i="54"/>
  <c r="L179" i="54"/>
  <c r="AL196" i="6"/>
  <c r="C188" i="54" s="1"/>
  <c r="B206" i="8" s="1"/>
  <c r="AL180" i="6"/>
  <c r="C172" i="54" s="1"/>
  <c r="B179" i="8" s="1"/>
  <c r="AL164" i="6"/>
  <c r="C156" i="54" s="1"/>
  <c r="B170" i="8" s="1"/>
  <c r="AL148" i="6"/>
  <c r="C140" i="54" s="1"/>
  <c r="B168" i="8" s="1"/>
  <c r="AL193" i="6"/>
  <c r="C185" i="54" s="1"/>
  <c r="B215" i="8" s="1"/>
  <c r="AL177" i="6"/>
  <c r="C169" i="54" s="1"/>
  <c r="B184" i="8" s="1"/>
  <c r="AL161" i="6"/>
  <c r="C153" i="54" s="1"/>
  <c r="B169" i="8" s="1"/>
  <c r="AL202" i="6"/>
  <c r="C194" i="54" s="1"/>
  <c r="B191" i="8" s="1"/>
  <c r="AL186" i="6"/>
  <c r="C178" i="54" s="1"/>
  <c r="B189" i="8" s="1"/>
  <c r="AL170" i="6"/>
  <c r="C162" i="54" s="1"/>
  <c r="B151" i="8" s="1"/>
  <c r="AL154" i="6"/>
  <c r="C146" i="54" s="1"/>
  <c r="B149" i="8" s="1"/>
  <c r="AL187" i="6"/>
  <c r="C179" i="54" s="1"/>
  <c r="B233" i="8" s="1"/>
  <c r="AL155" i="6"/>
  <c r="C147" i="54" s="1"/>
  <c r="B150" i="8" s="1"/>
  <c r="AL131" i="6"/>
  <c r="C123" i="54" s="1"/>
  <c r="B64" i="8" s="1"/>
  <c r="AL115" i="6"/>
  <c r="C107" i="54" s="1"/>
  <c r="B128" i="8" s="1"/>
  <c r="AL99" i="6"/>
  <c r="C91" i="54" s="1"/>
  <c r="B131" i="8" s="1"/>
  <c r="AL83" i="6"/>
  <c r="C75" i="54" s="1"/>
  <c r="B67" i="8" s="1"/>
  <c r="AL67" i="6"/>
  <c r="C59" i="54" s="1"/>
  <c r="B62" i="8" s="1"/>
  <c r="AL51" i="6"/>
  <c r="C43" i="54" s="1"/>
  <c r="B126" i="8" s="1"/>
  <c r="AL35" i="6"/>
  <c r="C27" i="54" s="1"/>
  <c r="B129" i="8" s="1"/>
  <c r="AL78" i="6"/>
  <c r="C70" i="54" s="1"/>
  <c r="B44" i="8" s="1"/>
  <c r="AL50" i="6"/>
  <c r="C42" i="54" s="1"/>
  <c r="B130" i="8" s="1"/>
  <c r="AL132" i="6"/>
  <c r="C124" i="54" s="1"/>
  <c r="B60" i="8" s="1"/>
  <c r="AL116" i="6"/>
  <c r="C108" i="54" s="1"/>
  <c r="B124" i="8" s="1"/>
  <c r="AL100" i="6"/>
  <c r="C92" i="54" s="1"/>
  <c r="B135" i="8" s="1"/>
  <c r="AL84" i="6"/>
  <c r="C76" i="54" s="1"/>
  <c r="B71" i="8" s="1"/>
  <c r="AL68" i="6"/>
  <c r="C60" i="54" s="1"/>
  <c r="B58" i="8" s="1"/>
  <c r="AL52" i="6"/>
  <c r="C44" i="54" s="1"/>
  <c r="B122" i="8" s="1"/>
  <c r="AL36" i="6"/>
  <c r="C28" i="54" s="1"/>
  <c r="B133" i="8" s="1"/>
  <c r="AL23" i="6"/>
  <c r="C15" i="54" s="1"/>
  <c r="B81" i="8" s="1"/>
  <c r="AL15" i="6"/>
  <c r="C7" i="54" s="1"/>
  <c r="B47" i="8" s="1"/>
  <c r="AL94" i="6"/>
  <c r="C86" i="54" s="1"/>
  <c r="B111" i="8" s="1"/>
  <c r="AL24" i="6"/>
  <c r="C16" i="54" s="1"/>
  <c r="B85" i="8" s="1"/>
  <c r="AL183" i="6"/>
  <c r="C175" i="54" s="1"/>
  <c r="B176" i="8" s="1"/>
  <c r="AL151" i="6"/>
  <c r="C143" i="54" s="1"/>
  <c r="B158" i="8" s="1"/>
  <c r="AL137" i="6"/>
  <c r="C129" i="54" s="1"/>
  <c r="B35" i="8" s="1"/>
  <c r="AL121" i="6"/>
  <c r="C113" i="54" s="1"/>
  <c r="B104" i="8" s="1"/>
  <c r="AL105" i="6"/>
  <c r="C97" i="54" s="1"/>
  <c r="B26" i="8" s="1"/>
  <c r="AL89" i="6"/>
  <c r="C81" i="54" s="1"/>
  <c r="B91" i="8" s="1"/>
  <c r="AL73" i="6"/>
  <c r="C65" i="54" s="1"/>
  <c r="B33" i="8" s="1"/>
  <c r="AL57" i="6"/>
  <c r="C49" i="54" s="1"/>
  <c r="B102" i="8" s="1"/>
  <c r="AL41" i="6"/>
  <c r="C33" i="54" s="1"/>
  <c r="B24" i="8" s="1"/>
  <c r="AL66" i="6"/>
  <c r="C58" i="54" s="1"/>
  <c r="B66" i="8" s="1"/>
  <c r="AL142" i="6"/>
  <c r="C134" i="54" s="1"/>
  <c r="B46" i="8" s="1"/>
  <c r="AL126" i="6"/>
  <c r="C118" i="54" s="1"/>
  <c r="B84" i="8" s="1"/>
  <c r="AL110" i="6"/>
  <c r="C102" i="54" s="1"/>
  <c r="B19" i="8" s="1"/>
  <c r="AL90" i="6"/>
  <c r="C82" i="54" s="1"/>
  <c r="B95" i="8" s="1"/>
  <c r="AL38" i="6"/>
  <c r="C30" i="54" s="1"/>
  <c r="B12" i="8" s="1"/>
  <c r="A65" i="54"/>
  <c r="A117" i="54"/>
  <c r="A12" i="54"/>
  <c r="A48" i="54"/>
  <c r="A112" i="54"/>
  <c r="A5" i="54"/>
  <c r="A149" i="54"/>
  <c r="A168" i="54"/>
  <c r="A163" i="54"/>
  <c r="A4" i="54"/>
  <c r="A73" i="54"/>
  <c r="A130" i="54"/>
  <c r="A191" i="54"/>
  <c r="A61" i="54"/>
  <c r="A80" i="54"/>
  <c r="A45" i="54"/>
  <c r="A55" i="54"/>
  <c r="A71" i="54"/>
  <c r="A87" i="54"/>
  <c r="A103" i="54"/>
  <c r="A119" i="54"/>
  <c r="A135" i="54"/>
  <c r="A26" i="54"/>
  <c r="A42" i="54"/>
  <c r="A58" i="54"/>
  <c r="A74" i="54"/>
  <c r="A90" i="54"/>
  <c r="A106" i="54"/>
  <c r="A122" i="54"/>
  <c r="A185" i="54"/>
  <c r="A159" i="54"/>
  <c r="A194" i="54"/>
  <c r="A19" i="54"/>
  <c r="A37" i="54"/>
  <c r="A113" i="54"/>
  <c r="A21" i="54"/>
  <c r="A68" i="54"/>
  <c r="A136" i="54"/>
  <c r="A17" i="54"/>
  <c r="A39" i="54"/>
  <c r="A190" i="54"/>
  <c r="A157" i="54"/>
  <c r="A160" i="54"/>
  <c r="A147" i="54"/>
  <c r="A146" i="54"/>
  <c r="A40" i="54"/>
  <c r="A179" i="54"/>
  <c r="A174" i="54"/>
  <c r="N2" i="6"/>
  <c r="I3" i="57"/>
  <c r="L180" i="54"/>
  <c r="L164" i="54"/>
  <c r="L148" i="54"/>
  <c r="L138" i="54"/>
  <c r="L130" i="54"/>
  <c r="L122" i="54"/>
  <c r="L114" i="54"/>
  <c r="L106" i="54"/>
  <c r="L100" i="54"/>
  <c r="L96" i="54"/>
  <c r="L92" i="54"/>
  <c r="L88" i="54"/>
  <c r="L84" i="54"/>
  <c r="L80" i="54"/>
  <c r="L76" i="54"/>
  <c r="L72" i="54"/>
  <c r="L68" i="54"/>
  <c r="L64" i="54"/>
  <c r="L60" i="54"/>
  <c r="L56" i="54"/>
  <c r="L52" i="54"/>
  <c r="L48" i="54"/>
  <c r="L44" i="54"/>
  <c r="L40" i="54"/>
  <c r="L36" i="54"/>
  <c r="L32" i="54"/>
  <c r="L28" i="54"/>
  <c r="L24" i="54"/>
  <c r="L20" i="54"/>
  <c r="L16" i="54"/>
  <c r="L12" i="54"/>
  <c r="L8" i="54"/>
  <c r="L4" i="54"/>
  <c r="L185" i="54"/>
  <c r="L169" i="54"/>
  <c r="L153" i="54"/>
  <c r="L194" i="54"/>
  <c r="L178" i="54"/>
  <c r="L162" i="54"/>
  <c r="L146" i="54"/>
  <c r="L135" i="54"/>
  <c r="L127" i="54"/>
  <c r="L119" i="54"/>
  <c r="L111" i="54"/>
  <c r="P2" i="54"/>
  <c r="L187" i="54"/>
  <c r="L175" i="54"/>
  <c r="L163" i="54"/>
  <c r="AL192" i="6"/>
  <c r="C184" i="54" s="1"/>
  <c r="B218" i="8" s="1"/>
  <c r="AL176" i="6"/>
  <c r="C168" i="54" s="1"/>
  <c r="B186" i="8" s="1"/>
  <c r="AL160" i="6"/>
  <c r="C152" i="54" s="1"/>
  <c r="B165" i="8" s="1"/>
  <c r="AL144" i="6"/>
  <c r="C136" i="54" s="1"/>
  <c r="B56" i="8" s="1"/>
  <c r="AL189" i="6"/>
  <c r="C181" i="54" s="1"/>
  <c r="B227" i="8" s="1"/>
  <c r="AL173" i="6"/>
  <c r="C165" i="54" s="1"/>
  <c r="B185" i="8" s="1"/>
  <c r="AL157" i="6"/>
  <c r="C149" i="54" s="1"/>
  <c r="B156" i="8" s="1"/>
  <c r="AL198" i="6"/>
  <c r="C190" i="54" s="1"/>
  <c r="B200" i="8" s="1"/>
  <c r="AL182" i="6"/>
  <c r="C174" i="54" s="1"/>
  <c r="B177" i="8" s="1"/>
  <c r="AL166" i="6"/>
  <c r="C158" i="54" s="1"/>
  <c r="B163" i="8" s="1"/>
  <c r="AL150" i="6"/>
  <c r="C142" i="54" s="1"/>
  <c r="B161" i="8" s="1"/>
  <c r="AL179" i="6"/>
  <c r="C171" i="54" s="1"/>
  <c r="B180" i="8" s="1"/>
  <c r="AL143" i="6"/>
  <c r="C135" i="54" s="1"/>
  <c r="B51" i="8" s="1"/>
  <c r="AL127" i="6"/>
  <c r="C119" i="54" s="1"/>
  <c r="B80" i="8" s="1"/>
  <c r="AL111" i="6"/>
  <c r="C103" i="54" s="1"/>
  <c r="B15" i="8" s="1"/>
  <c r="AL95" i="6"/>
  <c r="C87" i="54" s="1"/>
  <c r="B115" i="8" s="1"/>
  <c r="AL79" i="6"/>
  <c r="C71" i="54" s="1"/>
  <c r="B49" i="8" s="1"/>
  <c r="AL63" i="6"/>
  <c r="C55" i="54" s="1"/>
  <c r="B78" i="8" s="1"/>
  <c r="AL47" i="6"/>
  <c r="C39" i="54" s="1"/>
  <c r="B13" i="8" s="1"/>
  <c r="AL31" i="6"/>
  <c r="C23" i="54" s="1"/>
  <c r="B113" i="8" s="1"/>
  <c r="AL74" i="6"/>
  <c r="C66" i="54" s="1"/>
  <c r="B4" i="8" s="1"/>
  <c r="AL26" i="6"/>
  <c r="C18" i="54" s="1"/>
  <c r="B93" i="8" s="1"/>
  <c r="AL128" i="6"/>
  <c r="C120" i="54" s="1"/>
  <c r="B76" i="8" s="1"/>
  <c r="AL112" i="6"/>
  <c r="C104" i="54" s="1"/>
  <c r="B11" i="8" s="1"/>
  <c r="AL96" i="6"/>
  <c r="C88" i="54" s="1"/>
  <c r="B119" i="8" s="1"/>
  <c r="AL80" i="6"/>
  <c r="C72" i="54" s="1"/>
  <c r="B54" i="8" s="1"/>
  <c r="AL64" i="6"/>
  <c r="C56" i="54" s="1"/>
  <c r="B74" i="8" s="1"/>
  <c r="AL48" i="6"/>
  <c r="C40" i="54" s="1"/>
  <c r="B9" i="8" s="1"/>
  <c r="AL32" i="6"/>
  <c r="C24" i="54" s="1"/>
  <c r="B117" i="8" s="1"/>
  <c r="AL21" i="6"/>
  <c r="C13" i="54" s="1"/>
  <c r="B73" i="8" s="1"/>
  <c r="AL13" i="6"/>
  <c r="C5" i="54" s="1"/>
  <c r="B37" i="8" s="1"/>
  <c r="AL62" i="6"/>
  <c r="C54" i="54" s="1"/>
  <c r="B82" i="8" s="1"/>
  <c r="AL14" i="6"/>
  <c r="C6" i="54" s="1"/>
  <c r="B42" i="8" s="1"/>
  <c r="AL175" i="6"/>
  <c r="C167" i="54" s="1"/>
  <c r="B188" i="8" s="1"/>
  <c r="AL147" i="6"/>
  <c r="C139" i="54" s="1"/>
  <c r="B172" i="8" s="1"/>
  <c r="AL133" i="6"/>
  <c r="C125" i="54" s="1"/>
  <c r="B55" i="8" s="1"/>
  <c r="AL117" i="6"/>
  <c r="C109" i="54" s="1"/>
  <c r="B120" i="8" s="1"/>
  <c r="AL101" i="6"/>
  <c r="C93" i="54" s="1"/>
  <c r="B10" i="8" s="1"/>
  <c r="AL85" i="6"/>
  <c r="C77" i="54" s="1"/>
  <c r="B75" i="8" s="1"/>
  <c r="AL69" i="6"/>
  <c r="C61" i="54" s="1"/>
  <c r="B53" i="8" s="1"/>
  <c r="AL53" i="6"/>
  <c r="C45" i="54" s="1"/>
  <c r="B118" i="8" s="1"/>
  <c r="AL37" i="6"/>
  <c r="C29" i="54" s="1"/>
  <c r="B8" i="8" s="1"/>
  <c r="AL22" i="6"/>
  <c r="C14" i="54" s="1"/>
  <c r="B77" i="8" s="1"/>
  <c r="AL138" i="6"/>
  <c r="C130" i="54" s="1"/>
  <c r="B6" i="8" s="1"/>
  <c r="AL122" i="6"/>
  <c r="C114" i="54" s="1"/>
  <c r="B100" i="8" s="1"/>
  <c r="AL106" i="6"/>
  <c r="C98" i="54" s="1"/>
  <c r="B30" i="8" s="1"/>
  <c r="AL86" i="6"/>
  <c r="C78" i="54" s="1"/>
  <c r="B79" i="8" s="1"/>
  <c r="AL30" i="6"/>
  <c r="C22" i="54" s="1"/>
  <c r="B109" i="8" s="1"/>
  <c r="A93" i="54"/>
  <c r="A125" i="54"/>
  <c r="A41" i="54"/>
  <c r="A60" i="54"/>
  <c r="A128" i="54"/>
  <c r="A9" i="54"/>
  <c r="A165" i="54"/>
  <c r="A184" i="54"/>
  <c r="A175" i="54"/>
  <c r="A52" i="54"/>
  <c r="A23" i="54"/>
  <c r="A161" i="54"/>
  <c r="A8" i="54"/>
  <c r="A20" i="54"/>
  <c r="A92" i="54"/>
  <c r="A85" i="54"/>
  <c r="A59" i="54"/>
  <c r="A75" i="54"/>
  <c r="A91" i="54"/>
  <c r="A107" i="54"/>
  <c r="A123" i="54"/>
  <c r="A10" i="54"/>
  <c r="A30" i="54"/>
  <c r="A46" i="54"/>
  <c r="A62" i="54"/>
  <c r="A78" i="54"/>
  <c r="A94" i="54"/>
  <c r="A110" i="54"/>
  <c r="A137" i="54"/>
  <c r="A156" i="54"/>
  <c r="A187" i="54"/>
  <c r="A28" i="54"/>
  <c r="A158" i="54"/>
  <c r="A89" i="54"/>
  <c r="A121" i="54"/>
  <c r="A81" i="54"/>
  <c r="A88" i="54"/>
  <c r="A57" i="54"/>
  <c r="A27" i="54"/>
  <c r="A43" i="54"/>
  <c r="A16" i="54"/>
  <c r="A173" i="54"/>
  <c r="A176" i="54"/>
  <c r="A155" i="54"/>
  <c r="A162" i="54"/>
  <c r="A76" i="54"/>
  <c r="A132" i="54"/>
  <c r="A18" i="54"/>
  <c r="BX11" i="42"/>
  <c r="CA11" i="42"/>
  <c r="BW9" i="11"/>
  <c r="BY9" i="11"/>
  <c r="BX9" i="11"/>
  <c r="BX7" i="26"/>
  <c r="BW7" i="26"/>
  <c r="AS10" i="15"/>
  <c r="AS10" i="14"/>
  <c r="AS7" i="11"/>
  <c r="AS9" i="34"/>
  <c r="CA7" i="17"/>
  <c r="BW7" i="17"/>
  <c r="BZ7" i="17"/>
  <c r="BX7" i="17"/>
  <c r="BZ9" i="22"/>
  <c r="BY9" i="22"/>
  <c r="BX8" i="37"/>
  <c r="CA8" i="37"/>
  <c r="BY8" i="37"/>
  <c r="AS10" i="11"/>
  <c r="AS8" i="42"/>
  <c r="AS6" i="36"/>
  <c r="AS11" i="10"/>
  <c r="AS9" i="16"/>
  <c r="BY11" i="18"/>
  <c r="CA11" i="18"/>
  <c r="AS7" i="12"/>
  <c r="CA11" i="17"/>
  <c r="BW11" i="17"/>
  <c r="BZ11" i="17"/>
  <c r="BX11" i="17"/>
  <c r="BZ7" i="30"/>
  <c r="BV7" i="30"/>
  <c r="CA7" i="30"/>
  <c r="BW7" i="30"/>
  <c r="BX8" i="15"/>
  <c r="CA8" i="15"/>
  <c r="BZ8" i="15"/>
  <c r="BV8" i="15"/>
  <c r="AS6" i="34"/>
  <c r="AS6" i="26"/>
  <c r="BZ6" i="13"/>
  <c r="BV6" i="13"/>
  <c r="AS10" i="16"/>
  <c r="BX11" i="14"/>
  <c r="CA11" i="14"/>
  <c r="AS8" i="24"/>
  <c r="AS6" i="41"/>
  <c r="BX6" i="15"/>
  <c r="CA6" i="15"/>
  <c r="BW6" i="15"/>
  <c r="BZ6" i="15"/>
  <c r="BV6" i="15"/>
  <c r="CA6" i="16"/>
  <c r="BV6" i="16"/>
  <c r="BY6" i="16"/>
  <c r="AS7" i="14"/>
  <c r="AS10" i="24"/>
  <c r="AS11" i="41"/>
  <c r="AS7" i="42"/>
  <c r="BW11" i="42" s="1"/>
  <c r="AS7" i="36"/>
  <c r="BX11" i="15"/>
  <c r="CA11" i="15"/>
  <c r="BZ11" i="15"/>
  <c r="BV11" i="15"/>
  <c r="BZ10" i="17"/>
  <c r="BX10" i="17"/>
  <c r="CA10" i="17"/>
  <c r="BW10" i="17"/>
  <c r="AS9" i="20"/>
  <c r="AS6" i="24"/>
  <c r="BW7" i="19"/>
  <c r="AS10" i="10"/>
  <c r="AS10" i="26"/>
  <c r="BZ8" i="26" s="1"/>
  <c r="BY6" i="12"/>
  <c r="BW6" i="12"/>
  <c r="BV6" i="12"/>
  <c r="BY9" i="41"/>
  <c r="BX9" i="41"/>
  <c r="BV9" i="41"/>
  <c r="BX8" i="10"/>
  <c r="BV9" i="12"/>
  <c r="BY9" i="12"/>
  <c r="BW9" i="12"/>
  <c r="BX8" i="26"/>
  <c r="BW8" i="26"/>
  <c r="AS10" i="36"/>
  <c r="AS8" i="16"/>
  <c r="BZ10" i="35"/>
  <c r="BX6" i="21"/>
  <c r="BZ6" i="21"/>
  <c r="BV6" i="21"/>
  <c r="BY6" i="21"/>
  <c r="AS6" i="11"/>
  <c r="BV9" i="11" s="1"/>
  <c r="AS9" i="42"/>
  <c r="BY11" i="42" s="1"/>
  <c r="BW10" i="27"/>
  <c r="BZ10" i="27"/>
  <c r="BX10" i="27"/>
  <c r="AS7" i="29"/>
  <c r="BX10" i="21"/>
  <c r="BZ10" i="21"/>
  <c r="BV10" i="21"/>
  <c r="AS8" i="34"/>
  <c r="AS11" i="12"/>
  <c r="CA6" i="12" s="1"/>
  <c r="AS11" i="16"/>
  <c r="BY10" i="30"/>
  <c r="CA10" i="30"/>
  <c r="BW10" i="30"/>
  <c r="BV10" i="30"/>
  <c r="BZ10" i="30"/>
  <c r="AS7" i="41"/>
  <c r="AS10" i="12"/>
  <c r="AS7" i="34"/>
  <c r="AS6" i="23"/>
  <c r="BZ8" i="17"/>
  <c r="BX8" i="17"/>
  <c r="CA8" i="17"/>
  <c r="BW8" i="17"/>
  <c r="AS11" i="13"/>
  <c r="AS7" i="15"/>
  <c r="BW11" i="15" s="1"/>
  <c r="AS9" i="15"/>
  <c r="BY6" i="15" s="1"/>
  <c r="AS7" i="25"/>
  <c r="BL33" i="32"/>
  <c r="AM8" i="32" s="1"/>
  <c r="AS6" i="38"/>
  <c r="BL50" i="33"/>
  <c r="AO7" i="33" s="1"/>
  <c r="BD42" i="33"/>
  <c r="AI8" i="33" s="1"/>
  <c r="AS8" i="33" s="1"/>
  <c r="AS10" i="31"/>
  <c r="BD23" i="33"/>
  <c r="AG7" i="33" s="1"/>
  <c r="AS9" i="13"/>
  <c r="BY6" i="13" s="1"/>
  <c r="AS7" i="22"/>
  <c r="BW9" i="22" s="1"/>
  <c r="BD54" i="32"/>
  <c r="AJ11" i="32" s="1"/>
  <c r="AS9" i="25"/>
  <c r="AS10" i="19"/>
  <c r="AS6" i="20"/>
  <c r="BD27" i="32"/>
  <c r="AG11" i="32" s="1"/>
  <c r="AS8" i="13"/>
  <c r="BX10" i="13" s="1"/>
  <c r="BD35" i="33"/>
  <c r="AH10" i="33" s="1"/>
  <c r="BL36" i="32"/>
  <c r="AM11" i="32" s="1"/>
  <c r="AS9" i="38"/>
  <c r="AS6" i="14"/>
  <c r="BD26" i="32"/>
  <c r="AG10" i="32" s="1"/>
  <c r="AS11" i="21"/>
  <c r="CA10" i="21" s="1"/>
  <c r="AS6" i="30"/>
  <c r="AS6" i="40"/>
  <c r="BD43" i="32"/>
  <c r="AI9" i="32" s="1"/>
  <c r="AS9" i="27"/>
  <c r="AS8" i="25"/>
  <c r="AS8" i="36"/>
  <c r="BL24" i="32"/>
  <c r="AL8" i="32" s="1"/>
  <c r="BD32" i="33"/>
  <c r="AH7" i="33" s="1"/>
  <c r="AS8" i="27"/>
  <c r="AS7" i="38"/>
  <c r="AS6" i="18"/>
  <c r="AS11" i="31"/>
  <c r="CA7" i="31" s="1"/>
  <c r="BL25" i="33"/>
  <c r="AL9" i="33" s="1"/>
  <c r="AS11" i="23"/>
  <c r="CA7" i="23" s="1"/>
  <c r="AS9" i="18"/>
  <c r="AS9" i="17"/>
  <c r="AS9" i="35"/>
  <c r="BY10" i="35" s="1"/>
  <c r="BD42" i="32"/>
  <c r="AI8" i="32" s="1"/>
  <c r="BL52" i="32"/>
  <c r="AO9" i="32" s="1"/>
  <c r="BZ8" i="39"/>
  <c r="BX8" i="39"/>
  <c r="BW8" i="39"/>
  <c r="AS11" i="26"/>
  <c r="CA7" i="26" s="1"/>
  <c r="BW7" i="23"/>
  <c r="BV7" i="23"/>
  <c r="BX7" i="23"/>
  <c r="AS7" i="10"/>
  <c r="BW8" i="10" s="1"/>
  <c r="AS11" i="28"/>
  <c r="AS7" i="20"/>
  <c r="AS11" i="11"/>
  <c r="CA9" i="11" s="1"/>
  <c r="AS7" i="18"/>
  <c r="BW11" i="18" s="1"/>
  <c r="AS10" i="42"/>
  <c r="AS10" i="40"/>
  <c r="BD22" i="32"/>
  <c r="AG6" i="32" s="1"/>
  <c r="AS8" i="11"/>
  <c r="BL31" i="32"/>
  <c r="AM6" i="32" s="1"/>
  <c r="BD50" i="33"/>
  <c r="AJ7" i="33" s="1"/>
  <c r="BD53" i="33"/>
  <c r="AJ10" i="33" s="1"/>
  <c r="BL23" i="33"/>
  <c r="AL7" i="33" s="1"/>
  <c r="AS9" i="14"/>
  <c r="AS11" i="19"/>
  <c r="AS10" i="20"/>
  <c r="AS10" i="22"/>
  <c r="AS8" i="40"/>
  <c r="BL25" i="32"/>
  <c r="AL9" i="32" s="1"/>
  <c r="BL35" i="33"/>
  <c r="AM10" i="33" s="1"/>
  <c r="CA10" i="13"/>
  <c r="BZ10" i="13"/>
  <c r="BV10" i="13"/>
  <c r="BY10" i="13"/>
  <c r="AS6" i="37"/>
  <c r="BV8" i="37" s="1"/>
  <c r="BD36" i="32"/>
  <c r="AH11" i="32" s="1"/>
  <c r="AS11" i="29"/>
  <c r="BL26" i="32"/>
  <c r="AL10" i="32" s="1"/>
  <c r="AS6" i="31"/>
  <c r="AS9" i="19"/>
  <c r="AS7" i="37"/>
  <c r="BL45" i="32"/>
  <c r="AN11" i="32" s="1"/>
  <c r="BL50" i="32"/>
  <c r="AO7" i="32" s="1"/>
  <c r="AS9" i="39"/>
  <c r="BY8" i="39" s="1"/>
  <c r="BD24" i="32"/>
  <c r="AG8" i="32" s="1"/>
  <c r="AS6" i="22"/>
  <c r="BD31" i="33"/>
  <c r="AH6" i="33" s="1"/>
  <c r="AS7" i="28"/>
  <c r="AS9" i="29"/>
  <c r="BL40" i="33"/>
  <c r="AN6" i="33" s="1"/>
  <c r="BD25" i="33"/>
  <c r="AG9" i="33" s="1"/>
  <c r="AS9" i="33" s="1"/>
  <c r="BY11" i="33" s="1"/>
  <c r="AS9" i="28"/>
  <c r="BL41" i="32"/>
  <c r="AN7" i="32" s="1"/>
  <c r="AS8" i="22"/>
  <c r="BD52" i="32"/>
  <c r="AJ9" i="32" s="1"/>
  <c r="AS9" i="32" s="1"/>
  <c r="CA11" i="33"/>
  <c r="AS8" i="20"/>
  <c r="BX8" i="21"/>
  <c r="BZ8" i="21"/>
  <c r="BV8" i="21"/>
  <c r="AS11" i="34"/>
  <c r="AS7" i="24"/>
  <c r="BX7" i="27"/>
  <c r="BW7" i="27"/>
  <c r="BZ7" i="27"/>
  <c r="BV7" i="27"/>
  <c r="AS11" i="24"/>
  <c r="AS8" i="12"/>
  <c r="BD31" i="32"/>
  <c r="AH6" i="32" s="1"/>
  <c r="BL26" i="33"/>
  <c r="AL10" i="33" s="1"/>
  <c r="AS9" i="23"/>
  <c r="BY7" i="23" s="1"/>
  <c r="AS9" i="26"/>
  <c r="BZ10" i="39"/>
  <c r="BX10" i="39"/>
  <c r="BW10" i="39"/>
  <c r="AS8" i="30"/>
  <c r="AS9" i="24"/>
  <c r="AS7" i="21"/>
  <c r="AS10" i="25"/>
  <c r="AS10" i="29"/>
  <c r="AS11" i="20"/>
  <c r="AS11" i="38"/>
  <c r="BW7" i="39"/>
  <c r="BZ7" i="39"/>
  <c r="BY7" i="39"/>
  <c r="BX7" i="39"/>
  <c r="AS11" i="25"/>
  <c r="AS10" i="38"/>
  <c r="AS8" i="18"/>
  <c r="BD22" i="33"/>
  <c r="AG6" i="33" s="1"/>
  <c r="AS6" i="28"/>
  <c r="BV8" i="28" s="1"/>
  <c r="AS6" i="42"/>
  <c r="BV11" i="42" s="1"/>
  <c r="BD45" i="32"/>
  <c r="AI11" i="32" s="1"/>
  <c r="BD50" i="32"/>
  <c r="AJ7" i="32" s="1"/>
  <c r="AS6" i="17"/>
  <c r="AS8" i="35"/>
  <c r="AS6" i="29"/>
  <c r="BL23" i="32"/>
  <c r="AL7" i="32" s="1"/>
  <c r="BL31" i="33"/>
  <c r="AM6" i="33" s="1"/>
  <c r="BL44" i="33"/>
  <c r="AN10" i="33" s="1"/>
  <c r="BL32" i="32"/>
  <c r="AM7" i="32" s="1"/>
  <c r="AS8" i="38"/>
  <c r="BD40" i="33"/>
  <c r="AI6" i="33" s="1"/>
  <c r="AS10" i="41"/>
  <c r="BZ9" i="41" s="1"/>
  <c r="AS7" i="40"/>
  <c r="AS10" i="23"/>
  <c r="AS7" i="35"/>
  <c r="BW10" i="35" s="1"/>
  <c r="AS9" i="21"/>
  <c r="BY10" i="21" s="1"/>
  <c r="BD41" i="32"/>
  <c r="AI7" i="32" s="1"/>
  <c r="AS11" i="37"/>
  <c r="BL53" i="32"/>
  <c r="AO10" i="32" s="1"/>
  <c r="BW7" i="31"/>
  <c r="BZ7" i="31"/>
  <c r="BZ11" i="30"/>
  <c r="BV11" i="30"/>
  <c r="BY11" i="30"/>
  <c r="BX11" i="30"/>
  <c r="CA11" i="30"/>
  <c r="BW11" i="30"/>
  <c r="AS6" i="27"/>
  <c r="BV10" i="27" s="1"/>
  <c r="AS11" i="36"/>
  <c r="AS10" i="34"/>
  <c r="BY9" i="37"/>
  <c r="BX9" i="37"/>
  <c r="CA9" i="37"/>
  <c r="BW9" i="37"/>
  <c r="BZ9" i="37"/>
  <c r="BV9" i="37"/>
  <c r="AS6" i="35"/>
  <c r="AS7" i="13"/>
  <c r="CA8" i="28"/>
  <c r="BW8" i="28"/>
  <c r="BY8" i="28"/>
  <c r="BX8" i="28"/>
  <c r="BD33" i="32"/>
  <c r="AH8" i="32" s="1"/>
  <c r="AS8" i="14"/>
  <c r="AS6" i="39"/>
  <c r="AS11" i="27"/>
  <c r="CA10" i="27" s="1"/>
  <c r="BD26" i="33"/>
  <c r="AG10" i="33" s="1"/>
  <c r="AS10" i="18"/>
  <c r="AS8" i="19"/>
  <c r="BX7" i="19" s="1"/>
  <c r="AS7" i="16"/>
  <c r="AS9" i="30"/>
  <c r="BL54" i="32"/>
  <c r="AO11" i="32" s="1"/>
  <c r="BL27" i="32"/>
  <c r="AL11" i="32" s="1"/>
  <c r="AS6" i="10"/>
  <c r="BV8" i="10" s="1"/>
  <c r="AS11" i="22"/>
  <c r="AS8" i="41"/>
  <c r="AS9" i="36"/>
  <c r="AS9" i="10"/>
  <c r="AS8" i="31"/>
  <c r="BL22" i="33"/>
  <c r="AL6" i="33" s="1"/>
  <c r="AS8" i="23"/>
  <c r="AS10" i="37"/>
  <c r="AS11" i="35"/>
  <c r="CA10" i="35" s="1"/>
  <c r="BL43" i="32"/>
  <c r="AN9" i="32" s="1"/>
  <c r="AS9" i="40"/>
  <c r="AS6" i="25"/>
  <c r="BZ8" i="29"/>
  <c r="BV8" i="29"/>
  <c r="BY8" i="29"/>
  <c r="BX8" i="29"/>
  <c r="BW8" i="29"/>
  <c r="CA8" i="29"/>
  <c r="BD23" i="32"/>
  <c r="AG7" i="32" s="1"/>
  <c r="BL32" i="33"/>
  <c r="AM7" i="33" s="1"/>
  <c r="BD44" i="33"/>
  <c r="AI10" i="33" s="1"/>
  <c r="BD32" i="32"/>
  <c r="AH7" i="32" s="1"/>
  <c r="AS9" i="31"/>
  <c r="AS11" i="40"/>
  <c r="AS11" i="39"/>
  <c r="BL42" i="32"/>
  <c r="AN8" i="32" s="1"/>
  <c r="AS6" i="19"/>
  <c r="AS10" i="28"/>
  <c r="BD53" i="32"/>
  <c r="AJ10" i="32" s="1"/>
  <c r="D76" i="54" l="1"/>
  <c r="B76" i="54"/>
  <c r="A71" i="8" s="1"/>
  <c r="C71" i="8" s="1"/>
  <c r="E76" i="54"/>
  <c r="D173" i="54"/>
  <c r="B173" i="54"/>
  <c r="A178" i="8" s="1"/>
  <c r="C178" i="8" s="1"/>
  <c r="E173" i="54"/>
  <c r="E57" i="54"/>
  <c r="D57" i="54"/>
  <c r="B57" i="54"/>
  <c r="A70" i="8" s="1"/>
  <c r="C70" i="8" s="1"/>
  <c r="E89" i="54"/>
  <c r="D89" i="54"/>
  <c r="B89" i="54"/>
  <c r="A123" i="8" s="1"/>
  <c r="C123" i="8" s="1"/>
  <c r="B156" i="54"/>
  <c r="A170" i="8" s="1"/>
  <c r="C170" i="8" s="1"/>
  <c r="E156" i="54"/>
  <c r="D156" i="54"/>
  <c r="D78" i="54"/>
  <c r="B78" i="54"/>
  <c r="A79" i="8" s="1"/>
  <c r="C79" i="8" s="1"/>
  <c r="E78" i="54"/>
  <c r="D75" i="54"/>
  <c r="B75" i="54"/>
  <c r="A67" i="8" s="1"/>
  <c r="C67" i="8" s="1"/>
  <c r="E75" i="54"/>
  <c r="D20" i="54"/>
  <c r="B20" i="54"/>
  <c r="A101" i="8" s="1"/>
  <c r="C101" i="8" s="1"/>
  <c r="E20" i="54"/>
  <c r="D52" i="54"/>
  <c r="B52" i="54"/>
  <c r="A90" i="8" s="1"/>
  <c r="C90" i="8" s="1"/>
  <c r="E52" i="54"/>
  <c r="E125" i="54"/>
  <c r="D125" i="54"/>
  <c r="B125" i="54"/>
  <c r="A55" i="8" s="1"/>
  <c r="C55" i="8" s="1"/>
  <c r="B174" i="54"/>
  <c r="A177" i="8" s="1"/>
  <c r="C177" i="8" s="1"/>
  <c r="E174" i="54"/>
  <c r="D174" i="54"/>
  <c r="B147" i="54"/>
  <c r="A150" i="8" s="1"/>
  <c r="C150" i="8" s="1"/>
  <c r="E147" i="54"/>
  <c r="D147" i="54"/>
  <c r="D39" i="54"/>
  <c r="B39" i="54"/>
  <c r="A13" i="8" s="1"/>
  <c r="C13" i="8" s="1"/>
  <c r="E39" i="54"/>
  <c r="E21" i="54"/>
  <c r="D21" i="54"/>
  <c r="B21" i="54"/>
  <c r="A105" i="8" s="1"/>
  <c r="C105" i="8" s="1"/>
  <c r="D194" i="54"/>
  <c r="B194" i="54"/>
  <c r="A191" i="8" s="1"/>
  <c r="C191" i="8" s="1"/>
  <c r="E194" i="54"/>
  <c r="D106" i="54"/>
  <c r="B106" i="54"/>
  <c r="A132" i="8" s="1"/>
  <c r="C132" i="8" s="1"/>
  <c r="E106" i="54"/>
  <c r="E42" i="54"/>
  <c r="D42" i="54"/>
  <c r="B42" i="54"/>
  <c r="A130" i="8" s="1"/>
  <c r="C130" i="8" s="1"/>
  <c r="E103" i="54"/>
  <c r="D103" i="54"/>
  <c r="B103" i="54"/>
  <c r="A15" i="8" s="1"/>
  <c r="C15" i="8" s="1"/>
  <c r="E45" i="54"/>
  <c r="D45" i="54"/>
  <c r="B45" i="54"/>
  <c r="A118" i="8" s="1"/>
  <c r="C118" i="8" s="1"/>
  <c r="D130" i="54"/>
  <c r="B130" i="54"/>
  <c r="A6" i="8" s="1"/>
  <c r="C6" i="8" s="1"/>
  <c r="E130" i="54"/>
  <c r="E168" i="54"/>
  <c r="D168" i="54"/>
  <c r="B168" i="54"/>
  <c r="A186" i="8" s="1"/>
  <c r="C186" i="8" s="1"/>
  <c r="D48" i="54"/>
  <c r="B48" i="54"/>
  <c r="A106" i="8" s="1"/>
  <c r="C106" i="8" s="1"/>
  <c r="E48" i="54"/>
  <c r="B33" i="54"/>
  <c r="A24" i="8" s="1"/>
  <c r="C24" i="8" s="1"/>
  <c r="E33" i="54"/>
  <c r="D33" i="54"/>
  <c r="E141" i="54"/>
  <c r="D141" i="54"/>
  <c r="B141" i="54"/>
  <c r="A164" i="8" s="1"/>
  <c r="C164" i="8" s="1"/>
  <c r="B120" i="54"/>
  <c r="A76" i="8" s="1"/>
  <c r="C76" i="8" s="1"/>
  <c r="E120" i="54"/>
  <c r="D120" i="54"/>
  <c r="B164" i="54"/>
  <c r="A183" i="8" s="1"/>
  <c r="C183" i="8" s="1"/>
  <c r="E164" i="54"/>
  <c r="D164" i="54"/>
  <c r="B169" i="54"/>
  <c r="A184" i="8" s="1"/>
  <c r="C184" i="8" s="1"/>
  <c r="E169" i="54"/>
  <c r="D169" i="54"/>
  <c r="D70" i="54"/>
  <c r="B70" i="54"/>
  <c r="A44" i="8" s="1"/>
  <c r="C44" i="8" s="1"/>
  <c r="E70" i="54"/>
  <c r="B131" i="54"/>
  <c r="A7" i="8" s="1"/>
  <c r="C7" i="8" s="1"/>
  <c r="E131" i="54"/>
  <c r="D131" i="54"/>
  <c r="D67" i="54"/>
  <c r="B67" i="54"/>
  <c r="A5" i="8" s="1"/>
  <c r="C5" i="8" s="1"/>
  <c r="E67" i="54"/>
  <c r="E178" i="54"/>
  <c r="D178" i="54"/>
  <c r="B178" i="54"/>
  <c r="A189" i="8" s="1"/>
  <c r="C189" i="8" s="1"/>
  <c r="B77" i="54"/>
  <c r="A75" i="8" s="1"/>
  <c r="C75" i="8" s="1"/>
  <c r="E77" i="54"/>
  <c r="D77" i="54"/>
  <c r="E109" i="54"/>
  <c r="D109" i="54"/>
  <c r="B109" i="54"/>
  <c r="A120" i="8" s="1"/>
  <c r="C120" i="8" s="1"/>
  <c r="D192" i="54"/>
  <c r="B192" i="54"/>
  <c r="A195" i="8" s="1"/>
  <c r="C195" i="8" s="1"/>
  <c r="E192" i="54"/>
  <c r="E31" i="54"/>
  <c r="D31" i="54"/>
  <c r="B31" i="54"/>
  <c r="A16" i="8" s="1"/>
  <c r="C16" i="8" s="1"/>
  <c r="E129" i="54"/>
  <c r="D129" i="54"/>
  <c r="B129" i="54"/>
  <c r="A35" i="8" s="1"/>
  <c r="C35" i="8" s="1"/>
  <c r="E154" i="54"/>
  <c r="D154" i="54"/>
  <c r="B154" i="54"/>
  <c r="A173" i="8" s="1"/>
  <c r="C173" i="8" s="1"/>
  <c r="B98" i="54"/>
  <c r="A30" i="8" s="1"/>
  <c r="C30" i="8" s="1"/>
  <c r="E98" i="54"/>
  <c r="D98" i="54"/>
  <c r="B34" i="54"/>
  <c r="A28" i="8" s="1"/>
  <c r="C28" i="8" s="1"/>
  <c r="E34" i="54"/>
  <c r="D34" i="54"/>
  <c r="B95" i="54"/>
  <c r="A18" i="8" s="1"/>
  <c r="C18" i="8" s="1"/>
  <c r="E95" i="54"/>
  <c r="D95" i="54"/>
  <c r="B108" i="54"/>
  <c r="A124" i="8" s="1"/>
  <c r="C124" i="8" s="1"/>
  <c r="E108" i="54"/>
  <c r="D108" i="54"/>
  <c r="B150" i="54"/>
  <c r="A159" i="8" s="1"/>
  <c r="C159" i="8" s="1"/>
  <c r="E150" i="54"/>
  <c r="D150" i="54"/>
  <c r="B181" i="54"/>
  <c r="A227" i="8" s="1"/>
  <c r="C227" i="8" s="1"/>
  <c r="E181" i="54"/>
  <c r="D181" i="54"/>
  <c r="E24" i="54"/>
  <c r="B24" i="54"/>
  <c r="A117" i="8" s="1"/>
  <c r="C117" i="8" s="1"/>
  <c r="D24" i="54"/>
  <c r="B162" i="54"/>
  <c r="A151" i="8" s="1"/>
  <c r="C151" i="8" s="1"/>
  <c r="E162" i="54"/>
  <c r="D162" i="54"/>
  <c r="D88" i="54"/>
  <c r="B88" i="54"/>
  <c r="A119" i="8" s="1"/>
  <c r="C119" i="8" s="1"/>
  <c r="E88" i="54"/>
  <c r="B158" i="54"/>
  <c r="A163" i="8" s="1"/>
  <c r="C163" i="8" s="1"/>
  <c r="E158" i="54"/>
  <c r="D158" i="54"/>
  <c r="B137" i="54"/>
  <c r="A167" i="8" s="1"/>
  <c r="C167" i="8" s="1"/>
  <c r="E137" i="54"/>
  <c r="D137" i="54"/>
  <c r="D62" i="54"/>
  <c r="B62" i="54"/>
  <c r="A48" i="8" s="1"/>
  <c r="C48" i="8" s="1"/>
  <c r="E62" i="54"/>
  <c r="B123" i="54"/>
  <c r="A64" i="8" s="1"/>
  <c r="C64" i="8" s="1"/>
  <c r="E123" i="54"/>
  <c r="D123" i="54"/>
  <c r="E59" i="54"/>
  <c r="D59" i="54"/>
  <c r="B59" i="54"/>
  <c r="A62" i="8" s="1"/>
  <c r="C62" i="8" s="1"/>
  <c r="B175" i="54"/>
  <c r="A176" i="8" s="1"/>
  <c r="C176" i="8" s="1"/>
  <c r="E175" i="54"/>
  <c r="D175" i="54"/>
  <c r="E128" i="54"/>
  <c r="D128" i="54"/>
  <c r="B128" i="54"/>
  <c r="A40" i="8" s="1"/>
  <c r="C40" i="8" s="1"/>
  <c r="E93" i="54"/>
  <c r="D93" i="54"/>
  <c r="B93" i="54"/>
  <c r="A10" i="8" s="1"/>
  <c r="C10" i="8" s="1"/>
  <c r="AC2" i="54"/>
  <c r="AD2" i="54" s="1"/>
  <c r="AE2" i="54" s="1"/>
  <c r="W2" i="54"/>
  <c r="X2" i="54" s="1"/>
  <c r="Y2" i="54" s="1"/>
  <c r="Q2" i="54"/>
  <c r="AF2" i="54"/>
  <c r="Z2" i="54"/>
  <c r="T2" i="54"/>
  <c r="U2" i="54" s="1"/>
  <c r="V2" i="54" s="1"/>
  <c r="B179" i="54"/>
  <c r="A233" i="8" s="1"/>
  <c r="C233" i="8" s="1"/>
  <c r="E179" i="54"/>
  <c r="D179" i="54"/>
  <c r="B160" i="54"/>
  <c r="A157" i="8" s="1"/>
  <c r="C157" i="8" s="1"/>
  <c r="E160" i="54"/>
  <c r="D160" i="54"/>
  <c r="B113" i="54"/>
  <c r="A104" i="8" s="1"/>
  <c r="C104" i="8" s="1"/>
  <c r="E113" i="54"/>
  <c r="D113" i="54"/>
  <c r="B159" i="54"/>
  <c r="A160" i="8" s="1"/>
  <c r="C160" i="8" s="1"/>
  <c r="E159" i="54"/>
  <c r="D159" i="54"/>
  <c r="D90" i="54"/>
  <c r="B90" i="54"/>
  <c r="A127" i="8" s="1"/>
  <c r="C127" i="8" s="1"/>
  <c r="E90" i="54"/>
  <c r="D26" i="54"/>
  <c r="B26" i="54"/>
  <c r="A125" i="8" s="1"/>
  <c r="C125" i="8" s="1"/>
  <c r="E26" i="54"/>
  <c r="D87" i="54"/>
  <c r="B87" i="54"/>
  <c r="A115" i="8" s="1"/>
  <c r="C115" i="8" s="1"/>
  <c r="E87" i="54"/>
  <c r="D80" i="54"/>
  <c r="B80" i="54"/>
  <c r="A87" i="8" s="1"/>
  <c r="C87" i="8" s="1"/>
  <c r="E80" i="54"/>
  <c r="D73" i="54"/>
  <c r="B73" i="54"/>
  <c r="A59" i="8" s="1"/>
  <c r="C59" i="8" s="1"/>
  <c r="E73" i="54"/>
  <c r="D149" i="54"/>
  <c r="B149" i="54"/>
  <c r="A156" i="8" s="1"/>
  <c r="C156" i="8" s="1"/>
  <c r="E149" i="54"/>
  <c r="D148" i="54"/>
  <c r="B148" i="54"/>
  <c r="A153" i="8" s="1"/>
  <c r="C153" i="8" s="1"/>
  <c r="E148" i="54"/>
  <c r="D183" i="54"/>
  <c r="B183" i="54"/>
  <c r="A221" i="8" s="1"/>
  <c r="C221" i="8" s="1"/>
  <c r="E183" i="54"/>
  <c r="E51" i="54"/>
  <c r="D51" i="54"/>
  <c r="B51" i="54"/>
  <c r="A94" i="8" s="1"/>
  <c r="C94" i="8" s="1"/>
  <c r="B56" i="54"/>
  <c r="A74" i="8" s="1"/>
  <c r="C74" i="8" s="1"/>
  <c r="E56" i="54"/>
  <c r="D56" i="54"/>
  <c r="B118" i="54"/>
  <c r="A84" i="8" s="1"/>
  <c r="C84" i="8" s="1"/>
  <c r="E118" i="54"/>
  <c r="D118" i="54"/>
  <c r="D54" i="54"/>
  <c r="B54" i="54"/>
  <c r="A82" i="8" s="1"/>
  <c r="C82" i="8" s="1"/>
  <c r="E54" i="54"/>
  <c r="B115" i="54"/>
  <c r="A96" i="8" s="1"/>
  <c r="C96" i="8" s="1"/>
  <c r="E115" i="54"/>
  <c r="D115" i="54"/>
  <c r="D167" i="54"/>
  <c r="B167" i="54"/>
  <c r="A188" i="8" s="1"/>
  <c r="C188" i="8" s="1"/>
  <c r="E167" i="54"/>
  <c r="D151" i="54"/>
  <c r="B151" i="54"/>
  <c r="A162" i="8" s="1"/>
  <c r="C162" i="8" s="1"/>
  <c r="E151" i="54"/>
  <c r="E96" i="54"/>
  <c r="D96" i="54"/>
  <c r="B96" i="54"/>
  <c r="A22" i="8" s="1"/>
  <c r="C22" i="8" s="1"/>
  <c r="B166" i="54"/>
  <c r="A187" i="8" s="1"/>
  <c r="C187" i="8" s="1"/>
  <c r="E166" i="54"/>
  <c r="D166" i="54"/>
  <c r="B189" i="54"/>
  <c r="A203" i="8" s="1"/>
  <c r="C203" i="8" s="1"/>
  <c r="E189" i="54"/>
  <c r="D189" i="54"/>
  <c r="AH185" i="6"/>
  <c r="AH169" i="6"/>
  <c r="AH153" i="6"/>
  <c r="AH143" i="6"/>
  <c r="AH179" i="6"/>
  <c r="AH78" i="6"/>
  <c r="AH38" i="6"/>
  <c r="AH82" i="6"/>
  <c r="AH199" i="6"/>
  <c r="AH167" i="6"/>
  <c r="AH138" i="6"/>
  <c r="AH122" i="6"/>
  <c r="AH106" i="6"/>
  <c r="AH66" i="6"/>
  <c r="AH85" i="6"/>
  <c r="AH109" i="6"/>
  <c r="AH32" i="6"/>
  <c r="AH188" i="6"/>
  <c r="AH77" i="6"/>
  <c r="AH93" i="6"/>
  <c r="AH162" i="6"/>
  <c r="AH194" i="6"/>
  <c r="AH57" i="6"/>
  <c r="AH137" i="6"/>
  <c r="AH174" i="6"/>
  <c r="AH152" i="6"/>
  <c r="AH113" i="6"/>
  <c r="AH192" i="6"/>
  <c r="AH89" i="6"/>
  <c r="AH64" i="6"/>
  <c r="AH80" i="6"/>
  <c r="AH96" i="6"/>
  <c r="AH112" i="6"/>
  <c r="AH128" i="6"/>
  <c r="AH27" i="6"/>
  <c r="AH43" i="6"/>
  <c r="AH59" i="6"/>
  <c r="AH75" i="6"/>
  <c r="AH91" i="6"/>
  <c r="AH107" i="6"/>
  <c r="AH123" i="6"/>
  <c r="AH196" i="6"/>
  <c r="AH201" i="6"/>
  <c r="AH180" i="6"/>
  <c r="AH197" i="6"/>
  <c r="AH181" i="6"/>
  <c r="AH165" i="6"/>
  <c r="AH149" i="6"/>
  <c r="AH42" i="6"/>
  <c r="AH171" i="6"/>
  <c r="AH74" i="6"/>
  <c r="AH30" i="6"/>
  <c r="AH70" i="6"/>
  <c r="AH191" i="6"/>
  <c r="AH159" i="6"/>
  <c r="AH134" i="6"/>
  <c r="AH118" i="6"/>
  <c r="AH102" i="6"/>
  <c r="AH62" i="6"/>
  <c r="AH49" i="6"/>
  <c r="AH125" i="6"/>
  <c r="AH198" i="6"/>
  <c r="AH200" i="6"/>
  <c r="AH144" i="6"/>
  <c r="AH65" i="6"/>
  <c r="AH170" i="6"/>
  <c r="AH202" i="6"/>
  <c r="AH69" i="6"/>
  <c r="AH150" i="6"/>
  <c r="AH182" i="6"/>
  <c r="AH160" i="6"/>
  <c r="AH40" i="6"/>
  <c r="AH37" i="6"/>
  <c r="AH101" i="6"/>
  <c r="AH68" i="6"/>
  <c r="AH84" i="6"/>
  <c r="AH100" i="6"/>
  <c r="AH116" i="6"/>
  <c r="AH132" i="6"/>
  <c r="AH31" i="6"/>
  <c r="AH47" i="6"/>
  <c r="AH63" i="6"/>
  <c r="AH79" i="6"/>
  <c r="AH95" i="6"/>
  <c r="AH111" i="6"/>
  <c r="AH127" i="6"/>
  <c r="AH97" i="6"/>
  <c r="AH164" i="6"/>
  <c r="AH193" i="6"/>
  <c r="AH177" i="6"/>
  <c r="AH161" i="6"/>
  <c r="AH147" i="6"/>
  <c r="AH195" i="6"/>
  <c r="AH163" i="6"/>
  <c r="AH50" i="6"/>
  <c r="AH90" i="6"/>
  <c r="AH58" i="6"/>
  <c r="AH183" i="6"/>
  <c r="AH151" i="6"/>
  <c r="AH130" i="6"/>
  <c r="AH114" i="6"/>
  <c r="AH98" i="6"/>
  <c r="AH54" i="6"/>
  <c r="AH61" i="6"/>
  <c r="AH141" i="6"/>
  <c r="AH139" i="6"/>
  <c r="AH53" i="6"/>
  <c r="AH44" i="6"/>
  <c r="AH148" i="6"/>
  <c r="AH178" i="6"/>
  <c r="AH33" i="6"/>
  <c r="AH105" i="6"/>
  <c r="AH158" i="6"/>
  <c r="AH190" i="6"/>
  <c r="AH172" i="6"/>
  <c r="AH52" i="6"/>
  <c r="AH29" i="6"/>
  <c r="AH117" i="6"/>
  <c r="AH72" i="6"/>
  <c r="AH88" i="6"/>
  <c r="AH104" i="6"/>
  <c r="AH120" i="6"/>
  <c r="AH136" i="6"/>
  <c r="AH35" i="6"/>
  <c r="AH51" i="6"/>
  <c r="AH67" i="6"/>
  <c r="AH83" i="6"/>
  <c r="AH99" i="6"/>
  <c r="AH115" i="6"/>
  <c r="AH131" i="6"/>
  <c r="AH129" i="6"/>
  <c r="AH36" i="6"/>
  <c r="AH189" i="6"/>
  <c r="AH173" i="6"/>
  <c r="AH157" i="6"/>
  <c r="AH145" i="6"/>
  <c r="AH187" i="6"/>
  <c r="AH155" i="6"/>
  <c r="AH46" i="6"/>
  <c r="AH86" i="6"/>
  <c r="AH34" i="6"/>
  <c r="AH175" i="6"/>
  <c r="AH142" i="6"/>
  <c r="AH126" i="6"/>
  <c r="AH110" i="6"/>
  <c r="AH94" i="6"/>
  <c r="AH81" i="6"/>
  <c r="AH73" i="6"/>
  <c r="AH28" i="6"/>
  <c r="AH176" i="6"/>
  <c r="AH146" i="6"/>
  <c r="AH56" i="6"/>
  <c r="AH154" i="6"/>
  <c r="AH186" i="6"/>
  <c r="AH45" i="6"/>
  <c r="AH121" i="6"/>
  <c r="AH166" i="6"/>
  <c r="AH135" i="6"/>
  <c r="AH184" i="6"/>
  <c r="AH156" i="6"/>
  <c r="AH41" i="6"/>
  <c r="AH133" i="6"/>
  <c r="AH76" i="6"/>
  <c r="AH92" i="6"/>
  <c r="AH108" i="6"/>
  <c r="AH124" i="6"/>
  <c r="AH140" i="6"/>
  <c r="AH39" i="6"/>
  <c r="AH55" i="6"/>
  <c r="AH71" i="6"/>
  <c r="AH87" i="6"/>
  <c r="AH103" i="6"/>
  <c r="AH119" i="6"/>
  <c r="AH168" i="6"/>
  <c r="AH48" i="6"/>
  <c r="AH60" i="6"/>
  <c r="E97" i="54"/>
  <c r="D97" i="54"/>
  <c r="B97" i="54"/>
  <c r="A26" i="8" s="1"/>
  <c r="C26" i="8" s="1"/>
  <c r="D172" i="54"/>
  <c r="B172" i="54"/>
  <c r="A179" i="8" s="1"/>
  <c r="C179" i="8" s="1"/>
  <c r="E172" i="54"/>
  <c r="E82" i="54"/>
  <c r="D82" i="54"/>
  <c r="B82" i="54"/>
  <c r="A95" i="8" s="1"/>
  <c r="C95" i="8" s="1"/>
  <c r="E53" i="54"/>
  <c r="D53" i="54"/>
  <c r="B53" i="54"/>
  <c r="A86" i="8" s="1"/>
  <c r="C86" i="8" s="1"/>
  <c r="E79" i="54"/>
  <c r="D79" i="54"/>
  <c r="B79" i="54"/>
  <c r="A83" i="8" s="1"/>
  <c r="C83" i="8" s="1"/>
  <c r="B32" i="54"/>
  <c r="A20" i="8" s="1"/>
  <c r="C20" i="8" s="1"/>
  <c r="E32" i="54"/>
  <c r="D32" i="54"/>
  <c r="B100" i="54"/>
  <c r="A27" i="8" s="1"/>
  <c r="C27" i="8" s="1"/>
  <c r="E100" i="54"/>
  <c r="D100" i="54"/>
  <c r="B25" i="54"/>
  <c r="A121" i="8" s="1"/>
  <c r="C121" i="8" s="1"/>
  <c r="E25" i="54"/>
  <c r="D25" i="54"/>
  <c r="B133" i="54"/>
  <c r="A41" i="8" s="1"/>
  <c r="C41" i="8" s="1"/>
  <c r="D133" i="54"/>
  <c r="E133" i="54"/>
  <c r="B155" i="54"/>
  <c r="A174" i="8" s="1"/>
  <c r="C174" i="8" s="1"/>
  <c r="E155" i="54"/>
  <c r="D155" i="54"/>
  <c r="B43" i="54"/>
  <c r="A126" i="8" s="1"/>
  <c r="C126" i="8" s="1"/>
  <c r="E43" i="54"/>
  <c r="D43" i="54"/>
  <c r="D81" i="54"/>
  <c r="B81" i="54"/>
  <c r="A91" i="8" s="1"/>
  <c r="C91" i="8" s="1"/>
  <c r="E81" i="54"/>
  <c r="D28" i="54"/>
  <c r="B28" i="54"/>
  <c r="A133" i="8" s="1"/>
  <c r="C133" i="8" s="1"/>
  <c r="E28" i="54"/>
  <c r="D110" i="54"/>
  <c r="B110" i="54"/>
  <c r="A116" i="8" s="1"/>
  <c r="C116" i="8" s="1"/>
  <c r="E110" i="54"/>
  <c r="E46" i="54"/>
  <c r="D46" i="54"/>
  <c r="B46" i="54"/>
  <c r="A114" i="8" s="1"/>
  <c r="C114" i="8" s="1"/>
  <c r="E107" i="54"/>
  <c r="D107" i="54"/>
  <c r="B107" i="54"/>
  <c r="A128" i="8" s="1"/>
  <c r="C128" i="8" s="1"/>
  <c r="E85" i="54"/>
  <c r="D85" i="54"/>
  <c r="B85" i="54"/>
  <c r="A107" i="8" s="1"/>
  <c r="C107" i="8" s="1"/>
  <c r="D161" i="54"/>
  <c r="B161" i="54"/>
  <c r="A154" i="8" s="1"/>
  <c r="C154" i="8" s="1"/>
  <c r="E161" i="54"/>
  <c r="B184" i="54"/>
  <c r="A218" i="8" s="1"/>
  <c r="C218" i="8" s="1"/>
  <c r="E184" i="54"/>
  <c r="D184" i="54"/>
  <c r="D60" i="54"/>
  <c r="B60" i="54"/>
  <c r="A58" i="8" s="1"/>
  <c r="C58" i="8" s="1"/>
  <c r="E60" i="54"/>
  <c r="F253" i="57"/>
  <c r="F245" i="57"/>
  <c r="F237" i="57"/>
  <c r="F229" i="57"/>
  <c r="F221" i="57"/>
  <c r="F213" i="57"/>
  <c r="F205" i="57"/>
  <c r="F197" i="57"/>
  <c r="F189" i="57"/>
  <c r="F181" i="57"/>
  <c r="F173" i="57"/>
  <c r="F165" i="57"/>
  <c r="F157" i="57"/>
  <c r="F149" i="57"/>
  <c r="F141" i="57"/>
  <c r="F133" i="57"/>
  <c r="F125" i="57"/>
  <c r="F117" i="57"/>
  <c r="J59" i="57"/>
  <c r="J51" i="57"/>
  <c r="J43" i="57"/>
  <c r="J35" i="57"/>
  <c r="F27" i="57"/>
  <c r="F19" i="57"/>
  <c r="J13" i="57"/>
  <c r="F258" i="57"/>
  <c r="F250" i="57"/>
  <c r="F242" i="57"/>
  <c r="F234" i="57"/>
  <c r="F226" i="57"/>
  <c r="F218" i="57"/>
  <c r="F210" i="57"/>
  <c r="F202" i="57"/>
  <c r="F194" i="57"/>
  <c r="F186" i="57"/>
  <c r="F178" i="57"/>
  <c r="F170" i="57"/>
  <c r="F162" i="57"/>
  <c r="F154" i="57"/>
  <c r="F146" i="57"/>
  <c r="F138" i="57"/>
  <c r="F130" i="57"/>
  <c r="F122" i="57"/>
  <c r="J114" i="57"/>
  <c r="J110" i="57"/>
  <c r="J106" i="57"/>
  <c r="J102" i="57"/>
  <c r="J98" i="57"/>
  <c r="J94" i="57"/>
  <c r="J90" i="57"/>
  <c r="J86" i="57"/>
  <c r="J82" i="57"/>
  <c r="J78" i="57"/>
  <c r="J74" i="57"/>
  <c r="J70" i="57"/>
  <c r="J66" i="57"/>
  <c r="J58" i="57"/>
  <c r="J50" i="57"/>
  <c r="J42" i="57"/>
  <c r="F34" i="57"/>
  <c r="F26" i="57"/>
  <c r="J256" i="57"/>
  <c r="J248" i="57"/>
  <c r="J240" i="57"/>
  <c r="J232" i="57"/>
  <c r="J224" i="57"/>
  <c r="J216" i="57"/>
  <c r="J208" i="57"/>
  <c r="J200" i="57"/>
  <c r="J192" i="57"/>
  <c r="J184" i="57"/>
  <c r="J176" i="57"/>
  <c r="J168" i="57"/>
  <c r="J160" i="57"/>
  <c r="J152" i="57"/>
  <c r="J144" i="57"/>
  <c r="J136" i="57"/>
  <c r="J128" i="57"/>
  <c r="J120" i="57"/>
  <c r="F114" i="57"/>
  <c r="F110" i="57"/>
  <c r="F106" i="57"/>
  <c r="F102" i="57"/>
  <c r="F98" i="57"/>
  <c r="F94" i="57"/>
  <c r="F90" i="57"/>
  <c r="F86" i="57"/>
  <c r="F82" i="57"/>
  <c r="F78" i="57"/>
  <c r="F74" i="57"/>
  <c r="F70" i="57"/>
  <c r="F66" i="57"/>
  <c r="F58" i="57"/>
  <c r="F50" i="57"/>
  <c r="F42" i="57"/>
  <c r="F33" i="57"/>
  <c r="F25" i="57"/>
  <c r="J10" i="57"/>
  <c r="J4" i="57"/>
  <c r="F232" i="57"/>
  <c r="F200" i="57"/>
  <c r="F168" i="57"/>
  <c r="F136" i="57"/>
  <c r="F28" i="57"/>
  <c r="F236" i="57"/>
  <c r="F204" i="57"/>
  <c r="F172" i="57"/>
  <c r="F140" i="57"/>
  <c r="J60" i="57"/>
  <c r="J44" i="57"/>
  <c r="J229" i="57"/>
  <c r="J197" i="57"/>
  <c r="J165" i="57"/>
  <c r="J133" i="57"/>
  <c r="J27" i="57"/>
  <c r="J233" i="57"/>
  <c r="F65" i="57"/>
  <c r="F164" i="57"/>
  <c r="J201" i="57"/>
  <c r="F61" i="57"/>
  <c r="J153" i="57"/>
  <c r="J14" i="57"/>
  <c r="J258" i="57"/>
  <c r="J250" i="57"/>
  <c r="J242" i="57"/>
  <c r="J234" i="57"/>
  <c r="J226" i="57"/>
  <c r="J218" i="57"/>
  <c r="J210" i="57"/>
  <c r="J202" i="57"/>
  <c r="J194" i="57"/>
  <c r="J186" i="57"/>
  <c r="J178" i="57"/>
  <c r="J170" i="57"/>
  <c r="J162" i="57"/>
  <c r="J154" i="57"/>
  <c r="J146" i="57"/>
  <c r="J138" i="57"/>
  <c r="J130" i="57"/>
  <c r="J122" i="57"/>
  <c r="F64" i="57"/>
  <c r="F56" i="57"/>
  <c r="F48" i="57"/>
  <c r="F40" i="57"/>
  <c r="J34" i="57"/>
  <c r="J26" i="57"/>
  <c r="J255" i="57"/>
  <c r="J247" i="57"/>
  <c r="J239" i="57"/>
  <c r="J231" i="57"/>
  <c r="J223" i="57"/>
  <c r="J215" i="57"/>
  <c r="J207" i="57"/>
  <c r="J199" i="57"/>
  <c r="J191" i="57"/>
  <c r="J183" i="57"/>
  <c r="J175" i="57"/>
  <c r="J167" i="57"/>
  <c r="J159" i="57"/>
  <c r="J151" i="57"/>
  <c r="J143" i="57"/>
  <c r="J135" i="57"/>
  <c r="J127" i="57"/>
  <c r="J119" i="57"/>
  <c r="J113" i="57"/>
  <c r="J109" i="57"/>
  <c r="J105" i="57"/>
  <c r="J101" i="57"/>
  <c r="J97" i="57"/>
  <c r="J93" i="57"/>
  <c r="J89" i="57"/>
  <c r="J85" i="57"/>
  <c r="J81" i="57"/>
  <c r="J77" i="57"/>
  <c r="J73" i="57"/>
  <c r="J69" i="57"/>
  <c r="F63" i="57"/>
  <c r="F55" i="57"/>
  <c r="F47" i="57"/>
  <c r="F39" i="57"/>
  <c r="J33" i="57"/>
  <c r="J25" i="57"/>
  <c r="J16" i="57"/>
  <c r="J7" i="57"/>
  <c r="F255" i="57"/>
  <c r="F247" i="57"/>
  <c r="F239" i="57"/>
  <c r="F231" i="57"/>
  <c r="F223" i="57"/>
  <c r="F215" i="57"/>
  <c r="F207" i="57"/>
  <c r="F199" i="57"/>
  <c r="F191" i="57"/>
  <c r="F183" i="57"/>
  <c r="F175" i="57"/>
  <c r="F167" i="57"/>
  <c r="F159" i="57"/>
  <c r="F151" i="57"/>
  <c r="F143" i="57"/>
  <c r="F135" i="57"/>
  <c r="F127" i="57"/>
  <c r="F119" i="57"/>
  <c r="F113" i="57"/>
  <c r="F109" i="57"/>
  <c r="F105" i="57"/>
  <c r="F101" i="57"/>
  <c r="F97" i="57"/>
  <c r="F93" i="57"/>
  <c r="F89" i="57"/>
  <c r="F85" i="57"/>
  <c r="F81" i="57"/>
  <c r="F77" i="57"/>
  <c r="F73" i="57"/>
  <c r="F69" i="57"/>
  <c r="J65" i="57"/>
  <c r="J57" i="57"/>
  <c r="J49" i="57"/>
  <c r="J41" i="57"/>
  <c r="J32" i="57"/>
  <c r="J24" i="57"/>
  <c r="J15" i="57"/>
  <c r="J253" i="57"/>
  <c r="J221" i="57"/>
  <c r="J189" i="57"/>
  <c r="J157" i="57"/>
  <c r="J125" i="57"/>
  <c r="F24" i="57"/>
  <c r="J257" i="57"/>
  <c r="J225" i="57"/>
  <c r="J193" i="57"/>
  <c r="J161" i="57"/>
  <c r="J129" i="57"/>
  <c r="J56" i="57"/>
  <c r="J40" i="57"/>
  <c r="F256" i="57"/>
  <c r="F224" i="57"/>
  <c r="F192" i="57"/>
  <c r="F160" i="57"/>
  <c r="F128" i="57"/>
  <c r="J23" i="57"/>
  <c r="F212" i="57"/>
  <c r="F57" i="57"/>
  <c r="J249" i="57"/>
  <c r="J121" i="57"/>
  <c r="F180" i="57"/>
  <c r="F53" i="57"/>
  <c r="J217" i="57"/>
  <c r="F257" i="57"/>
  <c r="F249" i="57"/>
  <c r="F241" i="57"/>
  <c r="F233" i="57"/>
  <c r="F225" i="57"/>
  <c r="F217" i="57"/>
  <c r="F209" i="57"/>
  <c r="F201" i="57"/>
  <c r="F193" i="57"/>
  <c r="F185" i="57"/>
  <c r="F177" i="57"/>
  <c r="F169" i="57"/>
  <c r="F161" i="57"/>
  <c r="F153" i="57"/>
  <c r="F145" i="57"/>
  <c r="F137" i="57"/>
  <c r="F129" i="57"/>
  <c r="F121" i="57"/>
  <c r="J63" i="57"/>
  <c r="J55" i="57"/>
  <c r="J47" i="57"/>
  <c r="J39" i="57"/>
  <c r="F31" i="57"/>
  <c r="F23" i="57"/>
  <c r="J17" i="57"/>
  <c r="J8" i="57"/>
  <c r="F254" i="57"/>
  <c r="F246" i="57"/>
  <c r="F238" i="57"/>
  <c r="F230" i="57"/>
  <c r="F222" i="57"/>
  <c r="F214" i="57"/>
  <c r="F206" i="57"/>
  <c r="F198" i="57"/>
  <c r="F190" i="57"/>
  <c r="F182" i="57"/>
  <c r="F174" i="57"/>
  <c r="F166" i="57"/>
  <c r="F158" i="57"/>
  <c r="F150" i="57"/>
  <c r="F142" i="57"/>
  <c r="F134" i="57"/>
  <c r="F126" i="57"/>
  <c r="F118" i="57"/>
  <c r="J112" i="57"/>
  <c r="J108" i="57"/>
  <c r="J104" i="57"/>
  <c r="J100" i="57"/>
  <c r="J96" i="57"/>
  <c r="J92" i="57"/>
  <c r="J88" i="57"/>
  <c r="J84" i="57"/>
  <c r="J80" i="57"/>
  <c r="J76" i="57"/>
  <c r="J72" i="57"/>
  <c r="J68" i="57"/>
  <c r="J62" i="57"/>
  <c r="J54" i="57"/>
  <c r="J46" i="57"/>
  <c r="J38" i="57"/>
  <c r="F30" i="57"/>
  <c r="F22" i="57"/>
  <c r="J6" i="57"/>
  <c r="J252" i="57"/>
  <c r="J244" i="57"/>
  <c r="J236" i="57"/>
  <c r="J228" i="57"/>
  <c r="J220" i="57"/>
  <c r="J212" i="57"/>
  <c r="J204" i="57"/>
  <c r="J196" i="57"/>
  <c r="J188" i="57"/>
  <c r="J180" i="57"/>
  <c r="J172" i="57"/>
  <c r="J164" i="57"/>
  <c r="J156" i="57"/>
  <c r="J148" i="57"/>
  <c r="J140" i="57"/>
  <c r="J132" i="57"/>
  <c r="J124" i="57"/>
  <c r="J116" i="57"/>
  <c r="F112" i="57"/>
  <c r="F108" i="57"/>
  <c r="F104" i="57"/>
  <c r="F100" i="57"/>
  <c r="F96" i="57"/>
  <c r="F92" i="57"/>
  <c r="F88" i="57"/>
  <c r="F84" i="57"/>
  <c r="F80" i="57"/>
  <c r="F76" i="57"/>
  <c r="F72" i="57"/>
  <c r="F68" i="57"/>
  <c r="F62" i="57"/>
  <c r="F54" i="57"/>
  <c r="F46" i="57"/>
  <c r="F38" i="57"/>
  <c r="F29" i="57"/>
  <c r="F21" i="57"/>
  <c r="F248" i="57"/>
  <c r="F216" i="57"/>
  <c r="F184" i="57"/>
  <c r="F152" i="57"/>
  <c r="F120" i="57"/>
  <c r="F20" i="57"/>
  <c r="F252" i="57"/>
  <c r="F220" i="57"/>
  <c r="F188" i="57"/>
  <c r="F156" i="57"/>
  <c r="F124" i="57"/>
  <c r="J52" i="57"/>
  <c r="J36" i="57"/>
  <c r="J245" i="57"/>
  <c r="J213" i="57"/>
  <c r="J181" i="57"/>
  <c r="J149" i="57"/>
  <c r="J117" i="57"/>
  <c r="J19" i="57"/>
  <c r="J169" i="57"/>
  <c r="F49" i="57"/>
  <c r="F228" i="57"/>
  <c r="J18" i="57"/>
  <c r="J137" i="57"/>
  <c r="F45" i="57"/>
  <c r="F132" i="57"/>
  <c r="J254" i="57"/>
  <c r="J246" i="57"/>
  <c r="J238" i="57"/>
  <c r="J230" i="57"/>
  <c r="J222" i="57"/>
  <c r="J214" i="57"/>
  <c r="J206" i="57"/>
  <c r="J198" i="57"/>
  <c r="J190" i="57"/>
  <c r="J182" i="57"/>
  <c r="J174" i="57"/>
  <c r="J166" i="57"/>
  <c r="J158" i="57"/>
  <c r="J150" i="57"/>
  <c r="J142" i="57"/>
  <c r="J134" i="57"/>
  <c r="J126" i="57"/>
  <c r="J118" i="57"/>
  <c r="F60" i="57"/>
  <c r="F52" i="57"/>
  <c r="F44" i="57"/>
  <c r="F36" i="57"/>
  <c r="J30" i="57"/>
  <c r="J22" i="57"/>
  <c r="J259" i="57"/>
  <c r="J251" i="57"/>
  <c r="J243" i="57"/>
  <c r="J235" i="57"/>
  <c r="J227" i="57"/>
  <c r="J219" i="57"/>
  <c r="J211" i="57"/>
  <c r="J203" i="57"/>
  <c r="J195" i="57"/>
  <c r="J187" i="57"/>
  <c r="J179" i="57"/>
  <c r="J171" i="57"/>
  <c r="J163" i="57"/>
  <c r="J155" i="57"/>
  <c r="J147" i="57"/>
  <c r="J139" i="57"/>
  <c r="J131" i="57"/>
  <c r="J123" i="57"/>
  <c r="J115" i="57"/>
  <c r="J111" i="57"/>
  <c r="J107" i="57"/>
  <c r="J103" i="57"/>
  <c r="J99" i="57"/>
  <c r="J95" i="57"/>
  <c r="J91" i="57"/>
  <c r="J87" i="57"/>
  <c r="J83" i="57"/>
  <c r="J79" i="57"/>
  <c r="J75" i="57"/>
  <c r="J71" i="57"/>
  <c r="J67" i="57"/>
  <c r="F59" i="57"/>
  <c r="F51" i="57"/>
  <c r="F43" i="57"/>
  <c r="F35" i="57"/>
  <c r="J29" i="57"/>
  <c r="J21" i="57"/>
  <c r="J12" i="57"/>
  <c r="F259" i="57"/>
  <c r="F251" i="57"/>
  <c r="F243" i="57"/>
  <c r="F235" i="57"/>
  <c r="F227" i="57"/>
  <c r="F219" i="57"/>
  <c r="F211" i="57"/>
  <c r="F203" i="57"/>
  <c r="F195" i="57"/>
  <c r="F187" i="57"/>
  <c r="F179" i="57"/>
  <c r="F171" i="57"/>
  <c r="F163" i="57"/>
  <c r="F155" i="57"/>
  <c r="F147" i="57"/>
  <c r="F139" i="57"/>
  <c r="F131" i="57"/>
  <c r="F123" i="57"/>
  <c r="F115" i="57"/>
  <c r="F111" i="57"/>
  <c r="F107" i="57"/>
  <c r="F103" i="57"/>
  <c r="F99" i="57"/>
  <c r="F95" i="57"/>
  <c r="F91" i="57"/>
  <c r="F87" i="57"/>
  <c r="F83" i="57"/>
  <c r="F79" i="57"/>
  <c r="F75" i="57"/>
  <c r="F71" i="57"/>
  <c r="F67" i="57"/>
  <c r="J61" i="57"/>
  <c r="J53" i="57"/>
  <c r="J45" i="57"/>
  <c r="J37" i="57"/>
  <c r="J28" i="57"/>
  <c r="J20" i="57"/>
  <c r="J11" i="57"/>
  <c r="J5" i="57"/>
  <c r="J237" i="57"/>
  <c r="J205" i="57"/>
  <c r="J173" i="57"/>
  <c r="J141" i="57"/>
  <c r="F32" i="57"/>
  <c r="J9" i="57"/>
  <c r="J241" i="57"/>
  <c r="J209" i="57"/>
  <c r="J177" i="57"/>
  <c r="J145" i="57"/>
  <c r="J64" i="57"/>
  <c r="J48" i="57"/>
  <c r="F240" i="57"/>
  <c r="F208" i="57"/>
  <c r="F176" i="57"/>
  <c r="F144" i="57"/>
  <c r="J31" i="57"/>
  <c r="F148" i="57"/>
  <c r="F41" i="57"/>
  <c r="J185" i="57"/>
  <c r="F244" i="57"/>
  <c r="F116" i="57"/>
  <c r="F37" i="57"/>
  <c r="F196" i="57"/>
  <c r="B40" i="54"/>
  <c r="A9" i="8" s="1"/>
  <c r="C9" i="8" s="1"/>
  <c r="E40" i="54"/>
  <c r="D40" i="54"/>
  <c r="E157" i="54"/>
  <c r="D157" i="54"/>
  <c r="B157" i="54"/>
  <c r="A166" i="8" s="1"/>
  <c r="C166" i="8" s="1"/>
  <c r="B136" i="54"/>
  <c r="A56" i="8" s="1"/>
  <c r="C56" i="8" s="1"/>
  <c r="E136" i="54"/>
  <c r="D136" i="54"/>
  <c r="D37" i="54"/>
  <c r="B37" i="54"/>
  <c r="A21" i="8" s="1"/>
  <c r="C21" i="8" s="1"/>
  <c r="E37" i="54"/>
  <c r="B185" i="54"/>
  <c r="A215" i="8" s="1"/>
  <c r="C215" i="8" s="1"/>
  <c r="E185" i="54"/>
  <c r="D185" i="54"/>
  <c r="D74" i="54"/>
  <c r="B74" i="54"/>
  <c r="A63" i="8" s="1"/>
  <c r="C63" i="8" s="1"/>
  <c r="E74" i="54"/>
  <c r="B135" i="54"/>
  <c r="A51" i="8" s="1"/>
  <c r="C51" i="8" s="1"/>
  <c r="E135" i="54"/>
  <c r="D135" i="54"/>
  <c r="D71" i="54"/>
  <c r="B71" i="54"/>
  <c r="A49" i="8" s="1"/>
  <c r="C49" i="8" s="1"/>
  <c r="E71" i="54"/>
  <c r="D61" i="54"/>
  <c r="B61" i="54"/>
  <c r="A53" i="8" s="1"/>
  <c r="C53" i="8" s="1"/>
  <c r="E61" i="54"/>
  <c r="E117" i="54"/>
  <c r="D117" i="54"/>
  <c r="B117" i="54"/>
  <c r="A88" i="8" s="1"/>
  <c r="C88" i="8" s="1"/>
  <c r="B142" i="54"/>
  <c r="A161" i="8" s="1"/>
  <c r="C161" i="8" s="1"/>
  <c r="E142" i="54"/>
  <c r="D142" i="54"/>
  <c r="B139" i="54"/>
  <c r="A172" i="8" s="1"/>
  <c r="C172" i="8" s="1"/>
  <c r="E139" i="54"/>
  <c r="D139" i="54"/>
  <c r="D35" i="54"/>
  <c r="B35" i="54"/>
  <c r="A29" i="8" s="1"/>
  <c r="C29" i="8" s="1"/>
  <c r="E35" i="54"/>
  <c r="D138" i="54"/>
  <c r="B138" i="54"/>
  <c r="A171" i="8" s="1"/>
  <c r="C171" i="8" s="1"/>
  <c r="E138" i="54"/>
  <c r="E170" i="54"/>
  <c r="D170" i="54"/>
  <c r="B170" i="54"/>
  <c r="A182" i="8" s="1"/>
  <c r="C182" i="8" s="1"/>
  <c r="B102" i="54"/>
  <c r="A19" i="8" s="1"/>
  <c r="C19" i="8" s="1"/>
  <c r="E102" i="54"/>
  <c r="D102" i="54"/>
  <c r="B38" i="54"/>
  <c r="A17" i="8" s="1"/>
  <c r="C17" i="8" s="1"/>
  <c r="E38" i="54"/>
  <c r="D38" i="54"/>
  <c r="B99" i="54"/>
  <c r="A31" i="8" s="1"/>
  <c r="C31" i="8" s="1"/>
  <c r="E99" i="54"/>
  <c r="D99" i="54"/>
  <c r="B124" i="54"/>
  <c r="A60" i="8" s="1"/>
  <c r="C60" i="8" s="1"/>
  <c r="E124" i="54"/>
  <c r="D124" i="54"/>
  <c r="B182" i="54"/>
  <c r="A224" i="8" s="1"/>
  <c r="C224" i="8" s="1"/>
  <c r="E182" i="54"/>
  <c r="D182" i="54"/>
  <c r="B152" i="54"/>
  <c r="A165" i="8" s="1"/>
  <c r="C165" i="8" s="1"/>
  <c r="E152" i="54"/>
  <c r="D152" i="54"/>
  <c r="D36" i="54"/>
  <c r="B36" i="54"/>
  <c r="A25" i="8" s="1"/>
  <c r="C25" i="8" s="1"/>
  <c r="E36" i="54"/>
  <c r="S8" i="6"/>
  <c r="O7" i="6"/>
  <c r="D6" i="60"/>
  <c r="D4" i="60"/>
  <c r="D8" i="60"/>
  <c r="D7" i="60"/>
  <c r="D5" i="60"/>
  <c r="B186" i="54"/>
  <c r="A212" i="8" s="1"/>
  <c r="C212" i="8" s="1"/>
  <c r="E186" i="54"/>
  <c r="D186" i="54"/>
  <c r="B134" i="54"/>
  <c r="A46" i="8" s="1"/>
  <c r="C46" i="8" s="1"/>
  <c r="E134" i="54"/>
  <c r="D134" i="54"/>
  <c r="D104" i="54"/>
  <c r="B104" i="54"/>
  <c r="A11" i="8" s="1"/>
  <c r="C11" i="8" s="1"/>
  <c r="E104" i="54"/>
  <c r="B193" i="54"/>
  <c r="A192" i="8" s="1"/>
  <c r="C192" i="8" s="1"/>
  <c r="E193" i="54"/>
  <c r="D193" i="54"/>
  <c r="B153" i="54"/>
  <c r="A169" i="8" s="1"/>
  <c r="C169" i="8" s="1"/>
  <c r="E153" i="54"/>
  <c r="D153" i="54"/>
  <c r="D66" i="54"/>
  <c r="B66" i="54"/>
  <c r="A4" i="8" s="1"/>
  <c r="C4" i="8" s="1"/>
  <c r="E66" i="54"/>
  <c r="B127" i="54"/>
  <c r="A45" i="8" s="1"/>
  <c r="C45" i="8" s="1"/>
  <c r="E127" i="54"/>
  <c r="D127" i="54"/>
  <c r="D63" i="54"/>
  <c r="B63" i="54"/>
  <c r="A43" i="8" s="1"/>
  <c r="C43" i="8" s="1"/>
  <c r="E63" i="54"/>
  <c r="E69" i="54"/>
  <c r="D69" i="54"/>
  <c r="B69" i="54"/>
  <c r="A39" i="8" s="1"/>
  <c r="C39" i="8" s="1"/>
  <c r="E49" i="54"/>
  <c r="D49" i="54"/>
  <c r="B49" i="54"/>
  <c r="A102" i="8" s="1"/>
  <c r="C102" i="8" s="1"/>
  <c r="D29" i="54"/>
  <c r="B29" i="54"/>
  <c r="A8" i="8" s="1"/>
  <c r="C8" i="8" s="1"/>
  <c r="E29" i="54"/>
  <c r="D101" i="54"/>
  <c r="B101" i="54"/>
  <c r="A23" i="8" s="1"/>
  <c r="C23" i="8" s="1"/>
  <c r="E101" i="54"/>
  <c r="B132" i="54"/>
  <c r="A36" i="8" s="1"/>
  <c r="C36" i="8" s="1"/>
  <c r="E132" i="54"/>
  <c r="D132" i="54"/>
  <c r="E176" i="54"/>
  <c r="D176" i="54"/>
  <c r="B176" i="54"/>
  <c r="A175" i="8" s="1"/>
  <c r="C175" i="8" s="1"/>
  <c r="D27" i="54"/>
  <c r="B27" i="54"/>
  <c r="A129" i="8" s="1"/>
  <c r="C129" i="8" s="1"/>
  <c r="E27" i="54"/>
  <c r="E121" i="54"/>
  <c r="D121" i="54"/>
  <c r="B121" i="54"/>
  <c r="A72" i="8" s="1"/>
  <c r="C72" i="8" s="1"/>
  <c r="E187" i="54"/>
  <c r="D187" i="54"/>
  <c r="B187" i="54"/>
  <c r="A209" i="8" s="1"/>
  <c r="C209" i="8" s="1"/>
  <c r="B94" i="54"/>
  <c r="A14" i="8" s="1"/>
  <c r="C14" i="8" s="1"/>
  <c r="E94" i="54"/>
  <c r="D94" i="54"/>
  <c r="D30" i="54"/>
  <c r="B30" i="54"/>
  <c r="A12" i="8" s="1"/>
  <c r="C12" i="8" s="1"/>
  <c r="E30" i="54"/>
  <c r="B91" i="54"/>
  <c r="A131" i="8" s="1"/>
  <c r="C131" i="8" s="1"/>
  <c r="E91" i="54"/>
  <c r="D91" i="54"/>
  <c r="B92" i="54"/>
  <c r="A135" i="8" s="1"/>
  <c r="C135" i="8" s="1"/>
  <c r="E92" i="54"/>
  <c r="D92" i="54"/>
  <c r="D23" i="54"/>
  <c r="B23" i="54"/>
  <c r="A113" i="8" s="1"/>
  <c r="C113" i="8" s="1"/>
  <c r="E23" i="54"/>
  <c r="E165" i="54"/>
  <c r="D165" i="54"/>
  <c r="B165" i="54"/>
  <c r="A185" i="8" s="1"/>
  <c r="C185" i="8" s="1"/>
  <c r="E41" i="54"/>
  <c r="D41" i="54"/>
  <c r="B41" i="54"/>
  <c r="A134" i="8" s="1"/>
  <c r="C134" i="8" s="1"/>
  <c r="S3" i="6"/>
  <c r="L2" i="57"/>
  <c r="F8" i="57" s="1"/>
  <c r="L3" i="57"/>
  <c r="S2" i="6"/>
  <c r="D146" i="54"/>
  <c r="B146" i="54"/>
  <c r="A149" i="8" s="1"/>
  <c r="C149" i="8" s="1"/>
  <c r="E146" i="54"/>
  <c r="D190" i="54"/>
  <c r="B190" i="54"/>
  <c r="A200" i="8" s="1"/>
  <c r="C200" i="8" s="1"/>
  <c r="E190" i="54"/>
  <c r="B68" i="54"/>
  <c r="A34" i="8" s="1"/>
  <c r="C34" i="8" s="1"/>
  <c r="E68" i="54"/>
  <c r="D68" i="54"/>
  <c r="B19" i="54"/>
  <c r="A97" i="8" s="1"/>
  <c r="C97" i="8" s="1"/>
  <c r="E19" i="54"/>
  <c r="D19" i="54"/>
  <c r="E122" i="54"/>
  <c r="D122" i="54"/>
  <c r="B122" i="54"/>
  <c r="A68" i="8" s="1"/>
  <c r="C68" i="8" s="1"/>
  <c r="B58" i="54"/>
  <c r="A66" i="8" s="1"/>
  <c r="C66" i="8" s="1"/>
  <c r="E58" i="54"/>
  <c r="D58" i="54"/>
  <c r="E119" i="54"/>
  <c r="D119" i="54"/>
  <c r="B119" i="54"/>
  <c r="A80" i="8" s="1"/>
  <c r="C80" i="8" s="1"/>
  <c r="B55" i="54"/>
  <c r="A78" i="8" s="1"/>
  <c r="C78" i="8" s="1"/>
  <c r="E55" i="54"/>
  <c r="D55" i="54"/>
  <c r="E191" i="54"/>
  <c r="D191" i="54"/>
  <c r="B191" i="54"/>
  <c r="A197" i="8" s="1"/>
  <c r="C197" i="8" s="1"/>
  <c r="B163" i="54"/>
  <c r="A181" i="8" s="1"/>
  <c r="C181" i="8" s="1"/>
  <c r="E163" i="54"/>
  <c r="D163" i="54"/>
  <c r="B112" i="54"/>
  <c r="A108" i="8" s="1"/>
  <c r="C108" i="8" s="1"/>
  <c r="E112" i="54"/>
  <c r="D112" i="54"/>
  <c r="E65" i="54"/>
  <c r="D65" i="54"/>
  <c r="B65" i="54"/>
  <c r="A33" i="8" s="1"/>
  <c r="C33" i="8" s="1"/>
  <c r="B145" i="54"/>
  <c r="A152" i="8" s="1"/>
  <c r="C152" i="8" s="1"/>
  <c r="E145" i="54"/>
  <c r="D145" i="54"/>
  <c r="B144" i="54"/>
  <c r="A155" i="8" s="1"/>
  <c r="C155" i="8" s="1"/>
  <c r="E144" i="54"/>
  <c r="D144" i="54"/>
  <c r="B105" i="54"/>
  <c r="A136" i="8" s="1"/>
  <c r="C136" i="8" s="1"/>
  <c r="E105" i="54"/>
  <c r="D105" i="54"/>
  <c r="D188" i="54"/>
  <c r="B188" i="54"/>
  <c r="A206" i="8" s="1"/>
  <c r="C206" i="8" s="1"/>
  <c r="E188" i="54"/>
  <c r="E86" i="54"/>
  <c r="D86" i="54"/>
  <c r="B86" i="54"/>
  <c r="A111" i="8" s="1"/>
  <c r="C111" i="8" s="1"/>
  <c r="E22" i="54"/>
  <c r="D22" i="54"/>
  <c r="B22" i="54"/>
  <c r="A109" i="8" s="1"/>
  <c r="C109" i="8" s="1"/>
  <c r="E83" i="54"/>
  <c r="D83" i="54"/>
  <c r="B83" i="54"/>
  <c r="A99" i="8" s="1"/>
  <c r="C99" i="8" s="1"/>
  <c r="B72" i="54"/>
  <c r="A54" i="8" s="1"/>
  <c r="C54" i="8" s="1"/>
  <c r="E72" i="54"/>
  <c r="D72" i="54"/>
  <c r="B116" i="54"/>
  <c r="A92" i="8" s="1"/>
  <c r="C92" i="8" s="1"/>
  <c r="E116" i="54"/>
  <c r="D116" i="54"/>
  <c r="B126" i="54"/>
  <c r="A50" i="8" s="1"/>
  <c r="C50" i="8" s="1"/>
  <c r="E126" i="54"/>
  <c r="D126" i="54"/>
  <c r="B140" i="54"/>
  <c r="A168" i="8" s="1"/>
  <c r="C168" i="8" s="1"/>
  <c r="E140" i="54"/>
  <c r="D140" i="54"/>
  <c r="D177" i="54"/>
  <c r="B177" i="54"/>
  <c r="A190" i="8" s="1"/>
  <c r="C190" i="8" s="1"/>
  <c r="E177" i="54"/>
  <c r="E171" i="54"/>
  <c r="D171" i="54"/>
  <c r="B171" i="54"/>
  <c r="A180" i="8" s="1"/>
  <c r="C180" i="8" s="1"/>
  <c r="B47" i="54"/>
  <c r="A110" i="8" s="1"/>
  <c r="C110" i="8" s="1"/>
  <c r="E47" i="54"/>
  <c r="D47" i="54"/>
  <c r="D44" i="54"/>
  <c r="B44" i="54"/>
  <c r="A122" i="8" s="1"/>
  <c r="C122" i="8" s="1"/>
  <c r="E44" i="54"/>
  <c r="D64" i="54"/>
  <c r="B64" i="54"/>
  <c r="A38" i="8" s="1"/>
  <c r="C38" i="8" s="1"/>
  <c r="E64" i="54"/>
  <c r="B114" i="54"/>
  <c r="A100" i="8" s="1"/>
  <c r="C100" i="8" s="1"/>
  <c r="E114" i="54"/>
  <c r="D114" i="54"/>
  <c r="D50" i="54"/>
  <c r="B50" i="54"/>
  <c r="A98" i="8" s="1"/>
  <c r="C98" i="8" s="1"/>
  <c r="E50" i="54"/>
  <c r="B111" i="54"/>
  <c r="A112" i="8" s="1"/>
  <c r="C112" i="8" s="1"/>
  <c r="E111" i="54"/>
  <c r="D111" i="54"/>
  <c r="B180" i="54"/>
  <c r="A230" i="8" s="1"/>
  <c r="C230" i="8" s="1"/>
  <c r="E180" i="54"/>
  <c r="D180" i="54"/>
  <c r="B143" i="54"/>
  <c r="A158" i="8" s="1"/>
  <c r="C158" i="8" s="1"/>
  <c r="E143" i="54"/>
  <c r="D143" i="54"/>
  <c r="B84" i="54"/>
  <c r="A103" i="8" s="1"/>
  <c r="C103" i="8" s="1"/>
  <c r="E84" i="54"/>
  <c r="D84" i="54"/>
  <c r="CA8" i="33"/>
  <c r="BY8" i="33"/>
  <c r="BX8" i="33"/>
  <c r="BX11" i="33"/>
  <c r="BY9" i="32"/>
  <c r="BZ6" i="39"/>
  <c r="BV6" i="39"/>
  <c r="BY6" i="39"/>
  <c r="BX6" i="39"/>
  <c r="CA6" i="39"/>
  <c r="BW6" i="39"/>
  <c r="CB11" i="30"/>
  <c r="BX8" i="31"/>
  <c r="CA8" i="31"/>
  <c r="BW8" i="31"/>
  <c r="BZ8" i="31"/>
  <c r="BV8" i="31"/>
  <c r="BY8" i="31"/>
  <c r="BZ6" i="17"/>
  <c r="BV6" i="17"/>
  <c r="BY6" i="17"/>
  <c r="BX6" i="17"/>
  <c r="CA6" i="17"/>
  <c r="BW6" i="17"/>
  <c r="BY7" i="21"/>
  <c r="BX7" i="21"/>
  <c r="CA7" i="21"/>
  <c r="BW7" i="21"/>
  <c r="BZ7" i="21"/>
  <c r="BV7" i="21"/>
  <c r="BY11" i="19"/>
  <c r="BX11" i="19"/>
  <c r="CA11" i="19"/>
  <c r="BW11" i="19"/>
  <c r="BZ11" i="19"/>
  <c r="BV11" i="19"/>
  <c r="AS6" i="32"/>
  <c r="BV9" i="32" s="1"/>
  <c r="CA9" i="17"/>
  <c r="BW9" i="17"/>
  <c r="BZ9" i="17"/>
  <c r="BV9" i="17"/>
  <c r="CB9" i="17" s="1"/>
  <c r="BY9" i="17"/>
  <c r="BX9" i="17"/>
  <c r="BX9" i="27"/>
  <c r="CA9" i="27"/>
  <c r="BW9" i="27"/>
  <c r="BZ9" i="27"/>
  <c r="BV9" i="27"/>
  <c r="BY9" i="27"/>
  <c r="BZ9" i="25"/>
  <c r="BV9" i="25"/>
  <c r="BY9" i="25"/>
  <c r="BX9" i="25"/>
  <c r="BW9" i="25"/>
  <c r="CA9" i="25"/>
  <c r="BY11" i="13"/>
  <c r="BX11" i="13"/>
  <c r="CA11" i="13"/>
  <c r="BW11" i="13"/>
  <c r="BZ11" i="13"/>
  <c r="BV11" i="13"/>
  <c r="CB11" i="13" s="1"/>
  <c r="BY8" i="17"/>
  <c r="CA8" i="16"/>
  <c r="BW8" i="16"/>
  <c r="BZ8" i="16"/>
  <c r="BV8" i="16"/>
  <c r="BY8" i="16"/>
  <c r="BX8" i="16"/>
  <c r="BY11" i="41"/>
  <c r="BX11" i="41"/>
  <c r="CA11" i="41"/>
  <c r="BW11" i="41"/>
  <c r="BZ11" i="41"/>
  <c r="BV11" i="41"/>
  <c r="BX6" i="26"/>
  <c r="CA6" i="26"/>
  <c r="BW6" i="26"/>
  <c r="BZ6" i="26"/>
  <c r="BV6" i="26"/>
  <c r="CB6" i="26" s="1"/>
  <c r="BY6" i="26"/>
  <c r="BV11" i="17"/>
  <c r="CA11" i="10"/>
  <c r="BW11" i="10"/>
  <c r="BZ11" i="10"/>
  <c r="BV11" i="10"/>
  <c r="BY11" i="10"/>
  <c r="BX11" i="10"/>
  <c r="CA10" i="28"/>
  <c r="BW10" i="28"/>
  <c r="BZ10" i="28"/>
  <c r="BV10" i="28"/>
  <c r="BY10" i="28"/>
  <c r="BX10" i="28"/>
  <c r="BZ11" i="40"/>
  <c r="BV11" i="40"/>
  <c r="BY11" i="40"/>
  <c r="BX11" i="40"/>
  <c r="CA11" i="40"/>
  <c r="BW11" i="40"/>
  <c r="BY6" i="25"/>
  <c r="BX6" i="25"/>
  <c r="CA6" i="25"/>
  <c r="BW6" i="25"/>
  <c r="BZ6" i="25"/>
  <c r="BV6" i="25"/>
  <c r="BX10" i="37"/>
  <c r="CA10" i="37"/>
  <c r="BW10" i="37"/>
  <c r="BZ10" i="37"/>
  <c r="BV10" i="37"/>
  <c r="CB10" i="37" s="1"/>
  <c r="BY10" i="37"/>
  <c r="CA9" i="10"/>
  <c r="BW9" i="10"/>
  <c r="BZ9" i="10"/>
  <c r="BV9" i="10"/>
  <c r="BY9" i="10"/>
  <c r="BX9" i="10"/>
  <c r="BX8" i="41"/>
  <c r="CA8" i="41"/>
  <c r="BW8" i="41"/>
  <c r="BZ8" i="41"/>
  <c r="BV8" i="41"/>
  <c r="CB8" i="41" s="1"/>
  <c r="BY8" i="41"/>
  <c r="BY10" i="18"/>
  <c r="BX10" i="18"/>
  <c r="CA10" i="18"/>
  <c r="BW10" i="18"/>
  <c r="BZ10" i="18"/>
  <c r="BV10" i="18"/>
  <c r="CA8" i="14"/>
  <c r="BW8" i="14"/>
  <c r="BZ8" i="14"/>
  <c r="BV8" i="14"/>
  <c r="BY8" i="14"/>
  <c r="BX8" i="14"/>
  <c r="BY7" i="13"/>
  <c r="BX7" i="13"/>
  <c r="CA7" i="13"/>
  <c r="BW7" i="13"/>
  <c r="BV7" i="13"/>
  <c r="BZ7" i="13"/>
  <c r="BY10" i="34"/>
  <c r="BX10" i="34"/>
  <c r="CA10" i="34"/>
  <c r="BW10" i="34"/>
  <c r="BZ10" i="34"/>
  <c r="BV10" i="34"/>
  <c r="BY11" i="37"/>
  <c r="BX11" i="37"/>
  <c r="CA11" i="37"/>
  <c r="BW11" i="37"/>
  <c r="BZ11" i="37"/>
  <c r="BV11" i="37"/>
  <c r="CB11" i="37" s="1"/>
  <c r="BZ10" i="23"/>
  <c r="BV10" i="23"/>
  <c r="BY10" i="23"/>
  <c r="BX10" i="23"/>
  <c r="CA10" i="23"/>
  <c r="BW10" i="23"/>
  <c r="CA8" i="38"/>
  <c r="BW8" i="38"/>
  <c r="BZ8" i="38"/>
  <c r="BV8" i="38"/>
  <c r="BY8" i="38"/>
  <c r="BX8" i="38"/>
  <c r="AS6" i="33"/>
  <c r="CA9" i="24"/>
  <c r="BW9" i="24"/>
  <c r="BZ9" i="24"/>
  <c r="BV9" i="24"/>
  <c r="CB9" i="24" s="1"/>
  <c r="BY9" i="24"/>
  <c r="BX9" i="24"/>
  <c r="BY9" i="26"/>
  <c r="BX9" i="26"/>
  <c r="CA9" i="26"/>
  <c r="BW9" i="26"/>
  <c r="BZ9" i="26"/>
  <c r="BV9" i="26"/>
  <c r="CB9" i="26" s="1"/>
  <c r="BY8" i="12"/>
  <c r="BX8" i="12"/>
  <c r="CA8" i="12"/>
  <c r="BW8" i="12"/>
  <c r="BZ8" i="12"/>
  <c r="BV8" i="12"/>
  <c r="CA7" i="24"/>
  <c r="BW7" i="24"/>
  <c r="BZ7" i="24"/>
  <c r="BV7" i="24"/>
  <c r="CB7" i="24" s="1"/>
  <c r="BY7" i="24"/>
  <c r="BX7" i="24"/>
  <c r="BY8" i="20"/>
  <c r="BX8" i="20"/>
  <c r="CA8" i="20"/>
  <c r="BW8" i="20"/>
  <c r="BZ8" i="20"/>
  <c r="BV8" i="20"/>
  <c r="CB8" i="20" s="1"/>
  <c r="CA8" i="22"/>
  <c r="BW8" i="22"/>
  <c r="BZ8" i="22"/>
  <c r="BV8" i="22"/>
  <c r="CB8" i="22" s="1"/>
  <c r="BY8" i="22"/>
  <c r="BX8" i="22"/>
  <c r="CA6" i="22"/>
  <c r="BW6" i="22"/>
  <c r="BZ6" i="22"/>
  <c r="BV6" i="22"/>
  <c r="BY6" i="22"/>
  <c r="BX6" i="22"/>
  <c r="CA11" i="29"/>
  <c r="BW11" i="29"/>
  <c r="BZ11" i="29"/>
  <c r="BV11" i="29"/>
  <c r="CB11" i="29" s="1"/>
  <c r="BY11" i="29"/>
  <c r="BX11" i="29"/>
  <c r="BY8" i="40"/>
  <c r="BX8" i="40"/>
  <c r="CA8" i="40"/>
  <c r="BW8" i="40"/>
  <c r="BZ8" i="40"/>
  <c r="BV8" i="40"/>
  <c r="BZ9" i="14"/>
  <c r="BV9" i="14"/>
  <c r="BX9" i="14"/>
  <c r="BY9" i="14"/>
  <c r="BW9" i="14"/>
  <c r="CA9" i="14"/>
  <c r="BY10" i="40"/>
  <c r="BX10" i="40"/>
  <c r="CA10" i="40"/>
  <c r="BW10" i="40"/>
  <c r="BZ10" i="40"/>
  <c r="BV10" i="40"/>
  <c r="BZ7" i="20"/>
  <c r="BV7" i="20"/>
  <c r="BY7" i="20"/>
  <c r="BX7" i="20"/>
  <c r="CA7" i="20"/>
  <c r="BW7" i="20"/>
  <c r="BZ9" i="18"/>
  <c r="BV9" i="18"/>
  <c r="BY9" i="18"/>
  <c r="BX9" i="18"/>
  <c r="CA9" i="18"/>
  <c r="BW9" i="18"/>
  <c r="BY6" i="18"/>
  <c r="BX6" i="18"/>
  <c r="CA6" i="18"/>
  <c r="BW6" i="18"/>
  <c r="BZ6" i="18"/>
  <c r="BV6" i="18"/>
  <c r="CA6" i="14"/>
  <c r="BW6" i="14"/>
  <c r="BZ6" i="14"/>
  <c r="BV6" i="14"/>
  <c r="BY6" i="14"/>
  <c r="BX6" i="14"/>
  <c r="AS11" i="32"/>
  <c r="BX10" i="31"/>
  <c r="CA10" i="31"/>
  <c r="BW10" i="31"/>
  <c r="BZ10" i="31"/>
  <c r="BV10" i="31"/>
  <c r="BY10" i="31"/>
  <c r="BZ7" i="25"/>
  <c r="BV7" i="25"/>
  <c r="BY7" i="25"/>
  <c r="BX7" i="25"/>
  <c r="BW7" i="25"/>
  <c r="CA7" i="25"/>
  <c r="BV8" i="17"/>
  <c r="CB8" i="17" s="1"/>
  <c r="BY10" i="12"/>
  <c r="BX10" i="12"/>
  <c r="CA10" i="12"/>
  <c r="BW10" i="12"/>
  <c r="BZ10" i="12"/>
  <c r="BV10" i="12"/>
  <c r="CB10" i="12" s="1"/>
  <c r="BY10" i="27"/>
  <c r="CB10" i="27" s="1"/>
  <c r="BY10" i="36"/>
  <c r="BX10" i="36"/>
  <c r="CA10" i="36"/>
  <c r="BW10" i="36"/>
  <c r="BZ10" i="36"/>
  <c r="BV10" i="36"/>
  <c r="CB10" i="36" s="1"/>
  <c r="CA9" i="12"/>
  <c r="BZ9" i="12"/>
  <c r="BY8" i="10"/>
  <c r="CB8" i="10" s="1"/>
  <c r="BZ10" i="10"/>
  <c r="BV10" i="10"/>
  <c r="BY10" i="10"/>
  <c r="BX10" i="10"/>
  <c r="CA10" i="10"/>
  <c r="BW10" i="10"/>
  <c r="CA7" i="19"/>
  <c r="BZ9" i="20"/>
  <c r="BV9" i="20"/>
  <c r="BY9" i="20"/>
  <c r="BX9" i="20"/>
  <c r="CA9" i="20"/>
  <c r="BW9" i="20"/>
  <c r="BY10" i="17"/>
  <c r="BY11" i="15"/>
  <c r="BZ10" i="24"/>
  <c r="BV10" i="24"/>
  <c r="BY10" i="24"/>
  <c r="BX10" i="24"/>
  <c r="CA10" i="24"/>
  <c r="BW10" i="24"/>
  <c r="BY11" i="14"/>
  <c r="CA10" i="16"/>
  <c r="BW10" i="16"/>
  <c r="BZ10" i="16"/>
  <c r="BV10" i="16"/>
  <c r="BY10" i="16"/>
  <c r="BX10" i="16"/>
  <c r="BW6" i="13"/>
  <c r="BY6" i="34"/>
  <c r="BX6" i="34"/>
  <c r="CA6" i="34"/>
  <c r="BW6" i="34"/>
  <c r="BZ6" i="34"/>
  <c r="BV6" i="34"/>
  <c r="BW8" i="15"/>
  <c r="BV11" i="18"/>
  <c r="CA6" i="36"/>
  <c r="BW6" i="36"/>
  <c r="BZ6" i="36"/>
  <c r="BV6" i="36"/>
  <c r="CB6" i="36" s="1"/>
  <c r="BY6" i="36"/>
  <c r="BX6" i="36"/>
  <c r="BY7" i="17"/>
  <c r="BX10" i="15"/>
  <c r="CA10" i="15"/>
  <c r="BW10" i="15"/>
  <c r="BZ10" i="15"/>
  <c r="BV10" i="15"/>
  <c r="CB10" i="15" s="1"/>
  <c r="BY10" i="15"/>
  <c r="CA11" i="39"/>
  <c r="BW11" i="39"/>
  <c r="BZ11" i="39"/>
  <c r="BV11" i="39"/>
  <c r="BY11" i="39"/>
  <c r="BX11" i="39"/>
  <c r="BZ9" i="36"/>
  <c r="BV9" i="36"/>
  <c r="BY9" i="36"/>
  <c r="BX9" i="36"/>
  <c r="CA9" i="36"/>
  <c r="BW9" i="36"/>
  <c r="CA6" i="28"/>
  <c r="BW6" i="28"/>
  <c r="BZ6" i="28"/>
  <c r="BV6" i="28"/>
  <c r="CB6" i="28" s="1"/>
  <c r="BY6" i="28"/>
  <c r="BX6" i="28"/>
  <c r="BZ11" i="20"/>
  <c r="BV11" i="20"/>
  <c r="BY11" i="20"/>
  <c r="BX11" i="20"/>
  <c r="CA11" i="20"/>
  <c r="BW11" i="20"/>
  <c r="BX6" i="31"/>
  <c r="CA6" i="31"/>
  <c r="BW6" i="31"/>
  <c r="BZ6" i="31"/>
  <c r="BV6" i="31"/>
  <c r="CB6" i="31" s="1"/>
  <c r="BY6" i="31"/>
  <c r="CA11" i="11"/>
  <c r="BW11" i="11"/>
  <c r="BZ11" i="11"/>
  <c r="BV11" i="11"/>
  <c r="BY11" i="11"/>
  <c r="BX11" i="11"/>
  <c r="CA8" i="39"/>
  <c r="BY11" i="31"/>
  <c r="BX11" i="31"/>
  <c r="CA11" i="31"/>
  <c r="BW11" i="31"/>
  <c r="BZ11" i="31"/>
  <c r="BV11" i="31"/>
  <c r="CB11" i="31" s="1"/>
  <c r="BX8" i="13"/>
  <c r="CA8" i="13"/>
  <c r="BW8" i="13"/>
  <c r="BZ8" i="13"/>
  <c r="BV8" i="13"/>
  <c r="BY8" i="13"/>
  <c r="AS7" i="33"/>
  <c r="BY8" i="34"/>
  <c r="BX8" i="34"/>
  <c r="CA8" i="34"/>
  <c r="BW8" i="34"/>
  <c r="BZ8" i="34"/>
  <c r="BV8" i="34"/>
  <c r="BW10" i="21"/>
  <c r="BX10" i="26"/>
  <c r="CA10" i="26"/>
  <c r="BW10" i="26"/>
  <c r="BZ10" i="26"/>
  <c r="BV10" i="26"/>
  <c r="BY10" i="26"/>
  <c r="CB11" i="15"/>
  <c r="BZ8" i="24"/>
  <c r="BV8" i="24"/>
  <c r="BY8" i="24"/>
  <c r="BX8" i="24"/>
  <c r="BW8" i="24"/>
  <c r="CA8" i="24"/>
  <c r="BZ7" i="12"/>
  <c r="BV7" i="12"/>
  <c r="BY7" i="12"/>
  <c r="BX7" i="12"/>
  <c r="CA7" i="12"/>
  <c r="BW7" i="12"/>
  <c r="BY10" i="14"/>
  <c r="BX10" i="14"/>
  <c r="CA10" i="14"/>
  <c r="BW10" i="14"/>
  <c r="BV10" i="14"/>
  <c r="BZ10" i="14"/>
  <c r="BX6" i="19"/>
  <c r="CA6" i="19"/>
  <c r="BW6" i="19"/>
  <c r="BZ6" i="19"/>
  <c r="BV6" i="19"/>
  <c r="CB6" i="19" s="1"/>
  <c r="BY6" i="19"/>
  <c r="BY9" i="31"/>
  <c r="BX9" i="31"/>
  <c r="CA9" i="31"/>
  <c r="BW9" i="31"/>
  <c r="BZ9" i="31"/>
  <c r="BV9" i="31"/>
  <c r="CB9" i="31" s="1"/>
  <c r="AS7" i="32"/>
  <c r="BZ9" i="40"/>
  <c r="BV9" i="40"/>
  <c r="BY9" i="40"/>
  <c r="BX9" i="40"/>
  <c r="CA9" i="40"/>
  <c r="BW9" i="40"/>
  <c r="BZ8" i="23"/>
  <c r="BV8" i="23"/>
  <c r="BY8" i="23"/>
  <c r="BX8" i="23"/>
  <c r="CA8" i="23"/>
  <c r="BW8" i="23"/>
  <c r="BX11" i="22"/>
  <c r="CA11" i="22"/>
  <c r="BW11" i="22"/>
  <c r="BZ11" i="22"/>
  <c r="BV11" i="22"/>
  <c r="BY11" i="22"/>
  <c r="BZ9" i="30"/>
  <c r="BV9" i="30"/>
  <c r="BY9" i="30"/>
  <c r="BX9" i="30"/>
  <c r="BW9" i="30"/>
  <c r="CA9" i="30"/>
  <c r="AS10" i="33"/>
  <c r="BZ8" i="28"/>
  <c r="CB8" i="28" s="1"/>
  <c r="BX6" i="35"/>
  <c r="CA6" i="35"/>
  <c r="BW6" i="35"/>
  <c r="BZ6" i="35"/>
  <c r="BV6" i="35"/>
  <c r="BY6" i="35"/>
  <c r="BZ11" i="36"/>
  <c r="BV11" i="36"/>
  <c r="BY11" i="36"/>
  <c r="BX11" i="36"/>
  <c r="CA11" i="36"/>
  <c r="BW11" i="36"/>
  <c r="BV7" i="31"/>
  <c r="BX7" i="31"/>
  <c r="BZ7" i="40"/>
  <c r="BV7" i="40"/>
  <c r="BY7" i="40"/>
  <c r="BX7" i="40"/>
  <c r="CA7" i="40"/>
  <c r="BW7" i="40"/>
  <c r="BZ6" i="29"/>
  <c r="BV6" i="29"/>
  <c r="BY6" i="29"/>
  <c r="BX6" i="29"/>
  <c r="CA6" i="29"/>
  <c r="BW6" i="29"/>
  <c r="BY8" i="18"/>
  <c r="BX8" i="18"/>
  <c r="CA8" i="18"/>
  <c r="BW8" i="18"/>
  <c r="BZ8" i="18"/>
  <c r="BV8" i="18"/>
  <c r="CB8" i="18" s="1"/>
  <c r="CA7" i="39"/>
  <c r="BZ10" i="29"/>
  <c r="BV10" i="29"/>
  <c r="BY10" i="29"/>
  <c r="BX10" i="29"/>
  <c r="CA10" i="29"/>
  <c r="BW10" i="29"/>
  <c r="BY8" i="30"/>
  <c r="BX8" i="30"/>
  <c r="CA8" i="30"/>
  <c r="BW8" i="30"/>
  <c r="BZ8" i="30"/>
  <c r="BV8" i="30"/>
  <c r="BY10" i="39"/>
  <c r="CA9" i="23"/>
  <c r="BW9" i="23"/>
  <c r="BZ9" i="23"/>
  <c r="BV9" i="23"/>
  <c r="BY9" i="23"/>
  <c r="BX9" i="23"/>
  <c r="CA11" i="24"/>
  <c r="BW11" i="24"/>
  <c r="BZ11" i="24"/>
  <c r="BV11" i="24"/>
  <c r="CB11" i="24" s="1"/>
  <c r="BY11" i="24"/>
  <c r="BX11" i="24"/>
  <c r="BZ11" i="34"/>
  <c r="BV11" i="34"/>
  <c r="BY11" i="34"/>
  <c r="BX11" i="34"/>
  <c r="CA11" i="34"/>
  <c r="BW11" i="34"/>
  <c r="BW8" i="21"/>
  <c r="CB8" i="21" s="1"/>
  <c r="CA9" i="29"/>
  <c r="BW9" i="29"/>
  <c r="BZ9" i="29"/>
  <c r="BV9" i="29"/>
  <c r="CB9" i="29" s="1"/>
  <c r="BY9" i="29"/>
  <c r="BX9" i="29"/>
  <c r="AS8" i="32"/>
  <c r="BX9" i="32" s="1"/>
  <c r="BY7" i="37"/>
  <c r="BX7" i="37"/>
  <c r="CA7" i="37"/>
  <c r="BW7" i="37"/>
  <c r="BZ7" i="37"/>
  <c r="BV7" i="37"/>
  <c r="CA10" i="22"/>
  <c r="BW10" i="22"/>
  <c r="BZ10" i="22"/>
  <c r="BV10" i="22"/>
  <c r="BY10" i="22"/>
  <c r="BX10" i="22"/>
  <c r="BZ8" i="11"/>
  <c r="BV8" i="11"/>
  <c r="BY8" i="11"/>
  <c r="BX8" i="11"/>
  <c r="CA8" i="11"/>
  <c r="BW8" i="11"/>
  <c r="BY10" i="42"/>
  <c r="BX10" i="42"/>
  <c r="CA10" i="42"/>
  <c r="BW10" i="42"/>
  <c r="BZ10" i="42"/>
  <c r="BV10" i="42"/>
  <c r="CB10" i="42" s="1"/>
  <c r="BX11" i="28"/>
  <c r="CA11" i="28"/>
  <c r="BW11" i="28"/>
  <c r="BZ11" i="28"/>
  <c r="BV11" i="28"/>
  <c r="BY11" i="28"/>
  <c r="BY11" i="26"/>
  <c r="BX11" i="26"/>
  <c r="CA11" i="26"/>
  <c r="BW11" i="26"/>
  <c r="BZ11" i="26"/>
  <c r="BV11" i="26"/>
  <c r="CA11" i="23"/>
  <c r="BW11" i="23"/>
  <c r="BZ11" i="23"/>
  <c r="BV11" i="23"/>
  <c r="BY11" i="23"/>
  <c r="BX11" i="23"/>
  <c r="BX7" i="38"/>
  <c r="CA7" i="38"/>
  <c r="BW7" i="38"/>
  <c r="BZ7" i="38"/>
  <c r="BV7" i="38"/>
  <c r="CB7" i="38" s="1"/>
  <c r="BY7" i="38"/>
  <c r="BY8" i="36"/>
  <c r="BX8" i="36"/>
  <c r="CA8" i="36"/>
  <c r="BW8" i="36"/>
  <c r="BZ8" i="36"/>
  <c r="BV8" i="36"/>
  <c r="BY6" i="40"/>
  <c r="BX6" i="40"/>
  <c r="CA6" i="40"/>
  <c r="BW6" i="40"/>
  <c r="BZ6" i="40"/>
  <c r="BV6" i="40"/>
  <c r="BX9" i="38"/>
  <c r="CA9" i="38"/>
  <c r="BW9" i="38"/>
  <c r="BZ9" i="38"/>
  <c r="BV9" i="38"/>
  <c r="BY9" i="38"/>
  <c r="BY6" i="20"/>
  <c r="BX6" i="20"/>
  <c r="CA6" i="20"/>
  <c r="BW6" i="20"/>
  <c r="BZ6" i="20"/>
  <c r="BV6" i="20"/>
  <c r="BX7" i="22"/>
  <c r="CA7" i="22"/>
  <c r="BW7" i="22"/>
  <c r="BZ7" i="22"/>
  <c r="BV7" i="22"/>
  <c r="CB7" i="22" s="1"/>
  <c r="BY7" i="22"/>
  <c r="BY9" i="15"/>
  <c r="BX9" i="15"/>
  <c r="CA9" i="15"/>
  <c r="BW9" i="15"/>
  <c r="BZ9" i="15"/>
  <c r="BV9" i="15"/>
  <c r="CB9" i="15" s="1"/>
  <c r="BY7" i="41"/>
  <c r="BX7" i="41"/>
  <c r="CA7" i="41"/>
  <c r="BW7" i="41"/>
  <c r="BZ7" i="41"/>
  <c r="BV7" i="41"/>
  <c r="BX11" i="16"/>
  <c r="CA11" i="16"/>
  <c r="BW11" i="16"/>
  <c r="BZ11" i="16"/>
  <c r="BV11" i="16"/>
  <c r="BY11" i="16"/>
  <c r="CB10" i="21"/>
  <c r="BZ9" i="42"/>
  <c r="BV9" i="42"/>
  <c r="BY9" i="42"/>
  <c r="BX9" i="42"/>
  <c r="CA9" i="42"/>
  <c r="BW9" i="42"/>
  <c r="BY8" i="26"/>
  <c r="CA8" i="26"/>
  <c r="BX9" i="12"/>
  <c r="CB9" i="12" s="1"/>
  <c r="BW9" i="41"/>
  <c r="CB9" i="41" s="1"/>
  <c r="BX6" i="12"/>
  <c r="BV7" i="19"/>
  <c r="BV10" i="17"/>
  <c r="CB10" i="17" s="1"/>
  <c r="BZ7" i="36"/>
  <c r="BV7" i="36"/>
  <c r="BX7" i="36"/>
  <c r="CA7" i="36"/>
  <c r="BW7" i="36"/>
  <c r="BY7" i="36"/>
  <c r="BX7" i="14"/>
  <c r="CA7" i="14"/>
  <c r="BW7" i="14"/>
  <c r="BZ7" i="14"/>
  <c r="BV7" i="14"/>
  <c r="BY7" i="14"/>
  <c r="BZ6" i="16"/>
  <c r="CB6" i="15"/>
  <c r="BW11" i="14"/>
  <c r="BV11" i="14"/>
  <c r="CA6" i="13"/>
  <c r="BY8" i="15"/>
  <c r="BX7" i="30"/>
  <c r="CB7" i="30" s="1"/>
  <c r="BZ11" i="18"/>
  <c r="BY8" i="42"/>
  <c r="BX8" i="42"/>
  <c r="CA8" i="42"/>
  <c r="BW8" i="42"/>
  <c r="BZ8" i="42"/>
  <c r="BV8" i="42"/>
  <c r="BZ8" i="37"/>
  <c r="CA9" i="22"/>
  <c r="BV7" i="17"/>
  <c r="CB7" i="17" s="1"/>
  <c r="BZ9" i="34"/>
  <c r="BV9" i="34"/>
  <c r="BY9" i="34"/>
  <c r="BX9" i="34"/>
  <c r="CA9" i="34"/>
  <c r="BW9" i="34"/>
  <c r="BV7" i="26"/>
  <c r="BY11" i="35"/>
  <c r="BX11" i="35"/>
  <c r="CA11" i="35"/>
  <c r="BW11" i="35"/>
  <c r="BZ11" i="35"/>
  <c r="BV11" i="35"/>
  <c r="BX8" i="19"/>
  <c r="CA8" i="19"/>
  <c r="BW8" i="19"/>
  <c r="BZ8" i="19"/>
  <c r="BV8" i="19"/>
  <c r="BY8" i="19"/>
  <c r="BY7" i="35"/>
  <c r="BX7" i="35"/>
  <c r="CA7" i="35"/>
  <c r="BW7" i="35"/>
  <c r="BZ7" i="35"/>
  <c r="BV7" i="35"/>
  <c r="BZ11" i="25"/>
  <c r="BV11" i="25"/>
  <c r="BY11" i="25"/>
  <c r="BX11" i="25"/>
  <c r="CA11" i="25"/>
  <c r="BW11" i="25"/>
  <c r="CA10" i="39"/>
  <c r="BX9" i="33"/>
  <c r="BZ9" i="33"/>
  <c r="BY9" i="33"/>
  <c r="BW9" i="33"/>
  <c r="BV9" i="33"/>
  <c r="CA9" i="33"/>
  <c r="BY11" i="21"/>
  <c r="BX11" i="21"/>
  <c r="CA11" i="21"/>
  <c r="BW11" i="21"/>
  <c r="BZ11" i="21"/>
  <c r="BV11" i="21"/>
  <c r="AS10" i="32"/>
  <c r="BZ9" i="32" s="1"/>
  <c r="CA6" i="38"/>
  <c r="BW6" i="38"/>
  <c r="BZ6" i="38"/>
  <c r="BV6" i="38"/>
  <c r="CB6" i="38" s="1"/>
  <c r="BY6" i="38"/>
  <c r="BX6" i="38"/>
  <c r="BZ7" i="34"/>
  <c r="BV7" i="34"/>
  <c r="BY7" i="34"/>
  <c r="BX7" i="34"/>
  <c r="CA7" i="34"/>
  <c r="BW7" i="34"/>
  <c r="CA6" i="21"/>
  <c r="BZ6" i="24"/>
  <c r="BV6" i="24"/>
  <c r="BY6" i="24"/>
  <c r="BX6" i="24"/>
  <c r="BW6" i="24"/>
  <c r="CA6" i="24"/>
  <c r="CB8" i="29"/>
  <c r="BZ6" i="10"/>
  <c r="BV6" i="10"/>
  <c r="BY6" i="10"/>
  <c r="BX6" i="10"/>
  <c r="CA6" i="10"/>
  <c r="BW6" i="10"/>
  <c r="BX7" i="16"/>
  <c r="CA7" i="16"/>
  <c r="BW7" i="16"/>
  <c r="BZ7" i="16"/>
  <c r="BV7" i="16"/>
  <c r="BY7" i="16"/>
  <c r="BX11" i="27"/>
  <c r="CA11" i="27"/>
  <c r="BW11" i="27"/>
  <c r="BZ11" i="27"/>
  <c r="BV11" i="27"/>
  <c r="BY11" i="27"/>
  <c r="CB9" i="37"/>
  <c r="CA6" i="27"/>
  <c r="BW6" i="27"/>
  <c r="BZ6" i="27"/>
  <c r="BV6" i="27"/>
  <c r="BY6" i="27"/>
  <c r="BX6" i="27"/>
  <c r="BY7" i="31"/>
  <c r="BY9" i="21"/>
  <c r="BX9" i="21"/>
  <c r="CA9" i="21"/>
  <c r="BW9" i="21"/>
  <c r="BZ9" i="21"/>
  <c r="BV9" i="21"/>
  <c r="CB9" i="21" s="1"/>
  <c r="BX10" i="41"/>
  <c r="CA10" i="41"/>
  <c r="BW10" i="41"/>
  <c r="BZ10" i="41"/>
  <c r="BV10" i="41"/>
  <c r="BY10" i="41"/>
  <c r="BX8" i="35"/>
  <c r="CA8" i="35"/>
  <c r="BW8" i="35"/>
  <c r="BZ8" i="35"/>
  <c r="BV8" i="35"/>
  <c r="BY8" i="35"/>
  <c r="BY6" i="42"/>
  <c r="BX6" i="42"/>
  <c r="CA6" i="42"/>
  <c r="BW6" i="42"/>
  <c r="BZ6" i="42"/>
  <c r="BV6" i="42"/>
  <c r="CA10" i="38"/>
  <c r="BW10" i="38"/>
  <c r="BZ10" i="38"/>
  <c r="BV10" i="38"/>
  <c r="BY10" i="38"/>
  <c r="BX10" i="38"/>
  <c r="BV7" i="39"/>
  <c r="CB7" i="39" s="1"/>
  <c r="BX11" i="38"/>
  <c r="CA11" i="38"/>
  <c r="BW11" i="38"/>
  <c r="BZ11" i="38"/>
  <c r="BV11" i="38"/>
  <c r="BY11" i="38"/>
  <c r="BY10" i="25"/>
  <c r="BX10" i="25"/>
  <c r="CA10" i="25"/>
  <c r="BW10" i="25"/>
  <c r="BV10" i="25"/>
  <c r="CB10" i="25" s="1"/>
  <c r="BZ10" i="25"/>
  <c r="BV10" i="39"/>
  <c r="CB10" i="39" s="1"/>
  <c r="BY7" i="27"/>
  <c r="CB7" i="27" s="1"/>
  <c r="CA7" i="27"/>
  <c r="BY8" i="21"/>
  <c r="CA8" i="21"/>
  <c r="BX9" i="28"/>
  <c r="CA9" i="28"/>
  <c r="BW9" i="28"/>
  <c r="BZ9" i="28"/>
  <c r="BV9" i="28"/>
  <c r="CB9" i="28" s="1"/>
  <c r="BY9" i="28"/>
  <c r="BX7" i="28"/>
  <c r="CA7" i="28"/>
  <c r="BW7" i="28"/>
  <c r="BZ7" i="28"/>
  <c r="BV7" i="28"/>
  <c r="BY7" i="28"/>
  <c r="CA9" i="39"/>
  <c r="BW9" i="39"/>
  <c r="BZ9" i="39"/>
  <c r="BV9" i="39"/>
  <c r="BY9" i="39"/>
  <c r="BX9" i="39"/>
  <c r="BY9" i="19"/>
  <c r="BX9" i="19"/>
  <c r="CA9" i="19"/>
  <c r="BW9" i="19"/>
  <c r="BZ9" i="19"/>
  <c r="BV9" i="19"/>
  <c r="BX6" i="37"/>
  <c r="CA6" i="37"/>
  <c r="BW6" i="37"/>
  <c r="BZ6" i="37"/>
  <c r="BV6" i="37"/>
  <c r="CB6" i="37" s="1"/>
  <c r="BY6" i="37"/>
  <c r="BW10" i="13"/>
  <c r="CB10" i="13" s="1"/>
  <c r="BY10" i="20"/>
  <c r="BX10" i="20"/>
  <c r="CA10" i="20"/>
  <c r="BW10" i="20"/>
  <c r="BZ10" i="20"/>
  <c r="BV10" i="20"/>
  <c r="BZ7" i="18"/>
  <c r="BV7" i="18"/>
  <c r="BY7" i="18"/>
  <c r="BX7" i="18"/>
  <c r="CA7" i="18"/>
  <c r="BW7" i="18"/>
  <c r="CA7" i="10"/>
  <c r="BW7" i="10"/>
  <c r="BZ7" i="10"/>
  <c r="BV7" i="10"/>
  <c r="BY7" i="10"/>
  <c r="BX7" i="10"/>
  <c r="BZ7" i="23"/>
  <c r="CB7" i="23" s="1"/>
  <c r="BV8" i="39"/>
  <c r="CB8" i="39" s="1"/>
  <c r="BY9" i="35"/>
  <c r="BX9" i="35"/>
  <c r="CA9" i="35"/>
  <c r="BW9" i="35"/>
  <c r="BZ9" i="35"/>
  <c r="BV9" i="35"/>
  <c r="CA8" i="27"/>
  <c r="BW8" i="27"/>
  <c r="BZ8" i="27"/>
  <c r="BV8" i="27"/>
  <c r="BY8" i="27"/>
  <c r="BX8" i="27"/>
  <c r="BY8" i="25"/>
  <c r="BX8" i="25"/>
  <c r="CA8" i="25"/>
  <c r="BW8" i="25"/>
  <c r="BV8" i="25"/>
  <c r="CB8" i="25" s="1"/>
  <c r="BZ8" i="25"/>
  <c r="BY6" i="30"/>
  <c r="BX6" i="30"/>
  <c r="CA6" i="30"/>
  <c r="BW6" i="30"/>
  <c r="BV6" i="30"/>
  <c r="BZ6" i="30"/>
  <c r="BX10" i="19"/>
  <c r="CA10" i="19"/>
  <c r="BW10" i="19"/>
  <c r="BZ10" i="19"/>
  <c r="BV10" i="19"/>
  <c r="BY10" i="19"/>
  <c r="BY9" i="13"/>
  <c r="BX9" i="13"/>
  <c r="CA9" i="13"/>
  <c r="BW9" i="13"/>
  <c r="BV9" i="13"/>
  <c r="BZ9" i="13"/>
  <c r="BY7" i="15"/>
  <c r="BX7" i="15"/>
  <c r="CA7" i="15"/>
  <c r="BW7" i="15"/>
  <c r="BZ7" i="15"/>
  <c r="BV7" i="15"/>
  <c r="CB7" i="15" s="1"/>
  <c r="BZ6" i="23"/>
  <c r="BV6" i="23"/>
  <c r="BY6" i="23"/>
  <c r="BX6" i="23"/>
  <c r="CA6" i="23"/>
  <c r="BW6" i="23"/>
  <c r="BX10" i="30"/>
  <c r="CB10" i="30" s="1"/>
  <c r="BZ11" i="12"/>
  <c r="BV11" i="12"/>
  <c r="BY11" i="12"/>
  <c r="BX11" i="12"/>
  <c r="CA11" i="12"/>
  <c r="BW11" i="12"/>
  <c r="CA7" i="29"/>
  <c r="BW7" i="29"/>
  <c r="BZ7" i="29"/>
  <c r="BV7" i="29"/>
  <c r="BY7" i="29"/>
  <c r="BX7" i="29"/>
  <c r="BZ6" i="11"/>
  <c r="BV6" i="11"/>
  <c r="BY6" i="11"/>
  <c r="BX6" i="11"/>
  <c r="CA6" i="11"/>
  <c r="BW6" i="11"/>
  <c r="BW6" i="21"/>
  <c r="CB6" i="21" s="1"/>
  <c r="BV10" i="35"/>
  <c r="BX10" i="35"/>
  <c r="BV8" i="26"/>
  <c r="CB8" i="26" s="1"/>
  <c r="CA8" i="10"/>
  <c r="BZ8" i="10"/>
  <c r="CA9" i="41"/>
  <c r="BZ6" i="12"/>
  <c r="CB6" i="12" s="1"/>
  <c r="BZ7" i="19"/>
  <c r="BY7" i="19"/>
  <c r="BZ7" i="42"/>
  <c r="BV7" i="42"/>
  <c r="BY7" i="42"/>
  <c r="BX7" i="42"/>
  <c r="CA7" i="42"/>
  <c r="BW7" i="42"/>
  <c r="BX6" i="16"/>
  <c r="BW6" i="16"/>
  <c r="CB6" i="16" s="1"/>
  <c r="BX6" i="41"/>
  <c r="CA6" i="41"/>
  <c r="BW6" i="41"/>
  <c r="BZ6" i="41"/>
  <c r="BV6" i="41"/>
  <c r="CB6" i="41" s="1"/>
  <c r="BY6" i="41"/>
  <c r="BZ11" i="14"/>
  <c r="BX6" i="13"/>
  <c r="CB6" i="13" s="1"/>
  <c r="CB8" i="15"/>
  <c r="BY7" i="30"/>
  <c r="BY11" i="17"/>
  <c r="BX11" i="18"/>
  <c r="BX9" i="16"/>
  <c r="CA9" i="16"/>
  <c r="BW9" i="16"/>
  <c r="BZ9" i="16"/>
  <c r="BV9" i="16"/>
  <c r="BY9" i="16"/>
  <c r="BZ10" i="11"/>
  <c r="BV10" i="11"/>
  <c r="CB10" i="11" s="1"/>
  <c r="BY10" i="11"/>
  <c r="BX10" i="11"/>
  <c r="CA10" i="11"/>
  <c r="BW10" i="11"/>
  <c r="BW8" i="37"/>
  <c r="CB8" i="37" s="1"/>
  <c r="BV9" i="22"/>
  <c r="BX9" i="22"/>
  <c r="CA7" i="11"/>
  <c r="BW7" i="11"/>
  <c r="BZ7" i="11"/>
  <c r="BV7" i="11"/>
  <c r="BY7" i="11"/>
  <c r="BX7" i="11"/>
  <c r="BZ7" i="26"/>
  <c r="BY7" i="26"/>
  <c r="BZ9" i="11"/>
  <c r="CB9" i="11" s="1"/>
  <c r="BZ11" i="42"/>
  <c r="CB11" i="42" s="1"/>
  <c r="H13" i="61" l="1"/>
  <c r="AJ13" i="6"/>
  <c r="D3" i="60"/>
  <c r="F6" i="57"/>
  <c r="F7" i="57"/>
  <c r="F9" i="57"/>
  <c r="F17" i="57"/>
  <c r="AI168" i="6"/>
  <c r="AK168" i="6"/>
  <c r="AJ168" i="6"/>
  <c r="AI71" i="6"/>
  <c r="A245" i="61"/>
  <c r="AK71" i="6"/>
  <c r="AJ71" i="6"/>
  <c r="A457" i="61"/>
  <c r="AI124" i="6"/>
  <c r="AK124" i="6"/>
  <c r="AJ124" i="6"/>
  <c r="A493" i="61"/>
  <c r="AJ133" i="6"/>
  <c r="AI133" i="6"/>
  <c r="AK133" i="6"/>
  <c r="AJ135" i="6"/>
  <c r="AI135" i="6"/>
  <c r="A501" i="61"/>
  <c r="AK135" i="6"/>
  <c r="AJ186" i="6"/>
  <c r="AI186" i="6"/>
  <c r="AK186" i="6"/>
  <c r="AI176" i="6"/>
  <c r="AK176" i="6"/>
  <c r="AJ176" i="6"/>
  <c r="AI94" i="6"/>
  <c r="A337" i="61"/>
  <c r="AK94" i="6"/>
  <c r="AJ94" i="6"/>
  <c r="AK175" i="6"/>
  <c r="AJ175" i="6"/>
  <c r="AI175" i="6"/>
  <c r="AJ155" i="6"/>
  <c r="AI155" i="6"/>
  <c r="AK155" i="6"/>
  <c r="AK173" i="6"/>
  <c r="AJ173" i="6"/>
  <c r="AI173" i="6"/>
  <c r="AK131" i="6"/>
  <c r="AJ131" i="6"/>
  <c r="AI131" i="6"/>
  <c r="A485" i="61"/>
  <c r="AK67" i="6"/>
  <c r="AJ67" i="6"/>
  <c r="AI67" i="6"/>
  <c r="A229" i="61"/>
  <c r="AI120" i="6"/>
  <c r="AK120" i="6"/>
  <c r="AJ120" i="6"/>
  <c r="A441" i="61"/>
  <c r="AJ117" i="6"/>
  <c r="AI117" i="6"/>
  <c r="AK117" i="6"/>
  <c r="A429" i="61"/>
  <c r="AK190" i="6"/>
  <c r="AJ190" i="6"/>
  <c r="AI190" i="6"/>
  <c r="AJ178" i="6"/>
  <c r="AI178" i="6"/>
  <c r="AK178" i="6"/>
  <c r="AI139" i="6"/>
  <c r="AK139" i="6"/>
  <c r="AJ139" i="6"/>
  <c r="A353" i="61"/>
  <c r="AK98" i="6"/>
  <c r="AJ98" i="6"/>
  <c r="AI98" i="6"/>
  <c r="AJ183" i="6"/>
  <c r="AI183" i="6"/>
  <c r="AK183" i="6"/>
  <c r="AI163" i="6"/>
  <c r="AK163" i="6"/>
  <c r="AJ163" i="6"/>
  <c r="AJ177" i="6"/>
  <c r="AI177" i="6"/>
  <c r="AK177" i="6"/>
  <c r="AK127" i="6"/>
  <c r="AJ127" i="6"/>
  <c r="AI127" i="6"/>
  <c r="A469" i="61"/>
  <c r="AI63" i="6"/>
  <c r="AK63" i="6"/>
  <c r="AJ63" i="6"/>
  <c r="A213" i="61"/>
  <c r="AI116" i="6"/>
  <c r="AK116" i="6"/>
  <c r="AJ116" i="6"/>
  <c r="A425" i="61"/>
  <c r="AJ101" i="6"/>
  <c r="AI101" i="6"/>
  <c r="AK101" i="6"/>
  <c r="A365" i="61"/>
  <c r="AK182" i="6"/>
  <c r="AJ182" i="6"/>
  <c r="AI182" i="6"/>
  <c r="AI170" i="6"/>
  <c r="AK170" i="6"/>
  <c r="AJ170" i="6"/>
  <c r="AJ198" i="6"/>
  <c r="AI198" i="6"/>
  <c r="AK198" i="6"/>
  <c r="AK102" i="6"/>
  <c r="AJ102" i="6"/>
  <c r="AI102" i="6"/>
  <c r="A369" i="61"/>
  <c r="AI191" i="6"/>
  <c r="AK191" i="6"/>
  <c r="AJ191" i="6"/>
  <c r="AK171" i="6"/>
  <c r="AJ171" i="6"/>
  <c r="AI171" i="6"/>
  <c r="AJ181" i="6"/>
  <c r="AI181" i="6"/>
  <c r="AK181" i="6"/>
  <c r="AK196" i="6"/>
  <c r="AJ196" i="6"/>
  <c r="AI196" i="6"/>
  <c r="AK75" i="6"/>
  <c r="AI75" i="6"/>
  <c r="AJ75" i="6"/>
  <c r="A261" i="61"/>
  <c r="AI128" i="6"/>
  <c r="AK128" i="6"/>
  <c r="AJ128" i="6"/>
  <c r="A473" i="61"/>
  <c r="AI64" i="6"/>
  <c r="AJ64" i="6"/>
  <c r="AK64" i="6"/>
  <c r="A217" i="61"/>
  <c r="AI152" i="6"/>
  <c r="AK152" i="6"/>
  <c r="AJ152" i="6"/>
  <c r="AJ194" i="6"/>
  <c r="AI194" i="6"/>
  <c r="AK194" i="6"/>
  <c r="AI188" i="6"/>
  <c r="AK188" i="6"/>
  <c r="AJ188" i="6"/>
  <c r="AI66" i="6"/>
  <c r="A225" i="61"/>
  <c r="AK66" i="6"/>
  <c r="AJ66" i="6"/>
  <c r="AK167" i="6"/>
  <c r="AJ167" i="6"/>
  <c r="AI167" i="6"/>
  <c r="AK78" i="6"/>
  <c r="AJ78" i="6"/>
  <c r="AI78" i="6"/>
  <c r="A273" i="61"/>
  <c r="AI169" i="6"/>
  <c r="AK169" i="6"/>
  <c r="AJ169" i="6"/>
  <c r="F10" i="57"/>
  <c r="F14" i="57"/>
  <c r="F12" i="57"/>
  <c r="F18" i="57"/>
  <c r="AI119" i="6"/>
  <c r="A437" i="61"/>
  <c r="AK119" i="6"/>
  <c r="AJ119" i="6"/>
  <c r="AJ55" i="6"/>
  <c r="A181" i="61"/>
  <c r="AI55" i="6"/>
  <c r="AK55" i="6"/>
  <c r="A393" i="61"/>
  <c r="AI108" i="6"/>
  <c r="AK108" i="6"/>
  <c r="AJ108" i="6"/>
  <c r="A125" i="61"/>
  <c r="AJ41" i="6"/>
  <c r="AK41" i="6"/>
  <c r="AI41" i="6"/>
  <c r="AK166" i="6"/>
  <c r="AJ166" i="6"/>
  <c r="AI166" i="6"/>
  <c r="AJ154" i="6"/>
  <c r="AI154" i="6"/>
  <c r="AK154" i="6"/>
  <c r="AK28" i="6"/>
  <c r="A73" i="61"/>
  <c r="AI28" i="6"/>
  <c r="AJ28" i="6"/>
  <c r="AI110" i="6"/>
  <c r="A401" i="61"/>
  <c r="AK110" i="6"/>
  <c r="AJ110" i="6"/>
  <c r="AK34" i="6"/>
  <c r="AJ34" i="6"/>
  <c r="AI34" i="6"/>
  <c r="A97" i="61"/>
  <c r="AI187" i="6"/>
  <c r="AK187" i="6"/>
  <c r="AJ187" i="6"/>
  <c r="AJ189" i="6"/>
  <c r="AI189" i="6"/>
  <c r="AK189" i="6"/>
  <c r="AK115" i="6"/>
  <c r="AJ115" i="6"/>
  <c r="AI115" i="6"/>
  <c r="A421" i="61"/>
  <c r="AI51" i="6"/>
  <c r="AK51" i="6"/>
  <c r="AJ51" i="6"/>
  <c r="A165" i="61"/>
  <c r="AI104" i="6"/>
  <c r="AK104" i="6"/>
  <c r="AJ104" i="6"/>
  <c r="A377" i="61"/>
  <c r="AJ29" i="6"/>
  <c r="AI29" i="6"/>
  <c r="AK29" i="6"/>
  <c r="A77" i="61"/>
  <c r="AJ158" i="6"/>
  <c r="AI158" i="6"/>
  <c r="AK158" i="6"/>
  <c r="AK148" i="6"/>
  <c r="AI148" i="6"/>
  <c r="AJ148" i="6"/>
  <c r="AJ141" i="6"/>
  <c r="AI141" i="6"/>
  <c r="AK141" i="6"/>
  <c r="A417" i="61"/>
  <c r="AK114" i="6"/>
  <c r="AJ114" i="6"/>
  <c r="AI114" i="6"/>
  <c r="AJ58" i="6"/>
  <c r="AI58" i="6"/>
  <c r="A193" i="61"/>
  <c r="AK58" i="6"/>
  <c r="AK195" i="6"/>
  <c r="AJ195" i="6"/>
  <c r="AI195" i="6"/>
  <c r="AI193" i="6"/>
  <c r="AK193" i="6"/>
  <c r="AJ193" i="6"/>
  <c r="AK111" i="6"/>
  <c r="AJ111" i="6"/>
  <c r="AI111" i="6"/>
  <c r="A405" i="61"/>
  <c r="AK47" i="6"/>
  <c r="AJ47" i="6"/>
  <c r="AI47" i="6"/>
  <c r="A149" i="61"/>
  <c r="AI100" i="6"/>
  <c r="AK100" i="6"/>
  <c r="AJ100" i="6"/>
  <c r="A361" i="61"/>
  <c r="AJ37" i="6"/>
  <c r="AI37" i="6"/>
  <c r="AK37" i="6"/>
  <c r="A109" i="61"/>
  <c r="AJ150" i="6"/>
  <c r="AI150" i="6"/>
  <c r="AK150" i="6"/>
  <c r="AI65" i="6"/>
  <c r="AK65" i="6"/>
  <c r="A221" i="61"/>
  <c r="AJ65" i="6"/>
  <c r="AJ125" i="6"/>
  <c r="AI125" i="6"/>
  <c r="AK125" i="6"/>
  <c r="A461" i="61"/>
  <c r="AK118" i="6"/>
  <c r="AJ118" i="6"/>
  <c r="AI118" i="6"/>
  <c r="A433" i="61"/>
  <c r="AI70" i="6"/>
  <c r="A241" i="61"/>
  <c r="AK70" i="6"/>
  <c r="AJ70" i="6"/>
  <c r="A129" i="61"/>
  <c r="AK42" i="6"/>
  <c r="AJ42" i="6"/>
  <c r="AI42" i="6"/>
  <c r="AI197" i="6"/>
  <c r="AK197" i="6"/>
  <c r="AJ197" i="6"/>
  <c r="AK123" i="6"/>
  <c r="AJ123" i="6"/>
  <c r="AI123" i="6"/>
  <c r="A453" i="61"/>
  <c r="AK59" i="6"/>
  <c r="AJ59" i="6"/>
  <c r="AI59" i="6"/>
  <c r="A197" i="61"/>
  <c r="AI112" i="6"/>
  <c r="AK112" i="6"/>
  <c r="AJ112" i="6"/>
  <c r="A409" i="61"/>
  <c r="AJ89" i="6"/>
  <c r="AI89" i="6"/>
  <c r="AK89" i="6"/>
  <c r="A317" i="61"/>
  <c r="AJ174" i="6"/>
  <c r="AI174" i="6"/>
  <c r="AK174" i="6"/>
  <c r="AI162" i="6"/>
  <c r="AK162" i="6"/>
  <c r="AJ162" i="6"/>
  <c r="AJ32" i="6"/>
  <c r="A89" i="61"/>
  <c r="AI32" i="6"/>
  <c r="AK32" i="6"/>
  <c r="AI106" i="6"/>
  <c r="A385" i="61"/>
  <c r="AK106" i="6"/>
  <c r="AJ106" i="6"/>
  <c r="AK199" i="6"/>
  <c r="AJ199" i="6"/>
  <c r="AI199" i="6"/>
  <c r="AJ179" i="6"/>
  <c r="AI179" i="6"/>
  <c r="AK179" i="6"/>
  <c r="AK185" i="6"/>
  <c r="AJ185" i="6"/>
  <c r="AI185" i="6"/>
  <c r="AA2" i="54"/>
  <c r="AB2" i="54"/>
  <c r="E2" i="44"/>
  <c r="F157" i="6"/>
  <c r="F171" i="6"/>
  <c r="F151" i="6"/>
  <c r="F132" i="6"/>
  <c r="F196" i="6"/>
  <c r="F164" i="6"/>
  <c r="F75" i="6"/>
  <c r="F39" i="6"/>
  <c r="F122" i="6"/>
  <c r="F106" i="6"/>
  <c r="F90" i="6"/>
  <c r="F74" i="6"/>
  <c r="F58" i="6"/>
  <c r="F42" i="6"/>
  <c r="F47" i="6"/>
  <c r="F23" i="6"/>
  <c r="F200" i="6"/>
  <c r="F168" i="6"/>
  <c r="F139" i="6"/>
  <c r="F123" i="6"/>
  <c r="F107" i="6"/>
  <c r="F91" i="6"/>
  <c r="F55" i="6"/>
  <c r="F162" i="6"/>
  <c r="F194" i="6"/>
  <c r="F37" i="6"/>
  <c r="F53" i="6"/>
  <c r="F166" i="6"/>
  <c r="F148" i="6"/>
  <c r="F69" i="6"/>
  <c r="F133" i="6"/>
  <c r="F88" i="6"/>
  <c r="F18" i="6"/>
  <c r="F29" i="6"/>
  <c r="F189" i="6"/>
  <c r="F89" i="6"/>
  <c r="F198" i="6"/>
  <c r="F76" i="6"/>
  <c r="F146" i="6"/>
  <c r="F199" i="6"/>
  <c r="F173" i="6"/>
  <c r="F130" i="6"/>
  <c r="F93" i="6"/>
  <c r="F32" i="6"/>
  <c r="F96" i="6"/>
  <c r="F97" i="6"/>
  <c r="F52" i="6"/>
  <c r="F116" i="6"/>
  <c r="F197" i="6"/>
  <c r="F153" i="6"/>
  <c r="F167" i="6"/>
  <c r="F144" i="6"/>
  <c r="F87" i="6"/>
  <c r="F188" i="6"/>
  <c r="F156" i="6"/>
  <c r="F63" i="6"/>
  <c r="F25" i="6"/>
  <c r="F118" i="6"/>
  <c r="F102" i="6"/>
  <c r="F86" i="6"/>
  <c r="F70" i="6"/>
  <c r="F54" i="6"/>
  <c r="F38" i="6"/>
  <c r="F35" i="6"/>
  <c r="F19" i="6"/>
  <c r="F192" i="6"/>
  <c r="F160" i="6"/>
  <c r="F135" i="6"/>
  <c r="F119" i="6"/>
  <c r="F103" i="6"/>
  <c r="F83" i="6"/>
  <c r="F21" i="6"/>
  <c r="F170" i="6"/>
  <c r="F202" i="6"/>
  <c r="F41" i="6"/>
  <c r="F57" i="6"/>
  <c r="F174" i="6"/>
  <c r="F165" i="6"/>
  <c r="F85" i="6"/>
  <c r="F40" i="6"/>
  <c r="F104" i="6"/>
  <c r="F138" i="6"/>
  <c r="F155" i="6"/>
  <c r="F201" i="6"/>
  <c r="F105" i="6"/>
  <c r="F28" i="6"/>
  <c r="F92" i="6"/>
  <c r="F33" i="6"/>
  <c r="F20" i="6"/>
  <c r="F185" i="6"/>
  <c r="F175" i="6"/>
  <c r="F109" i="6"/>
  <c r="F48" i="6"/>
  <c r="F112" i="6"/>
  <c r="F113" i="6"/>
  <c r="F68" i="6"/>
  <c r="F169" i="6"/>
  <c r="F181" i="6"/>
  <c r="F195" i="6"/>
  <c r="F163" i="6"/>
  <c r="F140" i="6"/>
  <c r="F67" i="6"/>
  <c r="F180" i="6"/>
  <c r="S7" i="6"/>
  <c r="F51" i="6"/>
  <c r="F13" i="6"/>
  <c r="F114" i="6"/>
  <c r="F98" i="6"/>
  <c r="F82" i="6"/>
  <c r="F66" i="6"/>
  <c r="F50" i="6"/>
  <c r="F34" i="6"/>
  <c r="F31" i="6"/>
  <c r="F15" i="6"/>
  <c r="F184" i="6"/>
  <c r="F152" i="6"/>
  <c r="F131" i="6"/>
  <c r="F115" i="6"/>
  <c r="F99" i="6"/>
  <c r="F71" i="6"/>
  <c r="F134" i="6"/>
  <c r="F178" i="6"/>
  <c r="F183" i="6"/>
  <c r="F45" i="6"/>
  <c r="F150" i="6"/>
  <c r="F182" i="6"/>
  <c r="F193" i="6"/>
  <c r="F101" i="6"/>
  <c r="F56" i="6"/>
  <c r="F120" i="6"/>
  <c r="F191" i="6"/>
  <c r="F145" i="6"/>
  <c r="F12" i="6"/>
  <c r="F121" i="6"/>
  <c r="F44" i="6"/>
  <c r="F108" i="6"/>
  <c r="F26" i="6"/>
  <c r="F147" i="6"/>
  <c r="F24" i="6"/>
  <c r="F65" i="6"/>
  <c r="F125" i="6"/>
  <c r="F64" i="6"/>
  <c r="F128" i="6"/>
  <c r="F129" i="6"/>
  <c r="F84" i="6"/>
  <c r="M2" i="54"/>
  <c r="F161" i="6"/>
  <c r="F179" i="6"/>
  <c r="F159" i="6"/>
  <c r="F136" i="6"/>
  <c r="F17" i="6"/>
  <c r="F172" i="6"/>
  <c r="F79" i="6"/>
  <c r="F43" i="6"/>
  <c r="F126" i="6"/>
  <c r="F110" i="6"/>
  <c r="F94" i="6"/>
  <c r="F78" i="6"/>
  <c r="F62" i="6"/>
  <c r="F46" i="6"/>
  <c r="F30" i="6"/>
  <c r="F27" i="6"/>
  <c r="F11" i="6"/>
  <c r="F176" i="6"/>
  <c r="F143" i="6"/>
  <c r="F127" i="6"/>
  <c r="F111" i="6"/>
  <c r="F95" i="6"/>
  <c r="F59" i="6"/>
  <c r="F154" i="6"/>
  <c r="F186" i="6"/>
  <c r="F22" i="6"/>
  <c r="F49" i="6"/>
  <c r="F158" i="6"/>
  <c r="F190" i="6"/>
  <c r="F16" i="6"/>
  <c r="F117" i="6"/>
  <c r="F72" i="6"/>
  <c r="F149" i="6"/>
  <c r="F14" i="6"/>
  <c r="F177" i="6"/>
  <c r="F73" i="6"/>
  <c r="F137" i="6"/>
  <c r="F60" i="6"/>
  <c r="F124" i="6"/>
  <c r="F142" i="6"/>
  <c r="F187" i="6"/>
  <c r="F61" i="6"/>
  <c r="F81" i="6"/>
  <c r="F141" i="6"/>
  <c r="F80" i="6"/>
  <c r="F77" i="6"/>
  <c r="F36" i="6"/>
  <c r="F100" i="6"/>
  <c r="F4" i="57"/>
  <c r="F16" i="57"/>
  <c r="H57" i="61"/>
  <c r="AJ24" i="6"/>
  <c r="AK60" i="6"/>
  <c r="AJ60" i="6"/>
  <c r="A201" i="61"/>
  <c r="AI60" i="6"/>
  <c r="AI103" i="6"/>
  <c r="A373" i="61"/>
  <c r="AK103" i="6"/>
  <c r="AJ103" i="6"/>
  <c r="AJ39" i="6"/>
  <c r="A117" i="61"/>
  <c r="AK39" i="6"/>
  <c r="AI39" i="6"/>
  <c r="A329" i="61"/>
  <c r="AI92" i="6"/>
  <c r="AK92" i="6"/>
  <c r="AJ92" i="6"/>
  <c r="AK156" i="6"/>
  <c r="AJ156" i="6"/>
  <c r="AI156" i="6"/>
  <c r="AK121" i="6"/>
  <c r="A445" i="61"/>
  <c r="AJ121" i="6"/>
  <c r="AI121" i="6"/>
  <c r="AI56" i="6"/>
  <c r="AJ56" i="6"/>
  <c r="AK56" i="6"/>
  <c r="A185" i="61"/>
  <c r="AK73" i="6"/>
  <c r="A253" i="61"/>
  <c r="AJ73" i="6"/>
  <c r="AI73" i="6"/>
  <c r="AI126" i="6"/>
  <c r="A465" i="61"/>
  <c r="AK126" i="6"/>
  <c r="AJ126" i="6"/>
  <c r="AK86" i="6"/>
  <c r="AJ86" i="6"/>
  <c r="AI86" i="6"/>
  <c r="A305" i="61"/>
  <c r="AI145" i="6"/>
  <c r="AK145" i="6"/>
  <c r="AJ145" i="6"/>
  <c r="AI36" i="6"/>
  <c r="AJ36" i="6"/>
  <c r="AK36" i="6"/>
  <c r="A105" i="61"/>
  <c r="AK99" i="6"/>
  <c r="AJ99" i="6"/>
  <c r="AI99" i="6"/>
  <c r="A357" i="61"/>
  <c r="AI35" i="6"/>
  <c r="AK35" i="6"/>
  <c r="AJ35" i="6"/>
  <c r="A101" i="61"/>
  <c r="AI88" i="6"/>
  <c r="AJ88" i="6"/>
  <c r="AK88" i="6"/>
  <c r="A313" i="61"/>
  <c r="AI52" i="6"/>
  <c r="AJ52" i="6"/>
  <c r="AK52" i="6"/>
  <c r="A169" i="61"/>
  <c r="A381" i="61"/>
  <c r="AJ105" i="6"/>
  <c r="AI105" i="6"/>
  <c r="AK105" i="6"/>
  <c r="AJ44" i="6"/>
  <c r="AK44" i="6"/>
  <c r="A137" i="61"/>
  <c r="AI44" i="6"/>
  <c r="A205" i="61"/>
  <c r="AJ61" i="6"/>
  <c r="AK61" i="6"/>
  <c r="AI61" i="6"/>
  <c r="A481" i="61"/>
  <c r="AK130" i="6"/>
  <c r="AJ130" i="6"/>
  <c r="AI130" i="6"/>
  <c r="AJ90" i="6"/>
  <c r="AI90" i="6"/>
  <c r="A321" i="61"/>
  <c r="AK90" i="6"/>
  <c r="AK147" i="6"/>
  <c r="AI147" i="6"/>
  <c r="AJ147" i="6"/>
  <c r="AK164" i="6"/>
  <c r="AJ164" i="6"/>
  <c r="AI164" i="6"/>
  <c r="AK95" i="6"/>
  <c r="AJ95" i="6"/>
  <c r="AI95" i="6"/>
  <c r="A341" i="61"/>
  <c r="AK31" i="6"/>
  <c r="AI31" i="6"/>
  <c r="AJ31" i="6"/>
  <c r="A85" i="61"/>
  <c r="AI84" i="6"/>
  <c r="AJ84" i="6"/>
  <c r="AK84" i="6"/>
  <c r="A297" i="61"/>
  <c r="AI40" i="6"/>
  <c r="AJ40" i="6"/>
  <c r="AK40" i="6"/>
  <c r="A121" i="61"/>
  <c r="A237" i="61"/>
  <c r="AJ69" i="6"/>
  <c r="AI69" i="6"/>
  <c r="AK69" i="6"/>
  <c r="AI144" i="6"/>
  <c r="AJ144" i="6"/>
  <c r="AK144" i="6"/>
  <c r="AJ49" i="6"/>
  <c r="AI49" i="6"/>
  <c r="AK49" i="6"/>
  <c r="A157" i="61"/>
  <c r="AK134" i="6"/>
  <c r="AJ134" i="6"/>
  <c r="AI134" i="6"/>
  <c r="A497" i="61"/>
  <c r="AI30" i="6"/>
  <c r="A81" i="61"/>
  <c r="AK30" i="6"/>
  <c r="AJ30" i="6"/>
  <c r="AI149" i="6"/>
  <c r="AK149" i="6"/>
  <c r="AJ149" i="6"/>
  <c r="AI180" i="6"/>
  <c r="AK180" i="6"/>
  <c r="AJ180" i="6"/>
  <c r="AK107" i="6"/>
  <c r="AJ107" i="6"/>
  <c r="AI107" i="6"/>
  <c r="A389" i="61"/>
  <c r="AI43" i="6"/>
  <c r="AK43" i="6"/>
  <c r="AJ43" i="6"/>
  <c r="A133" i="61"/>
  <c r="AI96" i="6"/>
  <c r="AK96" i="6"/>
  <c r="AJ96" i="6"/>
  <c r="A345" i="61"/>
  <c r="AJ192" i="6"/>
  <c r="AI192" i="6"/>
  <c r="AK192" i="6"/>
  <c r="A509" i="61"/>
  <c r="AJ137" i="6"/>
  <c r="AI137" i="6"/>
  <c r="AK137" i="6"/>
  <c r="AI93" i="6"/>
  <c r="AK93" i="6"/>
  <c r="A333" i="61"/>
  <c r="AJ93" i="6"/>
  <c r="AK109" i="6"/>
  <c r="A397" i="61"/>
  <c r="AJ109" i="6"/>
  <c r="AI109" i="6"/>
  <c r="AI122" i="6"/>
  <c r="A449" i="61"/>
  <c r="AK122" i="6"/>
  <c r="AJ122" i="6"/>
  <c r="AK82" i="6"/>
  <c r="AJ82" i="6"/>
  <c r="AI82" i="6"/>
  <c r="A289" i="61"/>
  <c r="AI143" i="6"/>
  <c r="AK143" i="6"/>
  <c r="AJ143" i="6"/>
  <c r="AH2" i="54"/>
  <c r="AG2" i="54"/>
  <c r="F15" i="57"/>
  <c r="F13" i="57"/>
  <c r="F5" i="57"/>
  <c r="F11" i="57"/>
  <c r="AK48" i="6"/>
  <c r="AJ48" i="6"/>
  <c r="A153" i="61"/>
  <c r="AI48" i="6"/>
  <c r="AJ87" i="6"/>
  <c r="A309" i="61"/>
  <c r="AI87" i="6"/>
  <c r="AK87" i="6"/>
  <c r="AI140" i="6"/>
  <c r="AK140" i="6"/>
  <c r="AJ140" i="6"/>
  <c r="A265" i="61"/>
  <c r="AI76" i="6"/>
  <c r="AJ76" i="6"/>
  <c r="AK76" i="6"/>
  <c r="AJ184" i="6"/>
  <c r="AI184" i="6"/>
  <c r="AK184" i="6"/>
  <c r="AI45" i="6"/>
  <c r="A141" i="61"/>
  <c r="AJ45" i="6"/>
  <c r="AK45" i="6"/>
  <c r="AK146" i="6"/>
  <c r="AI146" i="6"/>
  <c r="AJ146" i="6"/>
  <c r="AK81" i="6"/>
  <c r="A285" i="61"/>
  <c r="AJ81" i="6"/>
  <c r="AI81" i="6"/>
  <c r="AK142" i="6"/>
  <c r="AJ142" i="6"/>
  <c r="AI142" i="6"/>
  <c r="AK46" i="6"/>
  <c r="AJ46" i="6"/>
  <c r="AI46" i="6"/>
  <c r="A145" i="61"/>
  <c r="AI157" i="6"/>
  <c r="AK157" i="6"/>
  <c r="AJ157" i="6"/>
  <c r="AJ129" i="6"/>
  <c r="AI129" i="6"/>
  <c r="AK129" i="6"/>
  <c r="A477" i="61"/>
  <c r="AK83" i="6"/>
  <c r="AJ83" i="6"/>
  <c r="AI83" i="6"/>
  <c r="A293" i="61"/>
  <c r="AI136" i="6"/>
  <c r="AK136" i="6"/>
  <c r="AJ136" i="6"/>
  <c r="A505" i="61"/>
  <c r="AI72" i="6"/>
  <c r="AK72" i="6"/>
  <c r="AJ72" i="6"/>
  <c r="A249" i="61"/>
  <c r="AJ172" i="6"/>
  <c r="AI172" i="6"/>
  <c r="AK172" i="6"/>
  <c r="A93" i="61"/>
  <c r="AJ33" i="6"/>
  <c r="AK33" i="6"/>
  <c r="AI33" i="6"/>
  <c r="AI53" i="6"/>
  <c r="AK53" i="6"/>
  <c r="A173" i="61"/>
  <c r="AJ53" i="6"/>
  <c r="A177" i="61"/>
  <c r="AK54" i="6"/>
  <c r="AJ54" i="6"/>
  <c r="AI54" i="6"/>
  <c r="AK151" i="6"/>
  <c r="AJ151" i="6"/>
  <c r="AI151" i="6"/>
  <c r="AJ50" i="6"/>
  <c r="AI50" i="6"/>
  <c r="A161" i="61"/>
  <c r="AK50" i="6"/>
  <c r="AK161" i="6"/>
  <c r="AJ161" i="6"/>
  <c r="AI161" i="6"/>
  <c r="AJ97" i="6"/>
  <c r="AI97" i="6"/>
  <c r="AK97" i="6"/>
  <c r="A349" i="61"/>
  <c r="AK79" i="6"/>
  <c r="AI79" i="6"/>
  <c r="AJ79" i="6"/>
  <c r="A277" i="61"/>
  <c r="AI132" i="6"/>
  <c r="AK132" i="6"/>
  <c r="AJ132" i="6"/>
  <c r="A489" i="61"/>
  <c r="AI68" i="6"/>
  <c r="AJ68" i="6"/>
  <c r="AK68" i="6"/>
  <c r="A233" i="61"/>
  <c r="AJ160" i="6"/>
  <c r="AI160" i="6"/>
  <c r="AK160" i="6"/>
  <c r="AJ202" i="6"/>
  <c r="AI202" i="6"/>
  <c r="AK202" i="6"/>
  <c r="AK200" i="6"/>
  <c r="AJ200" i="6"/>
  <c r="AI200" i="6"/>
  <c r="AK62" i="6"/>
  <c r="AJ62" i="6"/>
  <c r="AI62" i="6"/>
  <c r="A209" i="61"/>
  <c r="AJ159" i="6"/>
  <c r="AI159" i="6"/>
  <c r="AK159" i="6"/>
  <c r="AI74" i="6"/>
  <c r="A257" i="61"/>
  <c r="AK74" i="6"/>
  <c r="AJ74" i="6"/>
  <c r="AK165" i="6"/>
  <c r="AJ165" i="6"/>
  <c r="AI165" i="6"/>
  <c r="AI201" i="6"/>
  <c r="AK201" i="6"/>
  <c r="AJ201" i="6"/>
  <c r="AK91" i="6"/>
  <c r="AJ91" i="6"/>
  <c r="AI91" i="6"/>
  <c r="A325" i="61"/>
  <c r="AK27" i="6"/>
  <c r="AJ27" i="6"/>
  <c r="AI27" i="6"/>
  <c r="A69" i="61"/>
  <c r="AI80" i="6"/>
  <c r="AK80" i="6"/>
  <c r="AJ80" i="6"/>
  <c r="A281" i="61"/>
  <c r="AI113" i="6"/>
  <c r="AK113" i="6"/>
  <c r="A413" i="61"/>
  <c r="AJ113" i="6"/>
  <c r="A189" i="61"/>
  <c r="AJ57" i="6"/>
  <c r="AI57" i="6"/>
  <c r="AK57" i="6"/>
  <c r="AI77" i="6"/>
  <c r="AK77" i="6"/>
  <c r="A269" i="61"/>
  <c r="AJ77" i="6"/>
  <c r="AK85" i="6"/>
  <c r="A301" i="61"/>
  <c r="AJ85" i="6"/>
  <c r="AI85" i="6"/>
  <c r="AI138" i="6"/>
  <c r="A513" i="61"/>
  <c r="AK138" i="6"/>
  <c r="AJ138" i="6"/>
  <c r="AK38" i="6"/>
  <c r="AJ38" i="6"/>
  <c r="AI38" i="6"/>
  <c r="A113" i="61"/>
  <c r="AI153" i="6"/>
  <c r="AK153" i="6"/>
  <c r="AJ153" i="6"/>
  <c r="R2" i="54"/>
  <c r="S2" i="54" s="1"/>
  <c r="O2" i="54" s="1"/>
  <c r="N2" i="54" s="1"/>
  <c r="AT6" i="21"/>
  <c r="C6" i="21"/>
  <c r="AT10" i="13"/>
  <c r="C10" i="13"/>
  <c r="AT8" i="37"/>
  <c r="C8" i="37"/>
  <c r="AT9" i="11"/>
  <c r="C9" i="11"/>
  <c r="AT6" i="13"/>
  <c r="C6" i="13"/>
  <c r="AT6" i="16"/>
  <c r="C6" i="16"/>
  <c r="C10" i="30"/>
  <c r="AT10" i="30"/>
  <c r="AT7" i="30"/>
  <c r="C7" i="30"/>
  <c r="AT8" i="21"/>
  <c r="C8" i="21"/>
  <c r="C8" i="10"/>
  <c r="AT8" i="10"/>
  <c r="AT7" i="27"/>
  <c r="C7" i="27"/>
  <c r="AT10" i="27"/>
  <c r="C10" i="27"/>
  <c r="AT9" i="41"/>
  <c r="C9" i="41"/>
  <c r="AT8" i="28"/>
  <c r="C8" i="28"/>
  <c r="C6" i="12"/>
  <c r="AT6" i="12"/>
  <c r="AT7" i="23"/>
  <c r="C7" i="23"/>
  <c r="AT11" i="42"/>
  <c r="C11" i="42"/>
  <c r="C9" i="12"/>
  <c r="AT9" i="12"/>
  <c r="C8" i="25"/>
  <c r="AT8" i="25"/>
  <c r="CB9" i="22"/>
  <c r="CB6" i="23"/>
  <c r="C8" i="39"/>
  <c r="AT8" i="39"/>
  <c r="CB7" i="10"/>
  <c r="CB7" i="18"/>
  <c r="CB9" i="19"/>
  <c r="CB9" i="39"/>
  <c r="CB8" i="35"/>
  <c r="CB6" i="27"/>
  <c r="AT9" i="37"/>
  <c r="C9" i="37"/>
  <c r="CB7" i="16"/>
  <c r="CB6" i="24"/>
  <c r="CB7" i="34"/>
  <c r="CB11" i="21"/>
  <c r="CB8" i="19"/>
  <c r="CB9" i="34"/>
  <c r="CB7" i="14"/>
  <c r="CB7" i="19"/>
  <c r="CB7" i="41"/>
  <c r="CB6" i="20"/>
  <c r="CB9" i="38"/>
  <c r="CB9" i="23"/>
  <c r="CB6" i="29"/>
  <c r="CB9" i="40"/>
  <c r="CB10" i="14"/>
  <c r="CB6" i="34"/>
  <c r="BX11" i="32"/>
  <c r="CA11" i="32"/>
  <c r="BW11" i="32"/>
  <c r="BZ11" i="32"/>
  <c r="BV11" i="32"/>
  <c r="BY11" i="32"/>
  <c r="CB6" i="22"/>
  <c r="CB8" i="12"/>
  <c r="CB7" i="13"/>
  <c r="CB8" i="14"/>
  <c r="CB10" i="18"/>
  <c r="CB6" i="25"/>
  <c r="CB11" i="10"/>
  <c r="CB11" i="17"/>
  <c r="CB11" i="41"/>
  <c r="CB9" i="27"/>
  <c r="CB6" i="17"/>
  <c r="CA9" i="32"/>
  <c r="CB9" i="16"/>
  <c r="AT8" i="15"/>
  <c r="C8" i="15"/>
  <c r="CB7" i="42"/>
  <c r="AT8" i="26"/>
  <c r="C8" i="26"/>
  <c r="CB6" i="11"/>
  <c r="CB7" i="29"/>
  <c r="CB11" i="12"/>
  <c r="CB9" i="13"/>
  <c r="CB6" i="30"/>
  <c r="CB10" i="20"/>
  <c r="CB7" i="28"/>
  <c r="C10" i="39"/>
  <c r="AT10" i="39"/>
  <c r="CB11" i="38"/>
  <c r="CB10" i="38"/>
  <c r="CB6" i="42"/>
  <c r="CB6" i="10"/>
  <c r="CB9" i="33"/>
  <c r="CB7" i="35"/>
  <c r="CB11" i="35"/>
  <c r="CB8" i="42"/>
  <c r="AT6" i="15"/>
  <c r="C6" i="15"/>
  <c r="CB7" i="36"/>
  <c r="AT10" i="21"/>
  <c r="C10" i="21"/>
  <c r="CB6" i="40"/>
  <c r="CB11" i="23"/>
  <c r="CB11" i="26"/>
  <c r="CB11" i="28"/>
  <c r="CB8" i="11"/>
  <c r="CB10" i="22"/>
  <c r="CB7" i="37"/>
  <c r="CB8" i="30"/>
  <c r="CB7" i="31"/>
  <c r="CB6" i="35"/>
  <c r="CA10" i="33"/>
  <c r="BW10" i="33"/>
  <c r="BV10" i="33"/>
  <c r="BZ10" i="33"/>
  <c r="BY10" i="33"/>
  <c r="BX10" i="33"/>
  <c r="BZ11" i="33"/>
  <c r="CB11" i="22"/>
  <c r="CB7" i="12"/>
  <c r="AT11" i="15"/>
  <c r="C11" i="15"/>
  <c r="CB8" i="34"/>
  <c r="BX7" i="33"/>
  <c r="CA7" i="33"/>
  <c r="BV7" i="33"/>
  <c r="BZ7" i="33"/>
  <c r="BY7" i="33"/>
  <c r="BW7" i="33"/>
  <c r="BW11" i="33"/>
  <c r="CB9" i="36"/>
  <c r="CB11" i="39"/>
  <c r="CB10" i="16"/>
  <c r="C8" i="17"/>
  <c r="AT8" i="17"/>
  <c r="CB9" i="18"/>
  <c r="CB10" i="40"/>
  <c r="CB8" i="40"/>
  <c r="CB8" i="38"/>
  <c r="CB10" i="23"/>
  <c r="CB10" i="34"/>
  <c r="CB9" i="25"/>
  <c r="BZ8" i="33"/>
  <c r="AT7" i="15"/>
  <c r="C7" i="15"/>
  <c r="CB8" i="27"/>
  <c r="CB9" i="35"/>
  <c r="AT7" i="39"/>
  <c r="C7" i="39"/>
  <c r="CB10" i="41"/>
  <c r="CB11" i="27"/>
  <c r="AT7" i="17"/>
  <c r="C7" i="17"/>
  <c r="AT9" i="15"/>
  <c r="C9" i="15"/>
  <c r="AT7" i="38"/>
  <c r="C7" i="38"/>
  <c r="C10" i="42"/>
  <c r="AT10" i="42"/>
  <c r="AT9" i="29"/>
  <c r="C9" i="29"/>
  <c r="AT11" i="24"/>
  <c r="C11" i="24"/>
  <c r="C8" i="18"/>
  <c r="AT8" i="18"/>
  <c r="CB7" i="40"/>
  <c r="CB11" i="36"/>
  <c r="CB9" i="30"/>
  <c r="CB8" i="23"/>
  <c r="BX7" i="32"/>
  <c r="CA7" i="32"/>
  <c r="BW7" i="32"/>
  <c r="BZ7" i="32"/>
  <c r="BV7" i="32"/>
  <c r="BY7" i="32"/>
  <c r="AT6" i="19"/>
  <c r="C6" i="19"/>
  <c r="AT11" i="31"/>
  <c r="C11" i="31"/>
  <c r="AT6" i="31"/>
  <c r="C6" i="31"/>
  <c r="CB11" i="20"/>
  <c r="AT6" i="28"/>
  <c r="C6" i="28"/>
  <c r="AT10" i="15"/>
  <c r="C10" i="15"/>
  <c r="AT6" i="36"/>
  <c r="C6" i="36"/>
  <c r="CB11" i="18"/>
  <c r="CB10" i="10"/>
  <c r="CB7" i="25"/>
  <c r="AT11" i="29"/>
  <c r="C11" i="29"/>
  <c r="AT8" i="22"/>
  <c r="C8" i="22"/>
  <c r="C8" i="20"/>
  <c r="AT8" i="20"/>
  <c r="AT7" i="24"/>
  <c r="C7" i="24"/>
  <c r="AT9" i="26"/>
  <c r="C9" i="26"/>
  <c r="AT9" i="24"/>
  <c r="C9" i="24"/>
  <c r="BZ6" i="33"/>
  <c r="BV6" i="33"/>
  <c r="BY6" i="33"/>
  <c r="BX6" i="33"/>
  <c r="CA6" i="33"/>
  <c r="BW6" i="33"/>
  <c r="BV11" i="33"/>
  <c r="CB11" i="33" s="1"/>
  <c r="CB9" i="10"/>
  <c r="CB11" i="40"/>
  <c r="CB10" i="28"/>
  <c r="CB8" i="16"/>
  <c r="CB7" i="21"/>
  <c r="CB8" i="31"/>
  <c r="BV8" i="33"/>
  <c r="C10" i="11"/>
  <c r="AT10" i="11"/>
  <c r="AT6" i="41"/>
  <c r="C6" i="41"/>
  <c r="CB7" i="11"/>
  <c r="CB10" i="35"/>
  <c r="CB10" i="19"/>
  <c r="AT6" i="37"/>
  <c r="C6" i="37"/>
  <c r="AT9" i="28"/>
  <c r="C9" i="28"/>
  <c r="C10" i="25"/>
  <c r="AT10" i="25"/>
  <c r="AT9" i="21"/>
  <c r="C9" i="21"/>
  <c r="C8" i="29"/>
  <c r="AT8" i="29"/>
  <c r="AT6" i="38"/>
  <c r="C6" i="38"/>
  <c r="CA10" i="32"/>
  <c r="BW10" i="32"/>
  <c r="BZ10" i="32"/>
  <c r="BV10" i="32"/>
  <c r="CB10" i="32" s="1"/>
  <c r="BY10" i="32"/>
  <c r="BX10" i="32"/>
  <c r="CB11" i="25"/>
  <c r="CB7" i="26"/>
  <c r="CB11" i="14"/>
  <c r="C10" i="17"/>
  <c r="AT10" i="17"/>
  <c r="CB9" i="42"/>
  <c r="CB11" i="16"/>
  <c r="AT7" i="22"/>
  <c r="C7" i="22"/>
  <c r="CB8" i="36"/>
  <c r="CA8" i="32"/>
  <c r="BW8" i="32"/>
  <c r="BZ8" i="32"/>
  <c r="BV8" i="32"/>
  <c r="BY8" i="32"/>
  <c r="BX8" i="32"/>
  <c r="CB11" i="34"/>
  <c r="CB10" i="29"/>
  <c r="AT9" i="31"/>
  <c r="C9" i="31"/>
  <c r="CB8" i="24"/>
  <c r="CB10" i="26"/>
  <c r="CB8" i="13"/>
  <c r="CB11" i="11"/>
  <c r="CB10" i="24"/>
  <c r="CB9" i="20"/>
  <c r="C10" i="36"/>
  <c r="AT10" i="36"/>
  <c r="C10" i="12"/>
  <c r="AT10" i="12"/>
  <c r="CB10" i="31"/>
  <c r="CB6" i="14"/>
  <c r="CB6" i="18"/>
  <c r="CB7" i="20"/>
  <c r="CB9" i="14"/>
  <c r="AT11" i="37"/>
  <c r="C11" i="37"/>
  <c r="AT8" i="41"/>
  <c r="C8" i="41"/>
  <c r="AT10" i="37"/>
  <c r="C10" i="37"/>
  <c r="AT6" i="26"/>
  <c r="C6" i="26"/>
  <c r="AT11" i="13"/>
  <c r="C11" i="13"/>
  <c r="AT9" i="17"/>
  <c r="C9" i="17"/>
  <c r="CA6" i="32"/>
  <c r="BW6" i="32"/>
  <c r="BZ6" i="32"/>
  <c r="BV6" i="32"/>
  <c r="BY6" i="32"/>
  <c r="BX6" i="32"/>
  <c r="CB11" i="19"/>
  <c r="C11" i="30"/>
  <c r="AT11" i="30"/>
  <c r="CB6" i="39"/>
  <c r="BW9" i="32"/>
  <c r="CB9" i="32" s="1"/>
  <c r="BW8" i="33"/>
  <c r="G189" i="61" l="1"/>
  <c r="I189" i="61"/>
  <c r="H189" i="61"/>
  <c r="G177" i="61"/>
  <c r="I177" i="61"/>
  <c r="H177" i="61"/>
  <c r="I93" i="61"/>
  <c r="H93" i="61"/>
  <c r="G93" i="61"/>
  <c r="I249" i="61"/>
  <c r="H249" i="61"/>
  <c r="G249" i="61"/>
  <c r="I505" i="61"/>
  <c r="G505" i="61"/>
  <c r="H505" i="61"/>
  <c r="I293" i="61"/>
  <c r="H293" i="61"/>
  <c r="G293" i="61"/>
  <c r="G477" i="61"/>
  <c r="H477" i="61"/>
  <c r="I477" i="61"/>
  <c r="I285" i="61"/>
  <c r="H285" i="61"/>
  <c r="G285" i="61"/>
  <c r="I153" i="61"/>
  <c r="H153" i="61"/>
  <c r="G153" i="61"/>
  <c r="H37" i="61"/>
  <c r="AJ19" i="6"/>
  <c r="I289" i="61"/>
  <c r="H289" i="61"/>
  <c r="G289" i="61"/>
  <c r="I121" i="61"/>
  <c r="H121" i="61"/>
  <c r="G121" i="61"/>
  <c r="I297" i="61"/>
  <c r="H297" i="61"/>
  <c r="G297" i="61"/>
  <c r="I85" i="61"/>
  <c r="H85" i="61"/>
  <c r="G85" i="61"/>
  <c r="I341" i="61"/>
  <c r="H341" i="61"/>
  <c r="G341" i="61"/>
  <c r="B8" i="54"/>
  <c r="A52" i="8" s="1"/>
  <c r="C52" i="8" s="1"/>
  <c r="D6" i="54"/>
  <c r="B16" i="54"/>
  <c r="A85" i="8" s="1"/>
  <c r="C85" i="8" s="1"/>
  <c r="D18" i="54"/>
  <c r="D9" i="54"/>
  <c r="D10" i="54"/>
  <c r="B4" i="54"/>
  <c r="A32" i="8" s="1"/>
  <c r="C32" i="8" s="1"/>
  <c r="B7" i="54"/>
  <c r="A47" i="8" s="1"/>
  <c r="C47" i="8" s="1"/>
  <c r="B17" i="54"/>
  <c r="A89" i="8" s="1"/>
  <c r="C89" i="8" s="1"/>
  <c r="D15" i="54"/>
  <c r="B6" i="54"/>
  <c r="A42" i="8" s="1"/>
  <c r="C42" i="8" s="1"/>
  <c r="B11" i="54"/>
  <c r="A65" i="8" s="1"/>
  <c r="C65" i="8" s="1"/>
  <c r="D7" i="54"/>
  <c r="D3" i="54"/>
  <c r="B5" i="54"/>
  <c r="A37" i="8" s="1"/>
  <c r="C37" i="8" s="1"/>
  <c r="B10" i="54"/>
  <c r="A61" i="8" s="1"/>
  <c r="C61" i="8" s="1"/>
  <c r="B12" i="54"/>
  <c r="A69" i="8" s="1"/>
  <c r="C69" i="8" s="1"/>
  <c r="B13" i="54"/>
  <c r="A73" i="8" s="1"/>
  <c r="C73" i="8" s="1"/>
  <c r="B15" i="54"/>
  <c r="A81" i="8" s="1"/>
  <c r="C81" i="8" s="1"/>
  <c r="D4" i="54"/>
  <c r="B14" i="54"/>
  <c r="A77" i="8" s="1"/>
  <c r="C77" i="8" s="1"/>
  <c r="D8" i="54"/>
  <c r="D12" i="54"/>
  <c r="D13" i="54"/>
  <c r="D16" i="54"/>
  <c r="D11" i="54"/>
  <c r="D14" i="54"/>
  <c r="D5" i="54"/>
  <c r="B18" i="54"/>
  <c r="A93" i="8" s="1"/>
  <c r="C93" i="8" s="1"/>
  <c r="D17" i="54"/>
  <c r="B9" i="54"/>
  <c r="A57" i="8" s="1"/>
  <c r="C57" i="8" s="1"/>
  <c r="B3" i="54"/>
  <c r="A3" i="8" s="1"/>
  <c r="H385" i="61"/>
  <c r="G385" i="61"/>
  <c r="I385" i="61"/>
  <c r="H89" i="61"/>
  <c r="G89" i="61"/>
  <c r="I89" i="61"/>
  <c r="I317" i="61"/>
  <c r="H317" i="61"/>
  <c r="G317" i="61"/>
  <c r="I409" i="61"/>
  <c r="H409" i="61"/>
  <c r="G409" i="61"/>
  <c r="H197" i="61"/>
  <c r="G197" i="61"/>
  <c r="I197" i="61"/>
  <c r="G453" i="61"/>
  <c r="H453" i="61"/>
  <c r="I453" i="61"/>
  <c r="G221" i="61"/>
  <c r="I221" i="61"/>
  <c r="H221" i="61"/>
  <c r="I125" i="61"/>
  <c r="H125" i="61"/>
  <c r="G125" i="61"/>
  <c r="I393" i="61"/>
  <c r="H393" i="61"/>
  <c r="G393" i="61"/>
  <c r="AJ22" i="6"/>
  <c r="H49" i="61"/>
  <c r="H273" i="61"/>
  <c r="G273" i="61"/>
  <c r="I273" i="61"/>
  <c r="G217" i="61"/>
  <c r="I217" i="61"/>
  <c r="H217" i="61"/>
  <c r="H473" i="61"/>
  <c r="I473" i="61"/>
  <c r="G473" i="61"/>
  <c r="H261" i="61"/>
  <c r="G261" i="61"/>
  <c r="I261" i="61"/>
  <c r="I369" i="61"/>
  <c r="H369" i="61"/>
  <c r="G369" i="61"/>
  <c r="G245" i="61"/>
  <c r="I245" i="61"/>
  <c r="H245" i="61"/>
  <c r="H65" i="61"/>
  <c r="AJ26" i="6"/>
  <c r="G113" i="61"/>
  <c r="I113" i="61"/>
  <c r="H113" i="61"/>
  <c r="G281" i="61"/>
  <c r="I281" i="61"/>
  <c r="H281" i="61"/>
  <c r="G69" i="61"/>
  <c r="I69" i="61"/>
  <c r="H69" i="61"/>
  <c r="G325" i="61"/>
  <c r="I325" i="61"/>
  <c r="H325" i="61"/>
  <c r="I257" i="61"/>
  <c r="H257" i="61"/>
  <c r="G257" i="61"/>
  <c r="I309" i="61"/>
  <c r="H309" i="61"/>
  <c r="G309" i="61"/>
  <c r="H25" i="61"/>
  <c r="AJ16" i="6"/>
  <c r="I333" i="61"/>
  <c r="H333" i="61"/>
  <c r="G333" i="61"/>
  <c r="G497" i="61"/>
  <c r="H497" i="61"/>
  <c r="I497" i="61"/>
  <c r="G157" i="61"/>
  <c r="I157" i="61"/>
  <c r="H157" i="61"/>
  <c r="H481" i="61"/>
  <c r="G481" i="61"/>
  <c r="I481" i="61"/>
  <c r="I205" i="61"/>
  <c r="H205" i="61"/>
  <c r="G205" i="61"/>
  <c r="I381" i="61"/>
  <c r="H381" i="61"/>
  <c r="G381" i="61"/>
  <c r="H305" i="61"/>
  <c r="G305" i="61"/>
  <c r="I305" i="61"/>
  <c r="H185" i="61"/>
  <c r="G185" i="61"/>
  <c r="I185" i="61"/>
  <c r="H201" i="61"/>
  <c r="G201" i="61"/>
  <c r="I201" i="61"/>
  <c r="H241" i="61"/>
  <c r="G241" i="61"/>
  <c r="I241" i="61"/>
  <c r="G193" i="61"/>
  <c r="I193" i="61"/>
  <c r="H193" i="61"/>
  <c r="G77" i="61"/>
  <c r="I77" i="61"/>
  <c r="H77" i="61"/>
  <c r="G377" i="61"/>
  <c r="I377" i="61"/>
  <c r="H377" i="61"/>
  <c r="I165" i="61"/>
  <c r="H165" i="61"/>
  <c r="G165" i="61"/>
  <c r="H421" i="61"/>
  <c r="I421" i="61"/>
  <c r="G421" i="61"/>
  <c r="H401" i="61"/>
  <c r="G401" i="61"/>
  <c r="I401" i="61"/>
  <c r="H73" i="61"/>
  <c r="G73" i="61"/>
  <c r="I73" i="61"/>
  <c r="H5" i="61"/>
  <c r="AJ11" i="6"/>
  <c r="I225" i="61"/>
  <c r="H225" i="61"/>
  <c r="G225" i="61"/>
  <c r="H365" i="61"/>
  <c r="G365" i="61"/>
  <c r="I365" i="61"/>
  <c r="H425" i="61"/>
  <c r="G425" i="61"/>
  <c r="I425" i="61"/>
  <c r="G213" i="61"/>
  <c r="I213" i="61"/>
  <c r="H213" i="61"/>
  <c r="H469" i="61"/>
  <c r="I469" i="61"/>
  <c r="G469" i="61"/>
  <c r="I353" i="61"/>
  <c r="H353" i="61"/>
  <c r="G353" i="61"/>
  <c r="H493" i="61"/>
  <c r="G493" i="61"/>
  <c r="I493" i="61"/>
  <c r="I457" i="61"/>
  <c r="H457" i="61"/>
  <c r="G457" i="61"/>
  <c r="AJ25" i="6"/>
  <c r="H61" i="61"/>
  <c r="S4" i="6"/>
  <c r="H3" i="57"/>
  <c r="G269" i="61"/>
  <c r="I269" i="61"/>
  <c r="H269" i="61"/>
  <c r="H413" i="61"/>
  <c r="G413" i="61"/>
  <c r="I413" i="61"/>
  <c r="H209" i="61"/>
  <c r="G209" i="61"/>
  <c r="I209" i="61"/>
  <c r="H173" i="61"/>
  <c r="G173" i="61"/>
  <c r="I173" i="61"/>
  <c r="H33" i="61"/>
  <c r="AJ18" i="6"/>
  <c r="G449" i="61"/>
  <c r="I449" i="61"/>
  <c r="H449" i="61"/>
  <c r="I397" i="61"/>
  <c r="H397" i="61"/>
  <c r="G397" i="61"/>
  <c r="G169" i="61"/>
  <c r="I169" i="61"/>
  <c r="H169" i="61"/>
  <c r="H313" i="61"/>
  <c r="G313" i="61"/>
  <c r="I313" i="61"/>
  <c r="H101" i="61"/>
  <c r="G101" i="61"/>
  <c r="I101" i="61"/>
  <c r="H357" i="61"/>
  <c r="G357" i="61"/>
  <c r="I357" i="61"/>
  <c r="H105" i="61"/>
  <c r="G105" i="61"/>
  <c r="I105" i="61"/>
  <c r="I117" i="61"/>
  <c r="H117" i="61"/>
  <c r="G117" i="61"/>
  <c r="I373" i="61"/>
  <c r="G373" i="61"/>
  <c r="H373" i="61"/>
  <c r="AJ23" i="6"/>
  <c r="H53" i="61"/>
  <c r="G2" i="44"/>
  <c r="S6" i="6"/>
  <c r="F4" i="44"/>
  <c r="A4" i="44" s="1"/>
  <c r="F3" i="44"/>
  <c r="A3" i="44" s="1"/>
  <c r="F6" i="44"/>
  <c r="A6" i="44" s="1"/>
  <c r="F2" i="44"/>
  <c r="F54" i="44" s="1"/>
  <c r="A54" i="44" s="1"/>
  <c r="F5" i="44"/>
  <c r="A5" i="44" s="1"/>
  <c r="F20" i="44"/>
  <c r="A20" i="44" s="1"/>
  <c r="BH20" i="44" s="1"/>
  <c r="F25" i="44"/>
  <c r="A25" i="44" s="1"/>
  <c r="BH25" i="44" s="1"/>
  <c r="G129" i="61"/>
  <c r="I129" i="61"/>
  <c r="H129" i="61"/>
  <c r="I109" i="61"/>
  <c r="H109" i="61"/>
  <c r="G109" i="61"/>
  <c r="I361" i="61"/>
  <c r="H361" i="61"/>
  <c r="G361" i="61"/>
  <c r="H149" i="61"/>
  <c r="G149" i="61"/>
  <c r="I149" i="61"/>
  <c r="I405" i="61"/>
  <c r="G405" i="61"/>
  <c r="H405" i="61"/>
  <c r="AJ20" i="6"/>
  <c r="H41" i="61"/>
  <c r="G337" i="61"/>
  <c r="I337" i="61"/>
  <c r="H337" i="61"/>
  <c r="AJ21" i="6"/>
  <c r="H45" i="61"/>
  <c r="I513" i="61"/>
  <c r="G513" i="61"/>
  <c r="H513" i="61"/>
  <c r="I301" i="61"/>
  <c r="H301" i="61"/>
  <c r="G301" i="61"/>
  <c r="I233" i="61"/>
  <c r="H233" i="61"/>
  <c r="G233" i="61"/>
  <c r="H489" i="61"/>
  <c r="I489" i="61"/>
  <c r="G489" i="61"/>
  <c r="G277" i="61"/>
  <c r="I277" i="61"/>
  <c r="H277" i="61"/>
  <c r="G349" i="61"/>
  <c r="I349" i="61"/>
  <c r="H349" i="61"/>
  <c r="I161" i="61"/>
  <c r="H161" i="61"/>
  <c r="G161" i="61"/>
  <c r="H145" i="61"/>
  <c r="G145" i="61"/>
  <c r="I145" i="61"/>
  <c r="I141" i="61"/>
  <c r="H141" i="61"/>
  <c r="G141" i="61"/>
  <c r="G265" i="61"/>
  <c r="I265" i="61"/>
  <c r="H265" i="61"/>
  <c r="AJ17" i="6"/>
  <c r="H29" i="61"/>
  <c r="G509" i="61"/>
  <c r="I509" i="61"/>
  <c r="H509" i="61"/>
  <c r="I345" i="61"/>
  <c r="G345" i="61"/>
  <c r="H345" i="61"/>
  <c r="I133" i="61"/>
  <c r="H133" i="61"/>
  <c r="G133" i="61"/>
  <c r="I389" i="61"/>
  <c r="G389" i="61"/>
  <c r="H389" i="61"/>
  <c r="I81" i="61"/>
  <c r="H81" i="61"/>
  <c r="G81" i="61"/>
  <c r="H237" i="61"/>
  <c r="G237" i="61"/>
  <c r="I237" i="61"/>
  <c r="I321" i="61"/>
  <c r="H321" i="61"/>
  <c r="G321" i="61"/>
  <c r="I137" i="61"/>
  <c r="H137" i="61"/>
  <c r="G137" i="61"/>
  <c r="G465" i="61"/>
  <c r="I465" i="61"/>
  <c r="H465" i="61"/>
  <c r="I253" i="61"/>
  <c r="H253" i="61"/>
  <c r="G253" i="61"/>
  <c r="G445" i="61"/>
  <c r="H445" i="61"/>
  <c r="I445" i="61"/>
  <c r="I329" i="61"/>
  <c r="H329" i="61"/>
  <c r="G329" i="61"/>
  <c r="H9" i="61"/>
  <c r="AJ12" i="6"/>
  <c r="H433" i="61"/>
  <c r="G433" i="61"/>
  <c r="I433" i="61"/>
  <c r="I461" i="61"/>
  <c r="G461" i="61"/>
  <c r="H461" i="61"/>
  <c r="I417" i="61"/>
  <c r="H417" i="61"/>
  <c r="G417" i="61"/>
  <c r="G97" i="61"/>
  <c r="I97" i="61"/>
  <c r="H97" i="61"/>
  <c r="G181" i="61"/>
  <c r="I181" i="61"/>
  <c r="H181" i="61"/>
  <c r="H437" i="61"/>
  <c r="I437" i="61"/>
  <c r="G437" i="61"/>
  <c r="AJ14" i="6"/>
  <c r="H17" i="61"/>
  <c r="I429" i="61"/>
  <c r="H429" i="61"/>
  <c r="G429" i="61"/>
  <c r="G441" i="61"/>
  <c r="H441" i="61"/>
  <c r="I441" i="61"/>
  <c r="H229" i="61"/>
  <c r="G229" i="61"/>
  <c r="I229" i="61"/>
  <c r="G485" i="61"/>
  <c r="H485" i="61"/>
  <c r="I485" i="61"/>
  <c r="I501" i="61"/>
  <c r="H501" i="61"/>
  <c r="G501" i="61"/>
  <c r="H21" i="61"/>
  <c r="AJ15" i="6"/>
  <c r="AT9" i="32"/>
  <c r="C9" i="32"/>
  <c r="C10" i="24"/>
  <c r="AT10" i="24"/>
  <c r="AT11" i="34"/>
  <c r="C11" i="34"/>
  <c r="AT11" i="11"/>
  <c r="C11" i="11"/>
  <c r="AT9" i="42"/>
  <c r="C9" i="42"/>
  <c r="CB6" i="32"/>
  <c r="AT9" i="14"/>
  <c r="C9" i="14"/>
  <c r="AT10" i="31"/>
  <c r="C10" i="31"/>
  <c r="AT8" i="13"/>
  <c r="C8" i="13"/>
  <c r="C11" i="25"/>
  <c r="AT11" i="25"/>
  <c r="AT10" i="35"/>
  <c r="C10" i="35"/>
  <c r="AT7" i="21"/>
  <c r="C7" i="21"/>
  <c r="AT9" i="10"/>
  <c r="C9" i="10"/>
  <c r="AT7" i="25"/>
  <c r="C7" i="25"/>
  <c r="AT11" i="36"/>
  <c r="C11" i="36"/>
  <c r="AT11" i="27"/>
  <c r="C11" i="27"/>
  <c r="AT9" i="35"/>
  <c r="C9" i="35"/>
  <c r="AT8" i="38"/>
  <c r="C8" i="38"/>
  <c r="AT9" i="36"/>
  <c r="C9" i="36"/>
  <c r="C8" i="34"/>
  <c r="AT8" i="34"/>
  <c r="AT11" i="22"/>
  <c r="C11" i="22"/>
  <c r="AT6" i="35"/>
  <c r="C6" i="35"/>
  <c r="AT10" i="22"/>
  <c r="C10" i="22"/>
  <c r="AT11" i="23"/>
  <c r="C11" i="23"/>
  <c r="C8" i="42"/>
  <c r="AT8" i="42"/>
  <c r="C6" i="10"/>
  <c r="AT6" i="10"/>
  <c r="C6" i="30"/>
  <c r="AT6" i="30"/>
  <c r="C6" i="11"/>
  <c r="AT6" i="11"/>
  <c r="C6" i="17"/>
  <c r="AT6" i="17"/>
  <c r="AT11" i="10"/>
  <c r="C11" i="10"/>
  <c r="AT7" i="13"/>
  <c r="C7" i="13"/>
  <c r="CB11" i="32"/>
  <c r="C6" i="29"/>
  <c r="AT6" i="29"/>
  <c r="C6" i="20"/>
  <c r="AT6" i="20"/>
  <c r="AT9" i="34"/>
  <c r="C9" i="34"/>
  <c r="C6" i="24"/>
  <c r="AT6" i="24"/>
  <c r="AT6" i="27"/>
  <c r="C6" i="27"/>
  <c r="AT7" i="18"/>
  <c r="C7" i="18"/>
  <c r="AT9" i="22"/>
  <c r="C9" i="22"/>
  <c r="C6" i="18"/>
  <c r="AT6" i="18"/>
  <c r="AT10" i="32"/>
  <c r="C10" i="32"/>
  <c r="AT11" i="19"/>
  <c r="C11" i="19"/>
  <c r="AT7" i="20"/>
  <c r="C7" i="20"/>
  <c r="C9" i="20"/>
  <c r="AT9" i="20"/>
  <c r="AT10" i="26"/>
  <c r="C10" i="26"/>
  <c r="C10" i="29"/>
  <c r="AT10" i="29"/>
  <c r="CB8" i="32"/>
  <c r="C8" i="36"/>
  <c r="AT8" i="36"/>
  <c r="AT7" i="11"/>
  <c r="C7" i="11"/>
  <c r="AT8" i="16"/>
  <c r="C8" i="16"/>
  <c r="AT11" i="33"/>
  <c r="C11" i="33"/>
  <c r="C10" i="10"/>
  <c r="AT10" i="10"/>
  <c r="C11" i="20"/>
  <c r="AT11" i="20"/>
  <c r="CB7" i="32"/>
  <c r="AT7" i="40"/>
  <c r="C7" i="40"/>
  <c r="AT10" i="41"/>
  <c r="C10" i="41"/>
  <c r="AT8" i="27"/>
  <c r="C8" i="27"/>
  <c r="C9" i="25"/>
  <c r="AT9" i="25"/>
  <c r="C8" i="40"/>
  <c r="AT8" i="40"/>
  <c r="CB7" i="33"/>
  <c r="CB10" i="33"/>
  <c r="AT7" i="31"/>
  <c r="C7" i="31"/>
  <c r="C8" i="11"/>
  <c r="AT8" i="11"/>
  <c r="C6" i="40"/>
  <c r="AT6" i="40"/>
  <c r="AT7" i="36"/>
  <c r="C7" i="36"/>
  <c r="AT11" i="35"/>
  <c r="C11" i="35"/>
  <c r="C6" i="42"/>
  <c r="AT6" i="42"/>
  <c r="AT9" i="13"/>
  <c r="C9" i="13"/>
  <c r="AT9" i="27"/>
  <c r="C9" i="27"/>
  <c r="C6" i="25"/>
  <c r="AT6" i="25"/>
  <c r="C8" i="12"/>
  <c r="AT8" i="12"/>
  <c r="C6" i="34"/>
  <c r="AT6" i="34"/>
  <c r="AT9" i="23"/>
  <c r="C9" i="23"/>
  <c r="AT7" i="41"/>
  <c r="C7" i="41"/>
  <c r="AT8" i="19"/>
  <c r="C8" i="19"/>
  <c r="AT7" i="16"/>
  <c r="C7" i="16"/>
  <c r="AT8" i="35"/>
  <c r="C8" i="35"/>
  <c r="AT7" i="10"/>
  <c r="C7" i="10"/>
  <c r="C6" i="39"/>
  <c r="AT6" i="39"/>
  <c r="AT11" i="16"/>
  <c r="C11" i="16"/>
  <c r="C11" i="14"/>
  <c r="AT11" i="14"/>
  <c r="CB8" i="33"/>
  <c r="AT10" i="28"/>
  <c r="C10" i="28"/>
  <c r="CB6" i="33"/>
  <c r="AT11" i="18"/>
  <c r="C11" i="18"/>
  <c r="C8" i="23"/>
  <c r="AT8" i="23"/>
  <c r="C10" i="34"/>
  <c r="AT10" i="34"/>
  <c r="C10" i="40"/>
  <c r="AT10" i="40"/>
  <c r="AT10" i="16"/>
  <c r="C10" i="16"/>
  <c r="C8" i="30"/>
  <c r="AT8" i="30"/>
  <c r="AT11" i="28"/>
  <c r="C11" i="28"/>
  <c r="AT7" i="35"/>
  <c r="C7" i="35"/>
  <c r="AT10" i="38"/>
  <c r="C10" i="38"/>
  <c r="AT7" i="28"/>
  <c r="C7" i="28"/>
  <c r="C11" i="12"/>
  <c r="AT11" i="12"/>
  <c r="AT9" i="16"/>
  <c r="C9" i="16"/>
  <c r="AT11" i="41"/>
  <c r="C11" i="41"/>
  <c r="C10" i="18"/>
  <c r="AT10" i="18"/>
  <c r="AT6" i="22"/>
  <c r="C6" i="22"/>
  <c r="C10" i="14"/>
  <c r="AT10" i="14"/>
  <c r="AT9" i="38"/>
  <c r="C9" i="38"/>
  <c r="AT7" i="19"/>
  <c r="C7" i="19"/>
  <c r="AT11" i="21"/>
  <c r="C11" i="21"/>
  <c r="AT9" i="39"/>
  <c r="C9" i="39"/>
  <c r="C8" i="24"/>
  <c r="AT8" i="24"/>
  <c r="AT6" i="14"/>
  <c r="C6" i="14"/>
  <c r="AT7" i="26"/>
  <c r="C7" i="26"/>
  <c r="AT10" i="19"/>
  <c r="C10" i="19"/>
  <c r="AT8" i="31"/>
  <c r="C8" i="31"/>
  <c r="AT11" i="40"/>
  <c r="C11" i="40"/>
  <c r="AT9" i="30"/>
  <c r="C9" i="30"/>
  <c r="C10" i="23"/>
  <c r="AT10" i="23"/>
  <c r="AT9" i="18"/>
  <c r="C9" i="18"/>
  <c r="AT11" i="39"/>
  <c r="C11" i="39"/>
  <c r="AT7" i="12"/>
  <c r="C7" i="12"/>
  <c r="AT7" i="37"/>
  <c r="C7" i="37"/>
  <c r="AT11" i="26"/>
  <c r="C11" i="26"/>
  <c r="C9" i="33"/>
  <c r="AT9" i="33"/>
  <c r="AT11" i="38"/>
  <c r="C11" i="38"/>
  <c r="C10" i="20"/>
  <c r="AT10" i="20"/>
  <c r="AT7" i="29"/>
  <c r="C7" i="29"/>
  <c r="AT7" i="42"/>
  <c r="C7" i="42"/>
  <c r="AT11" i="17"/>
  <c r="C11" i="17"/>
  <c r="AT8" i="14"/>
  <c r="C8" i="14"/>
  <c r="AT9" i="40"/>
  <c r="C9" i="40"/>
  <c r="AT7" i="14"/>
  <c r="C7" i="14"/>
  <c r="AT7" i="34"/>
  <c r="C7" i="34"/>
  <c r="AT9" i="19"/>
  <c r="C9" i="19"/>
  <c r="C6" i="23"/>
  <c r="AT6" i="23"/>
  <c r="B15" i="15"/>
  <c r="B16" i="13"/>
  <c r="B17" i="12"/>
  <c r="B16" i="28"/>
  <c r="B15" i="31"/>
  <c r="B14" i="13"/>
  <c r="B14" i="15"/>
  <c r="B14" i="28"/>
  <c r="B17" i="15"/>
  <c r="B17" i="36"/>
  <c r="B16" i="37"/>
  <c r="B17" i="28"/>
  <c r="B15" i="13"/>
  <c r="B16" i="21"/>
  <c r="B14" i="36"/>
  <c r="B16" i="36"/>
  <c r="B16" i="15"/>
  <c r="B17" i="21"/>
  <c r="B17" i="16"/>
  <c r="B14" i="41"/>
  <c r="B15" i="19"/>
  <c r="B17" i="13"/>
  <c r="B15" i="28"/>
  <c r="B14" i="26"/>
  <c r="B14" i="21"/>
  <c r="B17" i="38"/>
  <c r="B15" i="21"/>
  <c r="B15" i="36"/>
  <c r="BN5" i="44" l="1"/>
  <c r="Q50" i="47" s="1"/>
  <c r="AY5" i="44" s="1"/>
  <c r="M26" i="48" s="1"/>
  <c r="AL5" i="44" s="1"/>
  <c r="I14" i="50" s="1"/>
  <c r="X5" i="44" s="1"/>
  <c r="E8" i="52" s="1"/>
  <c r="BP5" i="44"/>
  <c r="U57" i="47" s="1"/>
  <c r="BA5" i="44" s="1"/>
  <c r="Q33" i="48" s="1"/>
  <c r="AN5" i="44" s="1"/>
  <c r="M21" i="50" s="1"/>
  <c r="Z5" i="44" s="1"/>
  <c r="I17" i="52" s="1"/>
  <c r="BR5" i="44"/>
  <c r="BJ5" i="44"/>
  <c r="I38" i="47" s="1"/>
  <c r="AU5" i="44" s="1"/>
  <c r="E20" i="48" s="1"/>
  <c r="BL5" i="44"/>
  <c r="M42" i="47" s="1"/>
  <c r="AW5" i="44" s="1"/>
  <c r="I22" i="48" s="1"/>
  <c r="AJ5" i="44" s="1"/>
  <c r="E12" i="50" s="1"/>
  <c r="BH5" i="44"/>
  <c r="E36" i="47" s="1"/>
  <c r="F45" i="44"/>
  <c r="A45" i="44" s="1"/>
  <c r="F31" i="44"/>
  <c r="A31" i="44" s="1"/>
  <c r="BH31" i="44" s="1"/>
  <c r="BQ3" i="44"/>
  <c r="BL3" i="44"/>
  <c r="M10" i="47" s="1"/>
  <c r="AW3" i="44" s="1"/>
  <c r="I6" i="48" s="1"/>
  <c r="AJ3" i="44" s="1"/>
  <c r="E4" i="50" s="1"/>
  <c r="BN3" i="44"/>
  <c r="Q18" i="47" s="1"/>
  <c r="AY3" i="44" s="1"/>
  <c r="M10" i="48" s="1"/>
  <c r="AL3" i="44" s="1"/>
  <c r="I6" i="50" s="1"/>
  <c r="X3" i="44" s="1"/>
  <c r="E4" i="52" s="1"/>
  <c r="BJ3" i="44"/>
  <c r="I6" i="47" s="1"/>
  <c r="AU3" i="44" s="1"/>
  <c r="E4" i="48" s="1"/>
  <c r="BH3" i="44"/>
  <c r="E4" i="47" s="1"/>
  <c r="U34" i="47"/>
  <c r="BP3" i="44"/>
  <c r="F8" i="44"/>
  <c r="A8" i="44" s="1"/>
  <c r="F51" i="44"/>
  <c r="A51" i="44" s="1"/>
  <c r="B11" i="42"/>
  <c r="AV11" i="42" s="1"/>
  <c r="B8" i="42"/>
  <c r="AV8" i="42" s="1"/>
  <c r="B6" i="41"/>
  <c r="AV6" i="41" s="1"/>
  <c r="B10" i="40"/>
  <c r="AV10" i="40" s="1"/>
  <c r="B9" i="39"/>
  <c r="AV9" i="39" s="1"/>
  <c r="B6" i="39"/>
  <c r="AV6" i="39" s="1"/>
  <c r="B10" i="37"/>
  <c r="AV10" i="37" s="1"/>
  <c r="B9" i="36"/>
  <c r="AV9" i="36" s="1"/>
  <c r="B7" i="38"/>
  <c r="AV7" i="38" s="1"/>
  <c r="B11" i="37"/>
  <c r="AV11" i="37" s="1"/>
  <c r="B8" i="35"/>
  <c r="AV8" i="35" s="1"/>
  <c r="B7" i="34"/>
  <c r="AV7" i="34" s="1"/>
  <c r="B7" i="36"/>
  <c r="AV7" i="36" s="1"/>
  <c r="B9" i="35"/>
  <c r="AV9" i="35" s="1"/>
  <c r="B6" i="31"/>
  <c r="AV6" i="31" s="1"/>
  <c r="B7" i="33"/>
  <c r="AV7" i="33" s="1"/>
  <c r="B11" i="29"/>
  <c r="AV11" i="29" s="1"/>
  <c r="B6" i="33"/>
  <c r="AV6" i="33" s="1"/>
  <c r="B10" i="29"/>
  <c r="AV10" i="29" s="1"/>
  <c r="B9" i="28"/>
  <c r="AV9" i="28" s="1"/>
  <c r="B10" i="26"/>
  <c r="AV10" i="26" s="1"/>
  <c r="B9" i="25"/>
  <c r="AV9" i="25" s="1"/>
  <c r="B7" i="31"/>
  <c r="AV7" i="31" s="1"/>
  <c r="B11" i="24"/>
  <c r="AV11" i="24" s="1"/>
  <c r="B11" i="27"/>
  <c r="AV11" i="27" s="1"/>
  <c r="B8" i="24"/>
  <c r="AV8" i="24" s="1"/>
  <c r="B6" i="27"/>
  <c r="AV6" i="27" s="1"/>
  <c r="B6" i="21"/>
  <c r="AV6" i="21" s="1"/>
  <c r="B10" i="27"/>
  <c r="AV10" i="27" s="1"/>
  <c r="B10" i="20"/>
  <c r="AV10" i="20" s="1"/>
  <c r="B10" i="23"/>
  <c r="AV10" i="23" s="1"/>
  <c r="B9" i="22"/>
  <c r="AV9" i="22" s="1"/>
  <c r="B9" i="31"/>
  <c r="AV9" i="31" s="1"/>
  <c r="B10" i="22"/>
  <c r="AV10" i="22" s="1"/>
  <c r="B9" i="21"/>
  <c r="AV9" i="21" s="1"/>
  <c r="B11" i="18"/>
  <c r="AV11" i="18" s="1"/>
  <c r="B8" i="15"/>
  <c r="AV8" i="15" s="1"/>
  <c r="B8" i="18"/>
  <c r="AV8" i="18" s="1"/>
  <c r="B7" i="17"/>
  <c r="AV7" i="17" s="1"/>
  <c r="B8" i="17"/>
  <c r="AV8" i="17" s="1"/>
  <c r="B7" i="16"/>
  <c r="AV7" i="16" s="1"/>
  <c r="B10" i="16"/>
  <c r="AV10" i="16" s="1"/>
  <c r="B9" i="15"/>
  <c r="AV9" i="15" s="1"/>
  <c r="B6" i="13"/>
  <c r="AV6" i="13" s="1"/>
  <c r="B10" i="12"/>
  <c r="AV10" i="12" s="1"/>
  <c r="B9" i="11"/>
  <c r="AV9" i="11" s="1"/>
  <c r="B7" i="10"/>
  <c r="AV7" i="10" s="1"/>
  <c r="B10" i="11"/>
  <c r="AV10" i="11" s="1"/>
  <c r="B8" i="10"/>
  <c r="AV8" i="10" s="1"/>
  <c r="B6" i="14"/>
  <c r="AV6" i="14" s="1"/>
  <c r="B9" i="42"/>
  <c r="AV9" i="42" s="1"/>
  <c r="B6" i="42"/>
  <c r="AV6" i="42" s="1"/>
  <c r="B11" i="40"/>
  <c r="AV11" i="40" s="1"/>
  <c r="B8" i="40"/>
  <c r="AV8" i="40" s="1"/>
  <c r="B7" i="39"/>
  <c r="AV7" i="39" s="1"/>
  <c r="B11" i="41"/>
  <c r="AV11" i="41" s="1"/>
  <c r="B8" i="37"/>
  <c r="AV8" i="37" s="1"/>
  <c r="B10" i="36"/>
  <c r="AV10" i="36" s="1"/>
  <c r="B10" i="38"/>
  <c r="AV10" i="38" s="1"/>
  <c r="B9" i="37"/>
  <c r="AV9" i="37" s="1"/>
  <c r="B6" i="35"/>
  <c r="AV6" i="35" s="1"/>
  <c r="B10" i="34"/>
  <c r="AV10" i="34" s="1"/>
  <c r="B8" i="36"/>
  <c r="AV8" i="36" s="1"/>
  <c r="B7" i="35"/>
  <c r="AV7" i="35" s="1"/>
  <c r="B11" i="30"/>
  <c r="AV11" i="30" s="1"/>
  <c r="B10" i="30"/>
  <c r="AV10" i="30" s="1"/>
  <c r="B9" i="29"/>
  <c r="AV9" i="29" s="1"/>
  <c r="B11" i="32"/>
  <c r="AV11" i="32" s="1"/>
  <c r="B8" i="29"/>
  <c r="AV8" i="29" s="1"/>
  <c r="B7" i="28"/>
  <c r="AV7" i="28" s="1"/>
  <c r="B8" i="26"/>
  <c r="AV8" i="26" s="1"/>
  <c r="B7" i="25"/>
  <c r="AV7" i="25" s="1"/>
  <c r="B10" i="25"/>
  <c r="AV10" i="25" s="1"/>
  <c r="B9" i="24"/>
  <c r="AV9" i="24" s="1"/>
  <c r="B9" i="27"/>
  <c r="AV9" i="27" s="1"/>
  <c r="B6" i="24"/>
  <c r="AV6" i="24" s="1"/>
  <c r="B7" i="26"/>
  <c r="AV7" i="26" s="1"/>
  <c r="B11" i="20"/>
  <c r="AV11" i="20" s="1"/>
  <c r="B11" i="23"/>
  <c r="AV11" i="23" s="1"/>
  <c r="B8" i="20"/>
  <c r="AV8" i="20" s="1"/>
  <c r="B8" i="23"/>
  <c r="AV8" i="23" s="1"/>
  <c r="B7" i="22"/>
  <c r="AV7" i="22" s="1"/>
  <c r="B10" i="28"/>
  <c r="AV10" i="28" s="1"/>
  <c r="B8" i="22"/>
  <c r="AV8" i="22" s="1"/>
  <c r="B10" i="19"/>
  <c r="AV10" i="19" s="1"/>
  <c r="B9" i="18"/>
  <c r="AV9" i="18" s="1"/>
  <c r="B6" i="15"/>
  <c r="AV6" i="15" s="1"/>
  <c r="B6" i="18"/>
  <c r="AV6" i="18" s="1"/>
  <c r="B10" i="14"/>
  <c r="AV10" i="14" s="1"/>
  <c r="B6" i="17"/>
  <c r="AV6" i="17" s="1"/>
  <c r="B11" i="19"/>
  <c r="AV11" i="19" s="1"/>
  <c r="B8" i="16"/>
  <c r="AV8" i="16" s="1"/>
  <c r="B7" i="15"/>
  <c r="AV7" i="15" s="1"/>
  <c r="B11" i="12"/>
  <c r="AV11" i="12" s="1"/>
  <c r="B8" i="12"/>
  <c r="AV8" i="12" s="1"/>
  <c r="B7" i="11"/>
  <c r="AV7" i="11" s="1"/>
  <c r="C3" i="8"/>
  <c r="B8" i="11"/>
  <c r="AV8" i="11" s="1"/>
  <c r="B6" i="10"/>
  <c r="AV6" i="10" s="1"/>
  <c r="B9" i="13"/>
  <c r="AV9" i="13" s="1"/>
  <c r="B7" i="42"/>
  <c r="AV7" i="42" s="1"/>
  <c r="B10" i="41"/>
  <c r="AV10" i="41" s="1"/>
  <c r="B9" i="40"/>
  <c r="AV9" i="40" s="1"/>
  <c r="B6" i="40"/>
  <c r="AV6" i="40" s="1"/>
  <c r="B10" i="39"/>
  <c r="AV10" i="39" s="1"/>
  <c r="B9" i="41"/>
  <c r="AV9" i="41" s="1"/>
  <c r="B6" i="37"/>
  <c r="AV6" i="37" s="1"/>
  <c r="B11" i="38"/>
  <c r="AV11" i="38" s="1"/>
  <c r="B8" i="38"/>
  <c r="AV8" i="38" s="1"/>
  <c r="B7" i="37"/>
  <c r="AV7" i="37" s="1"/>
  <c r="B11" i="34"/>
  <c r="AV11" i="34" s="1"/>
  <c r="B8" i="34"/>
  <c r="AV8" i="34" s="1"/>
  <c r="B6" i="36"/>
  <c r="AV6" i="36" s="1"/>
  <c r="B10" i="31"/>
  <c r="AV10" i="31" s="1"/>
  <c r="B9" i="30"/>
  <c r="AV9" i="30" s="1"/>
  <c r="B8" i="30"/>
  <c r="AV8" i="30" s="1"/>
  <c r="B7" i="29"/>
  <c r="AV7" i="29" s="1"/>
  <c r="B9" i="32"/>
  <c r="AV9" i="32" s="1"/>
  <c r="B6" i="29"/>
  <c r="AV6" i="29" s="1"/>
  <c r="AV12" i="29" s="1"/>
  <c r="G1" i="29" s="1"/>
  <c r="B8" i="33"/>
  <c r="AV8" i="33" s="1"/>
  <c r="B6" i="26"/>
  <c r="AV6" i="26" s="1"/>
  <c r="B11" i="33"/>
  <c r="AV11" i="33" s="1"/>
  <c r="B8" i="25"/>
  <c r="AV8" i="25" s="1"/>
  <c r="B7" i="24"/>
  <c r="AV7" i="24" s="1"/>
  <c r="B7" i="27"/>
  <c r="AV7" i="27" s="1"/>
  <c r="B8" i="28"/>
  <c r="AV8" i="28" s="1"/>
  <c r="B10" i="21"/>
  <c r="AV10" i="21" s="1"/>
  <c r="B9" i="20"/>
  <c r="AV9" i="20" s="1"/>
  <c r="B9" i="23"/>
  <c r="AV9" i="23" s="1"/>
  <c r="B6" i="20"/>
  <c r="AV6" i="20" s="1"/>
  <c r="B6" i="23"/>
  <c r="AV6" i="23" s="1"/>
  <c r="B9" i="33"/>
  <c r="AV9" i="33" s="1"/>
  <c r="B6" i="28"/>
  <c r="AV6" i="28" s="1"/>
  <c r="B6" i="22"/>
  <c r="AV6" i="22" s="1"/>
  <c r="B8" i="19"/>
  <c r="AV8" i="19" s="1"/>
  <c r="B7" i="18"/>
  <c r="AV7" i="18" s="1"/>
  <c r="B11" i="14"/>
  <c r="AV11" i="14" s="1"/>
  <c r="B11" i="17"/>
  <c r="AV11" i="17" s="1"/>
  <c r="B7" i="21"/>
  <c r="AV7" i="21" s="1"/>
  <c r="B11" i="16"/>
  <c r="AV11" i="16" s="1"/>
  <c r="B9" i="19"/>
  <c r="AV9" i="19" s="1"/>
  <c r="B6" i="16"/>
  <c r="AV6" i="16" s="1"/>
  <c r="B10" i="13"/>
  <c r="AV10" i="13" s="1"/>
  <c r="B9" i="12"/>
  <c r="AV9" i="12" s="1"/>
  <c r="B6" i="12"/>
  <c r="AV6" i="12" s="1"/>
  <c r="B11" i="10"/>
  <c r="AV11" i="10" s="1"/>
  <c r="B9" i="14"/>
  <c r="AV9" i="14" s="1"/>
  <c r="B6" i="11"/>
  <c r="AV6" i="11" s="1"/>
  <c r="B8" i="14"/>
  <c r="AV8" i="14" s="1"/>
  <c r="B7" i="13"/>
  <c r="AV7" i="13" s="1"/>
  <c r="B10" i="42"/>
  <c r="AV10" i="42" s="1"/>
  <c r="B8" i="41"/>
  <c r="AV8" i="41" s="1"/>
  <c r="B7" i="40"/>
  <c r="AV7" i="40" s="1"/>
  <c r="B11" i="39"/>
  <c r="AV11" i="39" s="1"/>
  <c r="B8" i="39"/>
  <c r="AV8" i="39" s="1"/>
  <c r="B7" i="41"/>
  <c r="AV7" i="41" s="1"/>
  <c r="B11" i="36"/>
  <c r="AV11" i="36" s="1"/>
  <c r="B9" i="38"/>
  <c r="AV9" i="38" s="1"/>
  <c r="B6" i="38"/>
  <c r="AV6" i="38" s="1"/>
  <c r="AV12" i="38" s="1"/>
  <c r="G1" i="38" s="1"/>
  <c r="B10" i="35"/>
  <c r="AV10" i="35" s="1"/>
  <c r="B9" i="34"/>
  <c r="AV9" i="34" s="1"/>
  <c r="B6" i="34"/>
  <c r="AV6" i="34" s="1"/>
  <c r="AV12" i="34" s="1"/>
  <c r="G1" i="34" s="1"/>
  <c r="B11" i="35"/>
  <c r="AV11" i="35" s="1"/>
  <c r="B8" i="31"/>
  <c r="AV8" i="31" s="1"/>
  <c r="B7" i="30"/>
  <c r="AV7" i="30" s="1"/>
  <c r="B6" i="30"/>
  <c r="AV6" i="30" s="1"/>
  <c r="AV12" i="30" s="1"/>
  <c r="G1" i="30" s="1"/>
  <c r="B10" i="33"/>
  <c r="AV10" i="33" s="1"/>
  <c r="B7" i="32"/>
  <c r="AV7" i="32" s="1"/>
  <c r="B11" i="28"/>
  <c r="AV11" i="28" s="1"/>
  <c r="B10" i="32"/>
  <c r="AV10" i="32" s="1"/>
  <c r="B11" i="25"/>
  <c r="AV11" i="25" s="1"/>
  <c r="B11" i="31"/>
  <c r="AV11" i="31" s="1"/>
  <c r="B6" i="25"/>
  <c r="AV6" i="25" s="1"/>
  <c r="AV12" i="25" s="1"/>
  <c r="G1" i="25" s="1"/>
  <c r="B6" i="32"/>
  <c r="AV6" i="32" s="1"/>
  <c r="B10" i="24"/>
  <c r="AV10" i="24" s="1"/>
  <c r="B8" i="27"/>
  <c r="AV8" i="27" s="1"/>
  <c r="B8" i="21"/>
  <c r="AV8" i="21" s="1"/>
  <c r="B7" i="20"/>
  <c r="AV7" i="20" s="1"/>
  <c r="B7" i="23"/>
  <c r="AV7" i="23" s="1"/>
  <c r="B9" i="26"/>
  <c r="AV9" i="26" s="1"/>
  <c r="B11" i="22"/>
  <c r="AV11" i="22" s="1"/>
  <c r="B8" i="32"/>
  <c r="AV8" i="32" s="1"/>
  <c r="B11" i="26"/>
  <c r="AV11" i="26" s="1"/>
  <c r="B11" i="21"/>
  <c r="AV11" i="21" s="1"/>
  <c r="B6" i="19"/>
  <c r="AV6" i="19" s="1"/>
  <c r="B10" i="15"/>
  <c r="AV10" i="15" s="1"/>
  <c r="B10" i="18"/>
  <c r="AV10" i="18" s="1"/>
  <c r="B9" i="17"/>
  <c r="AV9" i="17" s="1"/>
  <c r="B10" i="17"/>
  <c r="AV10" i="17" s="1"/>
  <c r="B9" i="16"/>
  <c r="AV9" i="16" s="1"/>
  <c r="B7" i="19"/>
  <c r="AV7" i="19" s="1"/>
  <c r="B11" i="15"/>
  <c r="AV11" i="15" s="1"/>
  <c r="B8" i="13"/>
  <c r="AV8" i="13" s="1"/>
  <c r="B7" i="12"/>
  <c r="AV7" i="12" s="1"/>
  <c r="B11" i="11"/>
  <c r="AV11" i="11" s="1"/>
  <c r="B9" i="10"/>
  <c r="AV9" i="10" s="1"/>
  <c r="B7" i="14"/>
  <c r="AV7" i="14" s="1"/>
  <c r="B10" i="10"/>
  <c r="AV10" i="10" s="1"/>
  <c r="B11" i="13"/>
  <c r="AV11" i="13" s="1"/>
  <c r="F33" i="44"/>
  <c r="A33" i="44" s="1"/>
  <c r="BH33" i="44" s="1"/>
  <c r="F27" i="44"/>
  <c r="A27" i="44" s="1"/>
  <c r="BH27" i="44" s="1"/>
  <c r="F24" i="44"/>
  <c r="A24" i="44" s="1"/>
  <c r="BH24" i="44" s="1"/>
  <c r="F44" i="44"/>
  <c r="A44" i="44" s="1"/>
  <c r="F11" i="44"/>
  <c r="A11" i="44" s="1"/>
  <c r="F39" i="44"/>
  <c r="A39" i="44" s="1"/>
  <c r="F56" i="44"/>
  <c r="A56" i="44" s="1"/>
  <c r="F59" i="44"/>
  <c r="A59" i="44" s="1"/>
  <c r="F37" i="44"/>
  <c r="A37" i="44" s="1"/>
  <c r="BN4" i="44"/>
  <c r="Q51" i="47" s="1"/>
  <c r="AY4" i="44" s="1"/>
  <c r="M27" i="48" s="1"/>
  <c r="AL4" i="44" s="1"/>
  <c r="I15" i="50" s="1"/>
  <c r="X4" i="44" s="1"/>
  <c r="E9" i="52" s="1"/>
  <c r="BL4" i="44"/>
  <c r="M59" i="47" s="1"/>
  <c r="AW4" i="44" s="1"/>
  <c r="I31" i="48" s="1"/>
  <c r="AJ4" i="44" s="1"/>
  <c r="E17" i="50" s="1"/>
  <c r="BJ4" i="44"/>
  <c r="I63" i="47" s="1"/>
  <c r="AU4" i="44" s="1"/>
  <c r="E33" i="48" s="1"/>
  <c r="BH4" i="44"/>
  <c r="E65" i="47" s="1"/>
  <c r="BQ4" i="44"/>
  <c r="BP4" i="44"/>
  <c r="U35" i="47" s="1"/>
  <c r="BA4" i="44" s="1"/>
  <c r="Q19" i="48" s="1"/>
  <c r="AN4" i="44" s="1"/>
  <c r="M11" i="50" s="1"/>
  <c r="Z4" i="44" s="1"/>
  <c r="I7" i="52" s="1"/>
  <c r="F9" i="44"/>
  <c r="A9" i="44" s="1"/>
  <c r="F40" i="44"/>
  <c r="A40" i="44" s="1"/>
  <c r="F19" i="44"/>
  <c r="A19" i="44" s="1"/>
  <c r="BH19" i="44" s="1"/>
  <c r="F30" i="44"/>
  <c r="A30" i="44" s="1"/>
  <c r="BH30" i="44" s="1"/>
  <c r="F21" i="44"/>
  <c r="A21" i="44" s="1"/>
  <c r="BH21" i="44" s="1"/>
  <c r="F32" i="44"/>
  <c r="A32" i="44" s="1"/>
  <c r="BH32" i="44" s="1"/>
  <c r="F53" i="44"/>
  <c r="A53" i="44" s="1"/>
  <c r="F46" i="44"/>
  <c r="A46" i="44" s="1"/>
  <c r="C64" i="44"/>
  <c r="C56" i="44"/>
  <c r="C48" i="44"/>
  <c r="C40" i="44"/>
  <c r="C59" i="44"/>
  <c r="B55" i="44"/>
  <c r="C41" i="44"/>
  <c r="B34" i="44"/>
  <c r="B27" i="44"/>
  <c r="B19" i="44"/>
  <c r="B11" i="44"/>
  <c r="C61" i="44"/>
  <c r="C47" i="44"/>
  <c r="B43" i="44"/>
  <c r="C29" i="44"/>
  <c r="C21" i="44"/>
  <c r="B14" i="44"/>
  <c r="C65" i="44"/>
  <c r="C51" i="44"/>
  <c r="B47" i="44"/>
  <c r="C30" i="44"/>
  <c r="C22" i="44"/>
  <c r="B13" i="44"/>
  <c r="B51" i="44"/>
  <c r="C11" i="44"/>
  <c r="C31" i="44"/>
  <c r="C4" i="44"/>
  <c r="B26" i="44"/>
  <c r="B35" i="44"/>
  <c r="C7" i="44"/>
  <c r="F65" i="44"/>
  <c r="A65" i="44" s="1"/>
  <c r="F49" i="44"/>
  <c r="A49" i="44" s="1"/>
  <c r="F29" i="44"/>
  <c r="A29" i="44" s="1"/>
  <c r="BH29" i="44" s="1"/>
  <c r="F47" i="44"/>
  <c r="A47" i="44" s="1"/>
  <c r="C52" i="44"/>
  <c r="C57" i="44"/>
  <c r="B31" i="44"/>
  <c r="C63" i="44"/>
  <c r="C33" i="44"/>
  <c r="C25" i="44"/>
  <c r="B63" i="44"/>
  <c r="C35" i="44"/>
  <c r="C10" i="44"/>
  <c r="B12" i="44"/>
  <c r="C23" i="44"/>
  <c r="F22" i="44"/>
  <c r="A22" i="44" s="1"/>
  <c r="BH22" i="44" s="1"/>
  <c r="F17" i="44"/>
  <c r="A17" i="44" s="1"/>
  <c r="F57" i="44"/>
  <c r="A57" i="44" s="1"/>
  <c r="F35" i="44"/>
  <c r="A35" i="44" s="1"/>
  <c r="F63" i="44"/>
  <c r="A63" i="44" s="1"/>
  <c r="F13" i="44"/>
  <c r="A13" i="44" s="1"/>
  <c r="F41" i="44"/>
  <c r="A41" i="44" s="1"/>
  <c r="F7" i="44"/>
  <c r="A7" i="44" s="1"/>
  <c r="F16" i="44"/>
  <c r="A16" i="44" s="1"/>
  <c r="F62" i="44"/>
  <c r="A62" i="44" s="1"/>
  <c r="B61" i="44"/>
  <c r="B53" i="44"/>
  <c r="B45" i="44"/>
  <c r="B37" i="44"/>
  <c r="C58" i="44"/>
  <c r="B54" i="44"/>
  <c r="B40" i="44"/>
  <c r="C32" i="44"/>
  <c r="C24" i="44"/>
  <c r="C18" i="44"/>
  <c r="C8" i="44"/>
  <c r="B60" i="44"/>
  <c r="C46" i="44"/>
  <c r="B42" i="44"/>
  <c r="B28" i="44"/>
  <c r="B20" i="44"/>
  <c r="C13" i="44"/>
  <c r="B64" i="44"/>
  <c r="C50" i="44"/>
  <c r="B46" i="44"/>
  <c r="B29" i="44"/>
  <c r="B21" i="44"/>
  <c r="C12" i="44"/>
  <c r="C38" i="44"/>
  <c r="C54" i="44"/>
  <c r="B22" i="44"/>
  <c r="B66" i="44"/>
  <c r="C19" i="44"/>
  <c r="B30" i="44"/>
  <c r="C5" i="44"/>
  <c r="F50" i="44"/>
  <c r="A50" i="44" s="1"/>
  <c r="F38" i="44"/>
  <c r="A38" i="44" s="1"/>
  <c r="C60" i="44"/>
  <c r="C36" i="44"/>
  <c r="B39" i="44"/>
  <c r="B15" i="44"/>
  <c r="C45" i="44"/>
  <c r="B18" i="44"/>
  <c r="C49" i="44"/>
  <c r="B17" i="44"/>
  <c r="C27" i="44"/>
  <c r="C53" i="44"/>
  <c r="C3" i="44"/>
  <c r="F14" i="44"/>
  <c r="A14" i="44" s="1"/>
  <c r="F52" i="44"/>
  <c r="A52" i="44" s="1"/>
  <c r="F42" i="44"/>
  <c r="A42" i="44" s="1"/>
  <c r="F23" i="44"/>
  <c r="A23" i="44" s="1"/>
  <c r="BH23" i="44" s="1"/>
  <c r="C44" i="44"/>
  <c r="C43" i="44"/>
  <c r="B23" i="44"/>
  <c r="B59" i="44"/>
  <c r="C9" i="44"/>
  <c r="C26" i="44"/>
  <c r="B50" i="44"/>
  <c r="B52" i="44"/>
  <c r="F66" i="44"/>
  <c r="A66" i="44" s="1"/>
  <c r="F10" i="44"/>
  <c r="A10" i="44" s="1"/>
  <c r="F60" i="44"/>
  <c r="A60" i="44" s="1"/>
  <c r="F28" i="44"/>
  <c r="A28" i="44" s="1"/>
  <c r="BH28" i="44" s="1"/>
  <c r="F12" i="44"/>
  <c r="A12" i="44" s="1"/>
  <c r="F58" i="44"/>
  <c r="A58" i="44" s="1"/>
  <c r="F18" i="44"/>
  <c r="A18" i="44" s="1"/>
  <c r="F36" i="44"/>
  <c r="A36" i="44" s="1"/>
  <c r="F64" i="44"/>
  <c r="A64" i="44" s="1"/>
  <c r="B65" i="44"/>
  <c r="B57" i="44"/>
  <c r="B49" i="44"/>
  <c r="B41" i="44"/>
  <c r="C34" i="44"/>
  <c r="B56" i="44"/>
  <c r="C42" i="44"/>
  <c r="B38" i="44"/>
  <c r="C28" i="44"/>
  <c r="C20" i="44"/>
  <c r="C14" i="44"/>
  <c r="C62" i="44"/>
  <c r="B58" i="44"/>
  <c r="B44" i="44"/>
  <c r="B32" i="44"/>
  <c r="B24" i="44"/>
  <c r="C17" i="44"/>
  <c r="C66" i="44"/>
  <c r="B62" i="44"/>
  <c r="B48" i="44"/>
  <c r="B33" i="44"/>
  <c r="B25" i="44"/>
  <c r="C16" i="44"/>
  <c r="C55" i="44"/>
  <c r="B16" i="44"/>
  <c r="C37" i="44"/>
  <c r="C6" i="44"/>
  <c r="B36" i="44"/>
  <c r="C39" i="44"/>
  <c r="C15" i="44"/>
  <c r="F48" i="44"/>
  <c r="A48" i="44" s="1"/>
  <c r="F26" i="44"/>
  <c r="A26" i="44" s="1"/>
  <c r="BH26" i="44" s="1"/>
  <c r="B145" i="57"/>
  <c r="E145" i="57" s="1"/>
  <c r="B21" i="57"/>
  <c r="E21" i="57" s="1"/>
  <c r="B91" i="57"/>
  <c r="E91" i="57" s="1"/>
  <c r="B131" i="57"/>
  <c r="E131" i="57" s="1"/>
  <c r="B195" i="57"/>
  <c r="E195" i="57" s="1"/>
  <c r="B259" i="57"/>
  <c r="E259" i="57" s="1"/>
  <c r="B150" i="57"/>
  <c r="E150" i="57" s="1"/>
  <c r="B214" i="57"/>
  <c r="E214" i="57" s="1"/>
  <c r="B169" i="57"/>
  <c r="E169" i="57" s="1"/>
  <c r="B124" i="57"/>
  <c r="E124" i="57" s="1"/>
  <c r="B188" i="57"/>
  <c r="E188" i="57" s="1"/>
  <c r="B252" i="57"/>
  <c r="E252" i="57" s="1"/>
  <c r="B80" i="57"/>
  <c r="E80" i="57" s="1"/>
  <c r="B112" i="57"/>
  <c r="E112" i="57" s="1"/>
  <c r="B217" i="57"/>
  <c r="E217" i="57" s="1"/>
  <c r="B257" i="57"/>
  <c r="E257" i="57" s="1"/>
  <c r="B25" i="57"/>
  <c r="E25" i="57" s="1"/>
  <c r="B93" i="57"/>
  <c r="E93" i="57" s="1"/>
  <c r="B135" i="57"/>
  <c r="E135" i="57" s="1"/>
  <c r="B199" i="57"/>
  <c r="E199" i="57" s="1"/>
  <c r="B26" i="57"/>
  <c r="E26" i="57" s="1"/>
  <c r="B170" i="57"/>
  <c r="E170" i="57" s="1"/>
  <c r="B234" i="57"/>
  <c r="E234" i="57" s="1"/>
  <c r="B133" i="57"/>
  <c r="E133" i="57" s="1"/>
  <c r="B160" i="57"/>
  <c r="E160" i="57" s="1"/>
  <c r="B224" i="57"/>
  <c r="E224" i="57" s="1"/>
  <c r="B66" i="57"/>
  <c r="E66" i="57" s="1"/>
  <c r="B98" i="57"/>
  <c r="E98" i="57" s="1"/>
  <c r="B59" i="57"/>
  <c r="E59" i="57" s="1"/>
  <c r="B48" i="57"/>
  <c r="E48" i="57" s="1"/>
  <c r="B45" i="57"/>
  <c r="E45" i="57" s="1"/>
  <c r="B24" i="57"/>
  <c r="E24" i="57" s="1"/>
  <c r="B60" i="57"/>
  <c r="E60" i="57" s="1"/>
  <c r="B53" i="57"/>
  <c r="E53" i="57" s="1"/>
  <c r="B56" i="57"/>
  <c r="E56" i="57" s="1"/>
  <c r="B241" i="57"/>
  <c r="E241" i="57" s="1"/>
  <c r="B29" i="57"/>
  <c r="E29" i="57" s="1"/>
  <c r="B95" i="57"/>
  <c r="E95" i="57" s="1"/>
  <c r="B139" i="57"/>
  <c r="E139" i="57" s="1"/>
  <c r="B203" i="57"/>
  <c r="E203" i="57" s="1"/>
  <c r="B30" i="57"/>
  <c r="E30" i="57" s="1"/>
  <c r="B174" i="57"/>
  <c r="E174" i="57" s="1"/>
  <c r="B238" i="57"/>
  <c r="E238" i="57" s="1"/>
  <c r="B116" i="57"/>
  <c r="E116" i="57" s="1"/>
  <c r="B180" i="57"/>
  <c r="E180" i="57" s="1"/>
  <c r="B244" i="57"/>
  <c r="E244" i="57" s="1"/>
  <c r="B68" i="57"/>
  <c r="E68" i="57" s="1"/>
  <c r="B100" i="57"/>
  <c r="E100" i="57" s="1"/>
  <c r="B55" i="57"/>
  <c r="E55" i="57" s="1"/>
  <c r="B125" i="57"/>
  <c r="E125" i="57" s="1"/>
  <c r="B33" i="57"/>
  <c r="E33" i="57" s="1"/>
  <c r="B97" i="57"/>
  <c r="E97" i="57" s="1"/>
  <c r="B143" i="57"/>
  <c r="E143" i="57" s="1"/>
  <c r="B207" i="57"/>
  <c r="E207" i="57" s="1"/>
  <c r="B34" i="57"/>
  <c r="E34" i="57" s="1"/>
  <c r="B178" i="57"/>
  <c r="E178" i="57" s="1"/>
  <c r="B242" i="57"/>
  <c r="E242" i="57" s="1"/>
  <c r="B229" i="57"/>
  <c r="E229" i="57" s="1"/>
  <c r="B168" i="57"/>
  <c r="E168" i="57" s="1"/>
  <c r="B232" i="57"/>
  <c r="E232" i="57" s="1"/>
  <c r="B70" i="57"/>
  <c r="E70" i="57" s="1"/>
  <c r="B102" i="57"/>
  <c r="E102" i="57" s="1"/>
  <c r="B37" i="57"/>
  <c r="E37" i="57" s="1"/>
  <c r="B44" i="57"/>
  <c r="E44" i="57" s="1"/>
  <c r="B32" i="57"/>
  <c r="E32" i="57" s="1"/>
  <c r="B209" i="57"/>
  <c r="E209" i="57" s="1"/>
  <c r="B67" i="57"/>
  <c r="E67" i="57" s="1"/>
  <c r="B99" i="57"/>
  <c r="E99" i="57" s="1"/>
  <c r="B147" i="57"/>
  <c r="E147" i="57" s="1"/>
  <c r="B211" i="57"/>
  <c r="E211" i="57" s="1"/>
  <c r="B22" i="57"/>
  <c r="E22" i="57" s="1"/>
  <c r="B166" i="57"/>
  <c r="E166" i="57" s="1"/>
  <c r="B230" i="57"/>
  <c r="E230" i="57" s="1"/>
  <c r="B117" i="57"/>
  <c r="E117" i="57" s="1"/>
  <c r="B140" i="57"/>
  <c r="E140" i="57" s="1"/>
  <c r="B204" i="57"/>
  <c r="E204" i="57" s="1"/>
  <c r="B46" i="57"/>
  <c r="E46" i="57" s="1"/>
  <c r="B88" i="57"/>
  <c r="E88" i="57" s="1"/>
  <c r="B17" i="57"/>
  <c r="B249" i="57"/>
  <c r="E249" i="57" s="1"/>
  <c r="B157" i="57"/>
  <c r="E157" i="57" s="1"/>
  <c r="B69" i="57"/>
  <c r="E69" i="57" s="1"/>
  <c r="B101" i="57"/>
  <c r="E101" i="57" s="1"/>
  <c r="B151" i="57"/>
  <c r="E151" i="57" s="1"/>
  <c r="B215" i="57"/>
  <c r="E215" i="57" s="1"/>
  <c r="B122" i="57"/>
  <c r="E122" i="57" s="1"/>
  <c r="B186" i="57"/>
  <c r="E186" i="57" s="1"/>
  <c r="B250" i="57"/>
  <c r="E250" i="57" s="1"/>
  <c r="B197" i="57"/>
  <c r="E197" i="57" s="1"/>
  <c r="B176" i="57"/>
  <c r="E176" i="57" s="1"/>
  <c r="B240" i="57"/>
  <c r="E240" i="57" s="1"/>
  <c r="B74" i="57"/>
  <c r="E74" i="57" s="1"/>
  <c r="B106" i="57"/>
  <c r="E106" i="57" s="1"/>
  <c r="B20" i="57"/>
  <c r="E20" i="57" s="1"/>
  <c r="B9" i="57"/>
  <c r="B61" i="57"/>
  <c r="E61" i="57" s="1"/>
  <c r="B41" i="57"/>
  <c r="E41" i="57" s="1"/>
  <c r="B4" i="57"/>
  <c r="B18" i="57"/>
  <c r="B15" i="57"/>
  <c r="B141" i="57"/>
  <c r="E141" i="57" s="1"/>
  <c r="B71" i="57"/>
  <c r="E71" i="57" s="1"/>
  <c r="B103" i="57"/>
  <c r="E103" i="57" s="1"/>
  <c r="B155" i="57"/>
  <c r="E155" i="57" s="1"/>
  <c r="B219" i="57"/>
  <c r="E219" i="57" s="1"/>
  <c r="B126" i="57"/>
  <c r="E126" i="57" s="1"/>
  <c r="B190" i="57"/>
  <c r="E190" i="57" s="1"/>
  <c r="B254" i="57"/>
  <c r="E254" i="57" s="1"/>
  <c r="B132" i="57"/>
  <c r="E132" i="57" s="1"/>
  <c r="B196" i="57"/>
  <c r="E196" i="57" s="1"/>
  <c r="B6" i="57"/>
  <c r="B76" i="57"/>
  <c r="E76" i="57" s="1"/>
  <c r="B108" i="57"/>
  <c r="E108" i="57" s="1"/>
  <c r="B121" i="57"/>
  <c r="E121" i="57" s="1"/>
  <c r="B189" i="57"/>
  <c r="E189" i="57" s="1"/>
  <c r="B73" i="57"/>
  <c r="E73" i="57" s="1"/>
  <c r="B105" i="57"/>
  <c r="E105" i="57" s="1"/>
  <c r="B159" i="57"/>
  <c r="E159" i="57" s="1"/>
  <c r="B223" i="57"/>
  <c r="E223" i="57" s="1"/>
  <c r="B130" i="57"/>
  <c r="E130" i="57" s="1"/>
  <c r="B194" i="57"/>
  <c r="E194" i="57" s="1"/>
  <c r="B258" i="57"/>
  <c r="E258" i="57" s="1"/>
  <c r="B120" i="57"/>
  <c r="E120" i="57" s="1"/>
  <c r="B184" i="57"/>
  <c r="E184" i="57" s="1"/>
  <c r="B248" i="57"/>
  <c r="E248" i="57" s="1"/>
  <c r="B78" i="57"/>
  <c r="E78" i="57" s="1"/>
  <c r="B110" i="57"/>
  <c r="E110" i="57" s="1"/>
  <c r="B23" i="57"/>
  <c r="E23" i="57" s="1"/>
  <c r="B10" i="57"/>
  <c r="B13" i="57"/>
  <c r="B173" i="57"/>
  <c r="E173" i="57" s="1"/>
  <c r="B75" i="57"/>
  <c r="E75" i="57" s="1"/>
  <c r="B107" i="57"/>
  <c r="E107" i="57" s="1"/>
  <c r="B163" i="57"/>
  <c r="E163" i="57" s="1"/>
  <c r="B227" i="57"/>
  <c r="E227" i="57" s="1"/>
  <c r="B118" i="57"/>
  <c r="E118" i="57" s="1"/>
  <c r="B182" i="57"/>
  <c r="E182" i="57" s="1"/>
  <c r="B246" i="57"/>
  <c r="E246" i="57" s="1"/>
  <c r="B181" i="57"/>
  <c r="E181" i="57" s="1"/>
  <c r="B156" i="57"/>
  <c r="E156" i="57" s="1"/>
  <c r="B220" i="57"/>
  <c r="E220" i="57" s="1"/>
  <c r="B62" i="57"/>
  <c r="E62" i="57" s="1"/>
  <c r="B96" i="57"/>
  <c r="E96" i="57" s="1"/>
  <c r="B47" i="57"/>
  <c r="E47" i="57" s="1"/>
  <c r="B129" i="57"/>
  <c r="E129" i="57" s="1"/>
  <c r="B221" i="57"/>
  <c r="E221" i="57" s="1"/>
  <c r="B77" i="57"/>
  <c r="E77" i="57" s="1"/>
  <c r="B109" i="57"/>
  <c r="E109" i="57" s="1"/>
  <c r="B167" i="57"/>
  <c r="E167" i="57" s="1"/>
  <c r="B231" i="57"/>
  <c r="E231" i="57" s="1"/>
  <c r="B138" i="57"/>
  <c r="E138" i="57" s="1"/>
  <c r="B202" i="57"/>
  <c r="E202" i="57" s="1"/>
  <c r="B201" i="57"/>
  <c r="E201" i="57" s="1"/>
  <c r="B128" i="57"/>
  <c r="E128" i="57" s="1"/>
  <c r="B192" i="57"/>
  <c r="E192" i="57" s="1"/>
  <c r="B256" i="57"/>
  <c r="E256" i="57" s="1"/>
  <c r="B82" i="57"/>
  <c r="E82" i="57" s="1"/>
  <c r="B114" i="57"/>
  <c r="E114" i="57" s="1"/>
  <c r="B49" i="57"/>
  <c r="E49" i="57" s="1"/>
  <c r="B11" i="57"/>
  <c r="B52" i="57"/>
  <c r="E52" i="57" s="1"/>
  <c r="B57" i="57"/>
  <c r="E57" i="57" s="1"/>
  <c r="B64" i="57"/>
  <c r="E64" i="57" s="1"/>
  <c r="B19" i="57"/>
  <c r="B65" i="57"/>
  <c r="E65" i="57" s="1"/>
  <c r="B205" i="57"/>
  <c r="E205" i="57" s="1"/>
  <c r="B79" i="57"/>
  <c r="E79" i="57" s="1"/>
  <c r="B111" i="57"/>
  <c r="E111" i="57" s="1"/>
  <c r="B171" i="57"/>
  <c r="E171" i="57" s="1"/>
  <c r="B235" i="57"/>
  <c r="E235" i="57" s="1"/>
  <c r="B142" i="57"/>
  <c r="E142" i="57" s="1"/>
  <c r="B206" i="57"/>
  <c r="E206" i="57" s="1"/>
  <c r="B149" i="57"/>
  <c r="E149" i="57" s="1"/>
  <c r="B148" i="57"/>
  <c r="E148" i="57" s="1"/>
  <c r="B212" i="57"/>
  <c r="E212" i="57" s="1"/>
  <c r="B38" i="57"/>
  <c r="E38" i="57" s="1"/>
  <c r="B84" i="57"/>
  <c r="E84" i="57" s="1"/>
  <c r="B8" i="57"/>
  <c r="B161" i="57"/>
  <c r="E161" i="57" s="1"/>
  <c r="B253" i="57"/>
  <c r="E253" i="57" s="1"/>
  <c r="B81" i="57"/>
  <c r="E81" i="57" s="1"/>
  <c r="B113" i="57"/>
  <c r="E113" i="57" s="1"/>
  <c r="B175" i="57"/>
  <c r="E175" i="57" s="1"/>
  <c r="B239" i="57"/>
  <c r="E239" i="57" s="1"/>
  <c r="B146" i="57"/>
  <c r="E146" i="57" s="1"/>
  <c r="B210" i="57"/>
  <c r="E210" i="57" s="1"/>
  <c r="B153" i="57"/>
  <c r="E153" i="57" s="1"/>
  <c r="B136" i="57"/>
  <c r="E136" i="57" s="1"/>
  <c r="B200" i="57"/>
  <c r="E200" i="57" s="1"/>
  <c r="B42" i="57"/>
  <c r="E42" i="57" s="1"/>
  <c r="B86" i="57"/>
  <c r="E86" i="57" s="1"/>
  <c r="B35" i="57"/>
  <c r="E35" i="57" s="1"/>
  <c r="B185" i="57"/>
  <c r="E185" i="57" s="1"/>
  <c r="B237" i="57"/>
  <c r="E237" i="57" s="1"/>
  <c r="B83" i="57"/>
  <c r="E83" i="57" s="1"/>
  <c r="B115" i="57"/>
  <c r="E115" i="57" s="1"/>
  <c r="B179" i="57"/>
  <c r="E179" i="57" s="1"/>
  <c r="B243" i="57"/>
  <c r="E243" i="57" s="1"/>
  <c r="B134" i="57"/>
  <c r="E134" i="57" s="1"/>
  <c r="B198" i="57"/>
  <c r="E198" i="57" s="1"/>
  <c r="B137" i="57"/>
  <c r="E137" i="57" s="1"/>
  <c r="B245" i="57"/>
  <c r="E245" i="57" s="1"/>
  <c r="B172" i="57"/>
  <c r="E172" i="57" s="1"/>
  <c r="B236" i="57"/>
  <c r="E236" i="57" s="1"/>
  <c r="B72" i="57"/>
  <c r="E72" i="57" s="1"/>
  <c r="B104" i="57"/>
  <c r="E104" i="57" s="1"/>
  <c r="B63" i="57"/>
  <c r="E63" i="57" s="1"/>
  <c r="B193" i="57"/>
  <c r="E193" i="57" s="1"/>
  <c r="B7" i="57"/>
  <c r="B85" i="57"/>
  <c r="E85" i="57" s="1"/>
  <c r="B119" i="57"/>
  <c r="E119" i="57" s="1"/>
  <c r="B183" i="57"/>
  <c r="E183" i="57" s="1"/>
  <c r="B247" i="57"/>
  <c r="E247" i="57" s="1"/>
  <c r="B154" i="57"/>
  <c r="E154" i="57" s="1"/>
  <c r="B218" i="57"/>
  <c r="E218" i="57" s="1"/>
  <c r="B233" i="57"/>
  <c r="E233" i="57" s="1"/>
  <c r="B144" i="57"/>
  <c r="E144" i="57" s="1"/>
  <c r="B208" i="57"/>
  <c r="E208" i="57" s="1"/>
  <c r="B50" i="57"/>
  <c r="E50" i="57" s="1"/>
  <c r="B90" i="57"/>
  <c r="E90" i="57" s="1"/>
  <c r="B43" i="57"/>
  <c r="E43" i="57" s="1"/>
  <c r="B31" i="57"/>
  <c r="E31" i="57" s="1"/>
  <c r="B28" i="57"/>
  <c r="E28" i="57" s="1"/>
  <c r="B40" i="57"/>
  <c r="E40" i="57" s="1"/>
  <c r="B14" i="57"/>
  <c r="B5" i="57"/>
  <c r="B36" i="57"/>
  <c r="E36" i="57" s="1"/>
  <c r="B177" i="57"/>
  <c r="E177" i="57" s="1"/>
  <c r="B12" i="57"/>
  <c r="B87" i="57"/>
  <c r="E87" i="57" s="1"/>
  <c r="B123" i="57"/>
  <c r="E123" i="57" s="1"/>
  <c r="B187" i="57"/>
  <c r="E187" i="57" s="1"/>
  <c r="B251" i="57"/>
  <c r="E251" i="57" s="1"/>
  <c r="B158" i="57"/>
  <c r="E158" i="57" s="1"/>
  <c r="B222" i="57"/>
  <c r="E222" i="57" s="1"/>
  <c r="B213" i="57"/>
  <c r="E213" i="57" s="1"/>
  <c r="B164" i="57"/>
  <c r="E164" i="57" s="1"/>
  <c r="B228" i="57"/>
  <c r="E228" i="57" s="1"/>
  <c r="B54" i="57"/>
  <c r="E54" i="57" s="1"/>
  <c r="B92" i="57"/>
  <c r="E92" i="57" s="1"/>
  <c r="B39" i="57"/>
  <c r="E39" i="57" s="1"/>
  <c r="B225" i="57"/>
  <c r="E225" i="57" s="1"/>
  <c r="B16" i="57"/>
  <c r="B89" i="57"/>
  <c r="E89" i="57" s="1"/>
  <c r="B127" i="57"/>
  <c r="E127" i="57" s="1"/>
  <c r="B191" i="57"/>
  <c r="E191" i="57" s="1"/>
  <c r="B255" i="57"/>
  <c r="E255" i="57" s="1"/>
  <c r="B162" i="57"/>
  <c r="E162" i="57" s="1"/>
  <c r="B226" i="57"/>
  <c r="E226" i="57" s="1"/>
  <c r="B165" i="57"/>
  <c r="E165" i="57" s="1"/>
  <c r="B152" i="57"/>
  <c r="E152" i="57" s="1"/>
  <c r="B216" i="57"/>
  <c r="E216" i="57" s="1"/>
  <c r="B58" i="57"/>
  <c r="E58" i="57" s="1"/>
  <c r="B94" i="57"/>
  <c r="E94" i="57" s="1"/>
  <c r="B51" i="57"/>
  <c r="E51" i="57" s="1"/>
  <c r="B27" i="57"/>
  <c r="E27" i="57" s="1"/>
  <c r="F55" i="44"/>
  <c r="A55" i="44" s="1"/>
  <c r="F43" i="44"/>
  <c r="A43" i="44" s="1"/>
  <c r="BR6" i="44"/>
  <c r="BP6" i="44"/>
  <c r="U56" i="47" s="1"/>
  <c r="BN6" i="44"/>
  <c r="Q19" i="47" s="1"/>
  <c r="AY6" i="44" s="1"/>
  <c r="M11" i="48" s="1"/>
  <c r="AL6" i="44" s="1"/>
  <c r="I7" i="50" s="1"/>
  <c r="X6" i="44" s="1"/>
  <c r="E5" i="52" s="1"/>
  <c r="BL6" i="44"/>
  <c r="M27" i="47" s="1"/>
  <c r="AW6" i="44" s="1"/>
  <c r="I15" i="48" s="1"/>
  <c r="AJ6" i="44" s="1"/>
  <c r="E9" i="50" s="1"/>
  <c r="BJ6" i="44"/>
  <c r="I31" i="47" s="1"/>
  <c r="AU6" i="44" s="1"/>
  <c r="E17" i="48" s="1"/>
  <c r="BH6" i="44"/>
  <c r="E33" i="47" s="1"/>
  <c r="F34" i="44"/>
  <c r="A34" i="44" s="1"/>
  <c r="BH34" i="44" s="1"/>
  <c r="F61" i="44"/>
  <c r="A61" i="44" s="1"/>
  <c r="F15" i="44"/>
  <c r="A15" i="44" s="1"/>
  <c r="D109" i="43"/>
  <c r="D36" i="43"/>
  <c r="D123" i="43"/>
  <c r="D114" i="43"/>
  <c r="D10" i="43"/>
  <c r="D84" i="43"/>
  <c r="D63" i="43"/>
  <c r="D26" i="43"/>
  <c r="D72" i="43"/>
  <c r="D103" i="43"/>
  <c r="D44" i="43"/>
  <c r="D12" i="43"/>
  <c r="D22" i="43"/>
  <c r="D74" i="43"/>
  <c r="D105" i="43"/>
  <c r="D46" i="43"/>
  <c r="D14" i="43"/>
  <c r="D19" i="43"/>
  <c r="D71" i="43"/>
  <c r="D104" i="43"/>
  <c r="D43" i="43"/>
  <c r="D13" i="43"/>
  <c r="D21" i="43"/>
  <c r="D73" i="43"/>
  <c r="D106" i="43"/>
  <c r="D45" i="43"/>
  <c r="D11" i="43"/>
  <c r="D20" i="43"/>
  <c r="AT8" i="32"/>
  <c r="C8" i="32"/>
  <c r="Q11" i="29"/>
  <c r="I11" i="29"/>
  <c r="X10" i="29"/>
  <c r="L10" i="29"/>
  <c r="D10" i="29"/>
  <c r="Y9" i="29"/>
  <c r="U9" i="29"/>
  <c r="I9" i="29"/>
  <c r="X8" i="29"/>
  <c r="T8" i="29"/>
  <c r="P8" i="29"/>
  <c r="D8" i="29"/>
  <c r="Y7" i="29"/>
  <c r="U7" i="29"/>
  <c r="Q7" i="29"/>
  <c r="M7" i="29"/>
  <c r="X6" i="29"/>
  <c r="T6" i="29"/>
  <c r="P6" i="29"/>
  <c r="L6" i="29"/>
  <c r="H6" i="29"/>
  <c r="P11" i="29"/>
  <c r="H11" i="29"/>
  <c r="Q10" i="29"/>
  <c r="I10" i="29"/>
  <c r="X9" i="29"/>
  <c r="T9" i="29"/>
  <c r="H9" i="29"/>
  <c r="I8" i="29"/>
  <c r="X7" i="29"/>
  <c r="T7" i="29"/>
  <c r="P7" i="29"/>
  <c r="L7" i="29"/>
  <c r="U11" i="29"/>
  <c r="M11" i="29"/>
  <c r="E11" i="29"/>
  <c r="P10" i="29"/>
  <c r="H10" i="29"/>
  <c r="M9" i="29"/>
  <c r="E9" i="29"/>
  <c r="H8" i="29"/>
  <c r="E7" i="29"/>
  <c r="E10" i="29"/>
  <c r="Q8" i="29"/>
  <c r="M6" i="29"/>
  <c r="AA1" i="29"/>
  <c r="T11" i="29"/>
  <c r="L9" i="29"/>
  <c r="U8" i="29"/>
  <c r="E8" i="29"/>
  <c r="D7" i="29"/>
  <c r="Q6" i="29"/>
  <c r="L11" i="29"/>
  <c r="Y10" i="29"/>
  <c r="D9" i="29"/>
  <c r="Y8" i="29"/>
  <c r="U6" i="29"/>
  <c r="M10" i="29"/>
  <c r="I6" i="29"/>
  <c r="D11" i="29"/>
  <c r="Y6" i="29"/>
  <c r="AT11" i="32"/>
  <c r="C11" i="32"/>
  <c r="AT8" i="33"/>
  <c r="C8" i="33"/>
  <c r="AT10" i="33"/>
  <c r="C10" i="33"/>
  <c r="C6" i="33"/>
  <c r="AT6" i="33"/>
  <c r="C7" i="33"/>
  <c r="AT7" i="33"/>
  <c r="AT7" i="32"/>
  <c r="C7" i="32"/>
  <c r="AT6" i="32"/>
  <c r="C6" i="32"/>
  <c r="B17" i="29"/>
  <c r="B14" i="18"/>
  <c r="B15" i="39"/>
  <c r="B17" i="26"/>
  <c r="B16" i="12"/>
  <c r="B14" i="38"/>
  <c r="B15" i="41"/>
  <c r="B14" i="24"/>
  <c r="B16" i="16"/>
  <c r="B14" i="42"/>
  <c r="B17" i="25"/>
  <c r="B15" i="34"/>
  <c r="B15" i="42"/>
  <c r="B17" i="17"/>
  <c r="B16" i="27"/>
  <c r="B15" i="20"/>
  <c r="B16" i="19"/>
  <c r="B14" i="19"/>
  <c r="B16" i="40"/>
  <c r="B16" i="17"/>
  <c r="B16" i="29"/>
  <c r="B14" i="30"/>
  <c r="B17" i="40"/>
  <c r="B14" i="11"/>
  <c r="B15" i="37"/>
  <c r="B15" i="25"/>
  <c r="O2" i="45"/>
  <c r="B17" i="37"/>
  <c r="B16" i="30"/>
  <c r="B16" i="26"/>
  <c r="B16" i="11"/>
  <c r="B16" i="31"/>
  <c r="B14" i="35"/>
  <c r="B15" i="27"/>
  <c r="B15" i="17"/>
  <c r="B17" i="22"/>
  <c r="B16" i="24"/>
  <c r="B17" i="42"/>
  <c r="B16" i="23"/>
  <c r="B16" i="22"/>
  <c r="B15" i="40"/>
  <c r="B14" i="17"/>
  <c r="B15" i="26"/>
  <c r="B14" i="40"/>
  <c r="B16" i="34"/>
  <c r="B14" i="25"/>
  <c r="B14" i="10"/>
  <c r="B16" i="20"/>
  <c r="B15" i="24"/>
  <c r="B15" i="18"/>
  <c r="B15" i="29"/>
  <c r="X2" i="45"/>
  <c r="T2" i="45"/>
  <c r="B15" i="38"/>
  <c r="B17" i="11"/>
  <c r="B16" i="25"/>
  <c r="B15" i="16"/>
  <c r="B15" i="35"/>
  <c r="B15" i="11"/>
  <c r="B17" i="18"/>
  <c r="B16" i="38"/>
  <c r="B16" i="10"/>
  <c r="B17" i="14"/>
  <c r="B14" i="34"/>
  <c r="B16" i="14"/>
  <c r="B14" i="39"/>
  <c r="B17" i="31"/>
  <c r="B17" i="41"/>
  <c r="B15" i="12"/>
  <c r="B14" i="23"/>
  <c r="B16" i="42"/>
  <c r="B16" i="18"/>
  <c r="B17" i="24"/>
  <c r="B14" i="14"/>
  <c r="S2" i="45"/>
  <c r="AB2" i="45"/>
  <c r="B17" i="39"/>
  <c r="B17" i="34"/>
  <c r="B14" i="31"/>
  <c r="B16" i="39"/>
  <c r="B14" i="20"/>
  <c r="B17" i="27"/>
  <c r="B15" i="14"/>
  <c r="B17" i="10"/>
  <c r="B14" i="37"/>
  <c r="B17" i="19"/>
  <c r="B16" i="35"/>
  <c r="B14" i="12"/>
  <c r="B17" i="23"/>
  <c r="B14" i="27"/>
  <c r="B15" i="23"/>
  <c r="B16" i="41"/>
  <c r="B17" i="35"/>
  <c r="B14" i="29"/>
  <c r="B14" i="22"/>
  <c r="B15" i="30"/>
  <c r="B17" i="30"/>
  <c r="B14" i="16"/>
  <c r="B15" i="22"/>
  <c r="B17" i="20"/>
  <c r="B15" i="10"/>
  <c r="AB5" i="45" l="1"/>
  <c r="AB3" i="45"/>
  <c r="S3" i="45"/>
  <c r="S5" i="45"/>
  <c r="T5" i="45"/>
  <c r="T3" i="45"/>
  <c r="X5" i="45"/>
  <c r="X3" i="45"/>
  <c r="O5" i="45"/>
  <c r="O3" i="45"/>
  <c r="X56" i="47"/>
  <c r="BD5" i="44" s="1"/>
  <c r="BA6" i="44"/>
  <c r="Q32" i="48" s="1"/>
  <c r="I37" i="61"/>
  <c r="AK19" i="6"/>
  <c r="E5" i="57"/>
  <c r="I13" i="61"/>
  <c r="AK13" i="6"/>
  <c r="E8" i="57"/>
  <c r="E13" i="57"/>
  <c r="I25" i="61"/>
  <c r="AK16" i="6"/>
  <c r="AK12" i="6"/>
  <c r="E4" i="57"/>
  <c r="I9" i="61"/>
  <c r="BJ18" i="44"/>
  <c r="I62" i="47" s="1"/>
  <c r="AU18" i="44" s="1"/>
  <c r="E32" i="48" s="1"/>
  <c r="BH18" i="44"/>
  <c r="E60" i="47" s="1"/>
  <c r="AE18" i="44"/>
  <c r="I18" i="44" s="1"/>
  <c r="B16" i="53" s="1"/>
  <c r="A36" i="47"/>
  <c r="A12" i="50"/>
  <c r="A8" i="52"/>
  <c r="A20" i="48"/>
  <c r="A68" i="46"/>
  <c r="D117" i="46"/>
  <c r="A41" i="46"/>
  <c r="A53" i="46"/>
  <c r="A8" i="48"/>
  <c r="D81" i="46"/>
  <c r="A8" i="47"/>
  <c r="A21" i="48"/>
  <c r="A64" i="46"/>
  <c r="D128" i="46"/>
  <c r="A5" i="51"/>
  <c r="D64" i="46"/>
  <c r="A12" i="49"/>
  <c r="A112" i="46"/>
  <c r="D56" i="46"/>
  <c r="D53" i="46"/>
  <c r="A116" i="46"/>
  <c r="A4" i="49"/>
  <c r="A37" i="46"/>
  <c r="A100" i="46"/>
  <c r="BJ7" i="44"/>
  <c r="I47" i="47" s="1"/>
  <c r="AU7" i="44" s="1"/>
  <c r="E25" i="48" s="1"/>
  <c r="A48" i="46"/>
  <c r="A9" i="48"/>
  <c r="D9" i="46"/>
  <c r="A8" i="51"/>
  <c r="A121" i="46"/>
  <c r="A109" i="46"/>
  <c r="A8" i="46"/>
  <c r="A73" i="46"/>
  <c r="E5" i="47"/>
  <c r="A61" i="47"/>
  <c r="D8" i="46"/>
  <c r="D73" i="46"/>
  <c r="A9" i="49"/>
  <c r="D49" i="46"/>
  <c r="A124" i="46"/>
  <c r="A13" i="48"/>
  <c r="D112" i="46"/>
  <c r="A28" i="46"/>
  <c r="A93" i="46"/>
  <c r="A49" i="47"/>
  <c r="A9" i="51"/>
  <c r="D45" i="46"/>
  <c r="A108" i="46"/>
  <c r="A32" i="47"/>
  <c r="A60" i="47"/>
  <c r="A5" i="49"/>
  <c r="A21" i="46"/>
  <c r="A9" i="47"/>
  <c r="A69" i="46"/>
  <c r="D125" i="46"/>
  <c r="D96" i="46"/>
  <c r="A29" i="48"/>
  <c r="A17" i="46"/>
  <c r="A80" i="46"/>
  <c r="A20" i="47"/>
  <c r="D20" i="46"/>
  <c r="A24" i="46"/>
  <c r="A84" i="46"/>
  <c r="D12" i="46"/>
  <c r="A12" i="47"/>
  <c r="A104" i="46"/>
  <c r="D69" i="46"/>
  <c r="A28" i="47"/>
  <c r="A52" i="46"/>
  <c r="D116" i="46"/>
  <c r="A28" i="48"/>
  <c r="BH7" i="44"/>
  <c r="E49" i="47" s="1"/>
  <c r="A24" i="47"/>
  <c r="A33" i="46"/>
  <c r="D37" i="46"/>
  <c r="A16" i="46"/>
  <c r="A16" i="47"/>
  <c r="D5" i="46"/>
  <c r="A25" i="46"/>
  <c r="A88" i="46"/>
  <c r="A21" i="47"/>
  <c r="A25" i="48"/>
  <c r="D25" i="46"/>
  <c r="D88" i="46"/>
  <c r="E45" i="47"/>
  <c r="D104" i="46"/>
  <c r="A72" i="46"/>
  <c r="D17" i="46"/>
  <c r="A16" i="48"/>
  <c r="A45" i="46"/>
  <c r="D109" i="46"/>
  <c r="E64" i="47"/>
  <c r="D60" i="46"/>
  <c r="A125" i="46"/>
  <c r="A13" i="50"/>
  <c r="A117" i="46"/>
  <c r="A61" i="46"/>
  <c r="D61" i="46"/>
  <c r="D108" i="46"/>
  <c r="A64" i="47"/>
  <c r="A17" i="47"/>
  <c r="D16" i="46"/>
  <c r="A113" i="46"/>
  <c r="A17" i="49"/>
  <c r="A32" i="46"/>
  <c r="A97" i="46"/>
  <c r="A41" i="47"/>
  <c r="E8" i="47"/>
  <c r="D80" i="46"/>
  <c r="D120" i="46"/>
  <c r="D52" i="46"/>
  <c r="A5" i="48"/>
  <c r="A40" i="47"/>
  <c r="D84" i="46"/>
  <c r="A37" i="47"/>
  <c r="A5" i="46"/>
  <c r="A13" i="47"/>
  <c r="S7" i="44"/>
  <c r="I7" i="44" s="1"/>
  <c r="B7" i="53" s="1"/>
  <c r="D89" i="46"/>
  <c r="D92" i="46"/>
  <c r="A56" i="46"/>
  <c r="A29" i="47"/>
  <c r="D41" i="46"/>
  <c r="A40" i="46"/>
  <c r="A105" i="46"/>
  <c r="E40" i="47"/>
  <c r="A8" i="49"/>
  <c r="D40" i="46"/>
  <c r="D105" i="46"/>
  <c r="D77" i="46"/>
  <c r="D44" i="46"/>
  <c r="A16" i="50"/>
  <c r="A96" i="46"/>
  <c r="A45" i="47"/>
  <c r="A29" i="46"/>
  <c r="E37" i="47"/>
  <c r="A44" i="46"/>
  <c r="A5" i="50"/>
  <c r="A60" i="46"/>
  <c r="D124" i="46"/>
  <c r="D13" i="46"/>
  <c r="D76" i="46"/>
  <c r="A101" i="46"/>
  <c r="A81" i="46"/>
  <c r="A5" i="47"/>
  <c r="D29" i="46"/>
  <c r="A53" i="47"/>
  <c r="D48" i="46"/>
  <c r="A128" i="46"/>
  <c r="A44" i="47"/>
  <c r="A8" i="50"/>
  <c r="A49" i="46"/>
  <c r="D113" i="46"/>
  <c r="A48" i="47"/>
  <c r="A9" i="46"/>
  <c r="D24" i="46"/>
  <c r="E13" i="47"/>
  <c r="D72" i="46"/>
  <c r="D32" i="46"/>
  <c r="D21" i="46"/>
  <c r="D101" i="46"/>
  <c r="E53" i="47"/>
  <c r="A20" i="46"/>
  <c r="A85" i="46"/>
  <c r="BL7" i="44"/>
  <c r="A36" i="46"/>
  <c r="A32" i="48"/>
  <c r="A16" i="49"/>
  <c r="D85" i="46"/>
  <c r="A52" i="47"/>
  <c r="A77" i="46"/>
  <c r="M43" i="47"/>
  <c r="AW7" i="44" s="1"/>
  <c r="I23" i="48" s="1"/>
  <c r="AJ7" i="44" s="1"/>
  <c r="E13" i="50" s="1"/>
  <c r="A57" i="46"/>
  <c r="D121" i="46"/>
  <c r="A4" i="51"/>
  <c r="D57" i="46"/>
  <c r="A120" i="46"/>
  <c r="A24" i="48"/>
  <c r="A92" i="46"/>
  <c r="A57" i="47"/>
  <c r="A12" i="46"/>
  <c r="A12" i="48"/>
  <c r="E56" i="47"/>
  <c r="A89" i="46"/>
  <c r="A13" i="46"/>
  <c r="A76" i="46"/>
  <c r="E24" i="47"/>
  <c r="A13" i="49"/>
  <c r="D28" i="46"/>
  <c r="D93" i="46"/>
  <c r="A25" i="47"/>
  <c r="A56" i="47"/>
  <c r="E21" i="47"/>
  <c r="E29" i="47"/>
  <c r="S9" i="44"/>
  <c r="I9" i="44" s="1"/>
  <c r="B9" i="53" s="1"/>
  <c r="BJ9" i="44"/>
  <c r="I15" i="47" s="1"/>
  <c r="AU9" i="44" s="1"/>
  <c r="E9" i="48" s="1"/>
  <c r="BL9" i="44"/>
  <c r="M11" i="47" s="1"/>
  <c r="AW9" i="44" s="1"/>
  <c r="I7" i="48" s="1"/>
  <c r="AJ9" i="44" s="1"/>
  <c r="E5" i="50" s="1"/>
  <c r="BH9" i="44"/>
  <c r="E17" i="47" s="1"/>
  <c r="L11" i="38"/>
  <c r="E10" i="38"/>
  <c r="U8" i="38"/>
  <c r="Y6" i="38"/>
  <c r="I6" i="38"/>
  <c r="X10" i="38"/>
  <c r="U9" i="38"/>
  <c r="P8" i="38"/>
  <c r="Q7" i="38"/>
  <c r="P6" i="38"/>
  <c r="H11" i="38"/>
  <c r="T9" i="38"/>
  <c r="T7" i="38"/>
  <c r="M11" i="38"/>
  <c r="M9" i="38"/>
  <c r="D11" i="38"/>
  <c r="L9" i="38"/>
  <c r="Q8" i="38"/>
  <c r="U6" i="38"/>
  <c r="AA1" i="38"/>
  <c r="L10" i="38"/>
  <c r="I9" i="38"/>
  <c r="D8" i="38"/>
  <c r="M7" i="38"/>
  <c r="L6" i="38"/>
  <c r="Q10" i="38"/>
  <c r="H9" i="38"/>
  <c r="P7" i="38"/>
  <c r="E11" i="38"/>
  <c r="E9" i="38"/>
  <c r="Y10" i="38"/>
  <c r="D9" i="38"/>
  <c r="E8" i="38"/>
  <c r="Q6" i="38"/>
  <c r="Q11" i="38"/>
  <c r="D10" i="38"/>
  <c r="X8" i="38"/>
  <c r="Y7" i="38"/>
  <c r="X6" i="38"/>
  <c r="H6" i="38"/>
  <c r="I10" i="38"/>
  <c r="I8" i="38"/>
  <c r="L7" i="38"/>
  <c r="P10" i="38"/>
  <c r="H8" i="38"/>
  <c r="T11" i="38"/>
  <c r="M10" i="38"/>
  <c r="Y8" i="38"/>
  <c r="D7" i="38"/>
  <c r="M6" i="38"/>
  <c r="I11" i="38"/>
  <c r="Y9" i="38"/>
  <c r="T8" i="38"/>
  <c r="U7" i="38"/>
  <c r="T6" i="38"/>
  <c r="P11" i="38"/>
  <c r="X9" i="38"/>
  <c r="X7" i="38"/>
  <c r="U11" i="38"/>
  <c r="H10" i="38"/>
  <c r="E7" i="38"/>
  <c r="AV12" i="23"/>
  <c r="G1" i="23" s="1"/>
  <c r="AV12" i="37"/>
  <c r="G1" i="37" s="1"/>
  <c r="AV12" i="10"/>
  <c r="G1" i="10" s="1"/>
  <c r="AV12" i="15"/>
  <c r="G1" i="15" s="1"/>
  <c r="AV12" i="27"/>
  <c r="G1" i="27" s="1"/>
  <c r="AV12" i="31"/>
  <c r="G1" i="31" s="1"/>
  <c r="AV12" i="41"/>
  <c r="G1" i="41" s="1"/>
  <c r="BH8" i="44"/>
  <c r="E20" i="47" s="1"/>
  <c r="S8" i="44"/>
  <c r="I8" i="44" s="1"/>
  <c r="B6" i="53" s="1"/>
  <c r="BL8" i="44"/>
  <c r="M26" i="47" s="1"/>
  <c r="AW8" i="44" s="1"/>
  <c r="I14" i="48" s="1"/>
  <c r="AJ8" i="44" s="1"/>
  <c r="E8" i="50" s="1"/>
  <c r="BJ8" i="44"/>
  <c r="I22" i="47" s="1"/>
  <c r="AU8" i="44" s="1"/>
  <c r="E12" i="48" s="1"/>
  <c r="E12" i="57"/>
  <c r="I41" i="61"/>
  <c r="AK20" i="6"/>
  <c r="I17" i="61"/>
  <c r="AK14" i="6"/>
  <c r="E14" i="57"/>
  <c r="AK15" i="6"/>
  <c r="E7" i="57"/>
  <c r="I21" i="61"/>
  <c r="I49" i="61"/>
  <c r="E10" i="57"/>
  <c r="AK22" i="6"/>
  <c r="BL10" i="44"/>
  <c r="M58" i="47" s="1"/>
  <c r="AW10" i="44" s="1"/>
  <c r="I30" i="48" s="1"/>
  <c r="AJ10" i="44" s="1"/>
  <c r="E16" i="50" s="1"/>
  <c r="BH10" i="44"/>
  <c r="E52" i="47" s="1"/>
  <c r="S10" i="44"/>
  <c r="I10" i="44" s="1"/>
  <c r="B8" i="53" s="1"/>
  <c r="BJ10" i="44"/>
  <c r="I54" i="47" s="1"/>
  <c r="AU10" i="44" s="1"/>
  <c r="E28" i="48" s="1"/>
  <c r="E48" i="47"/>
  <c r="AV12" i="32"/>
  <c r="G1" i="32" s="1"/>
  <c r="I10" i="30"/>
  <c r="I8" i="30"/>
  <c r="L7" i="30"/>
  <c r="P10" i="30"/>
  <c r="H8" i="30"/>
  <c r="D11" i="30"/>
  <c r="L9" i="30"/>
  <c r="Q8" i="30"/>
  <c r="U6" i="30"/>
  <c r="AA1" i="30"/>
  <c r="D8" i="30"/>
  <c r="I11" i="30"/>
  <c r="L6" i="30"/>
  <c r="P6" i="30"/>
  <c r="T6" i="30"/>
  <c r="P11" i="30"/>
  <c r="X9" i="30"/>
  <c r="X7" i="30"/>
  <c r="U11" i="30"/>
  <c r="H10" i="30"/>
  <c r="E7" i="30"/>
  <c r="Y10" i="30"/>
  <c r="D9" i="30"/>
  <c r="E8" i="30"/>
  <c r="Q6" i="30"/>
  <c r="Q11" i="30"/>
  <c r="Y7" i="30"/>
  <c r="L10" i="30"/>
  <c r="D10" i="30"/>
  <c r="Y9" i="30"/>
  <c r="I9" i="30"/>
  <c r="H11" i="30"/>
  <c r="T9" i="30"/>
  <c r="T7" i="30"/>
  <c r="M11" i="30"/>
  <c r="M9" i="30"/>
  <c r="T11" i="30"/>
  <c r="M10" i="30"/>
  <c r="Y8" i="30"/>
  <c r="D7" i="30"/>
  <c r="M6" i="30"/>
  <c r="X10" i="30"/>
  <c r="X6" i="30"/>
  <c r="X8" i="30"/>
  <c r="U9" i="30"/>
  <c r="P8" i="30"/>
  <c r="Q10" i="30"/>
  <c r="H9" i="30"/>
  <c r="P7" i="30"/>
  <c r="E11" i="30"/>
  <c r="E9" i="30"/>
  <c r="L11" i="30"/>
  <c r="E10" i="30"/>
  <c r="U8" i="30"/>
  <c r="Y6" i="30"/>
  <c r="I6" i="30"/>
  <c r="T8" i="30"/>
  <c r="H6" i="30"/>
  <c r="M7" i="30"/>
  <c r="Q7" i="30"/>
  <c r="U7" i="30"/>
  <c r="Q10" i="34"/>
  <c r="H9" i="34"/>
  <c r="P7" i="34"/>
  <c r="E11" i="34"/>
  <c r="E9" i="34"/>
  <c r="L11" i="34"/>
  <c r="E10" i="34"/>
  <c r="U8" i="34"/>
  <c r="Y6" i="34"/>
  <c r="I6" i="34"/>
  <c r="X10" i="34"/>
  <c r="U9" i="34"/>
  <c r="P8" i="34"/>
  <c r="Q7" i="34"/>
  <c r="P6" i="34"/>
  <c r="I10" i="34"/>
  <c r="I8" i="34"/>
  <c r="L7" i="34"/>
  <c r="P10" i="34"/>
  <c r="H8" i="34"/>
  <c r="D11" i="34"/>
  <c r="L9" i="34"/>
  <c r="Q8" i="34"/>
  <c r="U6" i="34"/>
  <c r="AA1" i="34"/>
  <c r="L10" i="34"/>
  <c r="I9" i="34"/>
  <c r="D8" i="34"/>
  <c r="M7" i="34"/>
  <c r="L6" i="34"/>
  <c r="P11" i="34"/>
  <c r="X9" i="34"/>
  <c r="X7" i="34"/>
  <c r="U11" i="34"/>
  <c r="H10" i="34"/>
  <c r="E7" i="34"/>
  <c r="Y10" i="34"/>
  <c r="D9" i="34"/>
  <c r="E8" i="34"/>
  <c r="Q6" i="34"/>
  <c r="Q11" i="34"/>
  <c r="D10" i="34"/>
  <c r="X8" i="34"/>
  <c r="Y7" i="34"/>
  <c r="X6" i="34"/>
  <c r="H6" i="34"/>
  <c r="H11" i="34"/>
  <c r="T9" i="34"/>
  <c r="T7" i="34"/>
  <c r="M11" i="34"/>
  <c r="M9" i="34"/>
  <c r="T11" i="34"/>
  <c r="M10" i="34"/>
  <c r="Y8" i="34"/>
  <c r="D7" i="34"/>
  <c r="M6" i="34"/>
  <c r="I11" i="34"/>
  <c r="Y9" i="34"/>
  <c r="T8" i="34"/>
  <c r="U7" i="34"/>
  <c r="T6" i="34"/>
  <c r="AV12" i="16"/>
  <c r="G1" i="16" s="1"/>
  <c r="AV12" i="22"/>
  <c r="G1" i="22" s="1"/>
  <c r="AV12" i="20"/>
  <c r="G1" i="20" s="1"/>
  <c r="AV12" i="17"/>
  <c r="G1" i="17" s="1"/>
  <c r="AV12" i="14"/>
  <c r="G1" i="14" s="1"/>
  <c r="AV12" i="33"/>
  <c r="G1" i="33" s="1"/>
  <c r="AV12" i="39"/>
  <c r="G1" i="39" s="1"/>
  <c r="AK24" i="6"/>
  <c r="I57" i="61"/>
  <c r="E19" i="57"/>
  <c r="AK17" i="6"/>
  <c r="E11" i="57"/>
  <c r="I29" i="61"/>
  <c r="I33" i="61"/>
  <c r="AK18" i="6"/>
  <c r="E15" i="57"/>
  <c r="BJ12" i="44"/>
  <c r="I14" i="47" s="1"/>
  <c r="AU12" i="44" s="1"/>
  <c r="E8" i="48" s="1"/>
  <c r="BH12" i="44"/>
  <c r="E12" i="47" s="1"/>
  <c r="AE12" i="44"/>
  <c r="I12" i="44" s="1"/>
  <c r="B10" i="53" s="1"/>
  <c r="AE14" i="44"/>
  <c r="I14" i="44" s="1"/>
  <c r="B12" i="53" s="1"/>
  <c r="BJ14" i="44"/>
  <c r="I46" i="47" s="1"/>
  <c r="AU14" i="44" s="1"/>
  <c r="E24" i="48" s="1"/>
  <c r="BH14" i="44"/>
  <c r="E44" i="47" s="1"/>
  <c r="BJ13" i="44"/>
  <c r="I23" i="47" s="1"/>
  <c r="AU13" i="44" s="1"/>
  <c r="E13" i="48" s="1"/>
  <c r="BH13" i="44"/>
  <c r="E25" i="47" s="1"/>
  <c r="AE13" i="44"/>
  <c r="I13" i="44" s="1"/>
  <c r="B13" i="53" s="1"/>
  <c r="BH17" i="44"/>
  <c r="E9" i="47" s="1"/>
  <c r="AE17" i="44"/>
  <c r="I17" i="44" s="1"/>
  <c r="B17" i="53" s="1"/>
  <c r="BJ17" i="44"/>
  <c r="I7" i="47" s="1"/>
  <c r="AU17" i="44" s="1"/>
  <c r="E5" i="48" s="1"/>
  <c r="A65" i="47"/>
  <c r="A33" i="48"/>
  <c r="A17" i="50"/>
  <c r="A129" i="46"/>
  <c r="A9" i="52"/>
  <c r="E61" i="47"/>
  <c r="AV12" i="19"/>
  <c r="G1" i="19" s="1"/>
  <c r="P11" i="25"/>
  <c r="X9" i="25"/>
  <c r="X7" i="25"/>
  <c r="U11" i="25"/>
  <c r="H10" i="25"/>
  <c r="E7" i="25"/>
  <c r="Y10" i="25"/>
  <c r="D9" i="25"/>
  <c r="E8" i="25"/>
  <c r="Q6" i="25"/>
  <c r="Q11" i="25"/>
  <c r="P6" i="25"/>
  <c r="I9" i="25"/>
  <c r="D10" i="25"/>
  <c r="X6" i="25"/>
  <c r="L6" i="25"/>
  <c r="H11" i="25"/>
  <c r="T9" i="25"/>
  <c r="T7" i="25"/>
  <c r="M11" i="25"/>
  <c r="M9" i="25"/>
  <c r="T11" i="25"/>
  <c r="M10" i="25"/>
  <c r="Y8" i="25"/>
  <c r="D7" i="25"/>
  <c r="M6" i="25"/>
  <c r="X10" i="25"/>
  <c r="I11" i="25"/>
  <c r="P8" i="25"/>
  <c r="T8" i="25"/>
  <c r="H6" i="25"/>
  <c r="Q10" i="25"/>
  <c r="H9" i="25"/>
  <c r="P7" i="25"/>
  <c r="E11" i="25"/>
  <c r="E9" i="25"/>
  <c r="L11" i="25"/>
  <c r="E10" i="25"/>
  <c r="U8" i="25"/>
  <c r="Y6" i="25"/>
  <c r="I6" i="25"/>
  <c r="U9" i="25"/>
  <c r="L10" i="25"/>
  <c r="Q7" i="25"/>
  <c r="D8" i="25"/>
  <c r="X8" i="25"/>
  <c r="I10" i="25"/>
  <c r="I8" i="25"/>
  <c r="L7" i="25"/>
  <c r="P10" i="25"/>
  <c r="H8" i="25"/>
  <c r="D11" i="25"/>
  <c r="L9" i="25"/>
  <c r="Q8" i="25"/>
  <c r="U6" i="25"/>
  <c r="AA1" i="25"/>
  <c r="M7" i="25"/>
  <c r="Y9" i="25"/>
  <c r="T6" i="25"/>
  <c r="U7" i="25"/>
  <c r="Y7" i="25"/>
  <c r="AV12" i="12"/>
  <c r="G1" i="12" s="1"/>
  <c r="AV12" i="28"/>
  <c r="G1" i="28" s="1"/>
  <c r="AV12" i="26"/>
  <c r="G1" i="26" s="1"/>
  <c r="AV12" i="36"/>
  <c r="G1" i="36" s="1"/>
  <c r="AV12" i="35"/>
  <c r="G1" i="35" s="1"/>
  <c r="BA3" i="44"/>
  <c r="Q18" i="48" s="1"/>
  <c r="X35" i="47"/>
  <c r="BB4" i="44" s="1"/>
  <c r="X34" i="47"/>
  <c r="BB3" i="44" s="1"/>
  <c r="AE15" i="44"/>
  <c r="I15" i="44" s="1"/>
  <c r="B15" i="53" s="1"/>
  <c r="BJ15" i="44"/>
  <c r="I39" i="47" s="1"/>
  <c r="AU15" i="44" s="1"/>
  <c r="E21" i="48" s="1"/>
  <c r="BH15" i="44"/>
  <c r="E41" i="47" s="1"/>
  <c r="I53" i="61"/>
  <c r="E16" i="57"/>
  <c r="AK23" i="6"/>
  <c r="E6" i="57"/>
  <c r="AK26" i="6"/>
  <c r="I65" i="61"/>
  <c r="I5" i="61"/>
  <c r="AK11" i="6"/>
  <c r="E18" i="57"/>
  <c r="E9" i="57"/>
  <c r="I45" i="61"/>
  <c r="AK21" i="6"/>
  <c r="AK25" i="6"/>
  <c r="I61" i="61"/>
  <c r="E17" i="57"/>
  <c r="A5" i="52"/>
  <c r="A9" i="50"/>
  <c r="A33" i="47"/>
  <c r="A17" i="48"/>
  <c r="A65" i="46"/>
  <c r="E16" i="47"/>
  <c r="A4" i="52"/>
  <c r="A4" i="50"/>
  <c r="A4" i="48"/>
  <c r="A4" i="46"/>
  <c r="A4" i="47"/>
  <c r="BJ16" i="44"/>
  <c r="I30" i="47" s="1"/>
  <c r="AU16" i="44" s="1"/>
  <c r="E16" i="48" s="1"/>
  <c r="BH16" i="44"/>
  <c r="E28" i="47" s="1"/>
  <c r="AE16" i="44"/>
  <c r="I16" i="44" s="1"/>
  <c r="B14" i="53" s="1"/>
  <c r="E32" i="47"/>
  <c r="AE11" i="44"/>
  <c r="I11" i="44" s="1"/>
  <c r="B11" i="53" s="1"/>
  <c r="BJ11" i="44"/>
  <c r="I55" i="47" s="1"/>
  <c r="AU11" i="44" s="1"/>
  <c r="E29" i="48" s="1"/>
  <c r="BH11" i="44"/>
  <c r="E57" i="47" s="1"/>
  <c r="AV12" i="11"/>
  <c r="G1" i="11" s="1"/>
  <c r="AV12" i="40"/>
  <c r="G1" i="40" s="1"/>
  <c r="AV12" i="18"/>
  <c r="G1" i="18" s="1"/>
  <c r="AV12" i="24"/>
  <c r="G1" i="24" s="1"/>
  <c r="AV12" i="42"/>
  <c r="G1" i="42" s="1"/>
  <c r="AV12" i="13"/>
  <c r="G1" i="13" s="1"/>
  <c r="AV12" i="21"/>
  <c r="G1" i="21" s="1"/>
  <c r="D82" i="43"/>
  <c r="D42" i="43"/>
  <c r="D56" i="43"/>
  <c r="D27" i="43"/>
  <c r="D39" i="43"/>
  <c r="D80" i="43"/>
  <c r="D28" i="43"/>
  <c r="D40" i="43"/>
  <c r="D58" i="43"/>
  <c r="D33" i="43"/>
  <c r="D54" i="43"/>
  <c r="D101" i="43"/>
  <c r="D24" i="43"/>
  <c r="D59" i="43"/>
  <c r="D95" i="43"/>
  <c r="D18" i="43"/>
  <c r="D3" i="43"/>
  <c r="D25" i="43"/>
  <c r="D120" i="43"/>
  <c r="D85" i="43"/>
  <c r="D47" i="43"/>
  <c r="D76" i="43"/>
  <c r="D69" i="43"/>
  <c r="D108" i="43"/>
  <c r="D129" i="43"/>
  <c r="D115" i="43"/>
  <c r="D38" i="43"/>
  <c r="D111" i="43"/>
  <c r="D30" i="43"/>
  <c r="D32" i="43"/>
  <c r="D51" i="43"/>
  <c r="D100" i="43"/>
  <c r="D107" i="43"/>
  <c r="D61" i="43"/>
  <c r="D97" i="43"/>
  <c r="D15" i="43"/>
  <c r="D5" i="43"/>
  <c r="D122" i="43"/>
  <c r="D35" i="43"/>
  <c r="D49" i="43"/>
  <c r="D9" i="43"/>
  <c r="D75" i="43"/>
  <c r="D68" i="43"/>
  <c r="D128" i="43"/>
  <c r="D117" i="43"/>
  <c r="D79" i="43"/>
  <c r="D55" i="43"/>
  <c r="D53" i="43"/>
  <c r="D66" i="43"/>
  <c r="D102" i="43"/>
  <c r="D60" i="43"/>
  <c r="D96" i="43"/>
  <c r="D83" i="43"/>
  <c r="D8" i="43"/>
  <c r="D17" i="43"/>
  <c r="D6" i="43"/>
  <c r="D119" i="43"/>
  <c r="D48" i="43"/>
  <c r="D113" i="43"/>
  <c r="D65" i="43"/>
  <c r="D77" i="43"/>
  <c r="D70" i="43"/>
  <c r="D130" i="43"/>
  <c r="D116" i="43"/>
  <c r="D125" i="43"/>
  <c r="D34" i="43"/>
  <c r="D81" i="43"/>
  <c r="D29" i="43"/>
  <c r="D41" i="43"/>
  <c r="D57" i="43"/>
  <c r="D31" i="43"/>
  <c r="D52" i="43"/>
  <c r="D99" i="43"/>
  <c r="D62" i="43"/>
  <c r="D98" i="43"/>
  <c r="D126" i="43"/>
  <c r="D37" i="43"/>
  <c r="D16" i="43"/>
  <c r="D112" i="43"/>
  <c r="D64" i="43"/>
  <c r="D4" i="43"/>
  <c r="D110" i="43"/>
  <c r="D121" i="43"/>
  <c r="D124" i="43"/>
  <c r="D50" i="43"/>
  <c r="D78" i="43"/>
  <c r="D67" i="43"/>
  <c r="D23" i="43"/>
  <c r="D127" i="43"/>
  <c r="D118" i="43"/>
  <c r="D86" i="43"/>
  <c r="D7" i="43"/>
  <c r="B45" i="43"/>
  <c r="A45" i="43"/>
  <c r="B71" i="43"/>
  <c r="A71" i="43"/>
  <c r="B74" i="43"/>
  <c r="A74" i="43"/>
  <c r="B12" i="43"/>
  <c r="A12" i="43"/>
  <c r="B26" i="43"/>
  <c r="A26" i="43"/>
  <c r="B114" i="43"/>
  <c r="A114" i="43"/>
  <c r="B106" i="43"/>
  <c r="A106" i="43"/>
  <c r="B13" i="43"/>
  <c r="A13" i="43"/>
  <c r="T4" i="45"/>
  <c r="B19" i="43"/>
  <c r="A19" i="43"/>
  <c r="B14" i="43"/>
  <c r="A14" i="43"/>
  <c r="B22" i="43"/>
  <c r="A22" i="43"/>
  <c r="B44" i="43"/>
  <c r="A44" i="43"/>
  <c r="B63" i="43"/>
  <c r="A63" i="43"/>
  <c r="B123" i="43"/>
  <c r="A123" i="43"/>
  <c r="B73" i="43"/>
  <c r="A73" i="43"/>
  <c r="B21" i="43"/>
  <c r="A21" i="43"/>
  <c r="B43" i="43"/>
  <c r="A43" i="43"/>
  <c r="B46" i="43"/>
  <c r="A46" i="43"/>
  <c r="B103" i="43"/>
  <c r="A103" i="43"/>
  <c r="B84" i="43"/>
  <c r="A84" i="43"/>
  <c r="B36" i="43"/>
  <c r="A36" i="43"/>
  <c r="B20" i="43"/>
  <c r="A20" i="43"/>
  <c r="B11" i="43"/>
  <c r="A11" i="43"/>
  <c r="B104" i="43"/>
  <c r="A104" i="43"/>
  <c r="B105" i="43"/>
  <c r="A105" i="43"/>
  <c r="B72" i="43"/>
  <c r="A72" i="43"/>
  <c r="B10" i="43"/>
  <c r="A10" i="43"/>
  <c r="B109" i="43"/>
  <c r="A109" i="43"/>
  <c r="S1" i="38"/>
  <c r="AA2" i="45"/>
  <c r="U2" i="45"/>
  <c r="J2" i="45"/>
  <c r="AC2" i="45"/>
  <c r="I2" i="45"/>
  <c r="P2" i="45"/>
  <c r="H2" i="45"/>
  <c r="K2" i="45"/>
  <c r="B14" i="32"/>
  <c r="B15" i="32"/>
  <c r="S1" i="30"/>
  <c r="S1" i="25"/>
  <c r="AE2" i="45"/>
  <c r="G2" i="45"/>
  <c r="Z2" i="45"/>
  <c r="N2" i="45"/>
  <c r="B17" i="33"/>
  <c r="B17" i="32"/>
  <c r="E2" i="45"/>
  <c r="F2" i="45"/>
  <c r="D2" i="45"/>
  <c r="B2" i="45"/>
  <c r="Y2" i="45"/>
  <c r="A2" i="45"/>
  <c r="AF2" i="45"/>
  <c r="S1" i="29"/>
  <c r="S1" i="34"/>
  <c r="M2" i="45"/>
  <c r="Q2" i="45"/>
  <c r="V2" i="45"/>
  <c r="L2" i="45"/>
  <c r="W2" i="45"/>
  <c r="R2" i="45"/>
  <c r="AD2" i="45"/>
  <c r="C2" i="45"/>
  <c r="B16" i="33"/>
  <c r="B14" i="33"/>
  <c r="B15" i="33"/>
  <c r="B16" i="32"/>
  <c r="R1" i="30"/>
  <c r="C3" i="45" l="1"/>
  <c r="AD5" i="45"/>
  <c r="AD3" i="45"/>
  <c r="R5" i="45"/>
  <c r="R3" i="45"/>
  <c r="W5" i="45"/>
  <c r="W3" i="45"/>
  <c r="L5" i="45"/>
  <c r="L3" i="45"/>
  <c r="V5" i="45"/>
  <c r="V3" i="45"/>
  <c r="Q5" i="45"/>
  <c r="Q3" i="45"/>
  <c r="M5" i="45"/>
  <c r="M3" i="45"/>
  <c r="M4" i="45"/>
  <c r="AF5" i="45"/>
  <c r="AF3" i="45"/>
  <c r="AF4" i="45"/>
  <c r="A4" i="45"/>
  <c r="A3" i="45"/>
  <c r="Y4" i="45"/>
  <c r="Y3" i="45"/>
  <c r="Y5" i="45"/>
  <c r="B3" i="45"/>
  <c r="D3" i="45"/>
  <c r="F3" i="45"/>
  <c r="F5" i="45"/>
  <c r="E5" i="45"/>
  <c r="E3" i="45"/>
  <c r="N3" i="45"/>
  <c r="N5" i="45"/>
  <c r="Z5" i="45"/>
  <c r="Z3" i="45"/>
  <c r="G5" i="45"/>
  <c r="G3" i="45"/>
  <c r="G4" i="45"/>
  <c r="AE5" i="45"/>
  <c r="AE3" i="45"/>
  <c r="AE4" i="45"/>
  <c r="K5" i="45"/>
  <c r="K3" i="45"/>
  <c r="H5" i="45"/>
  <c r="H3" i="45"/>
  <c r="P4" i="45"/>
  <c r="P3" i="45"/>
  <c r="P5" i="45"/>
  <c r="I3" i="45"/>
  <c r="I5" i="45"/>
  <c r="AC5" i="45"/>
  <c r="AC3" i="45"/>
  <c r="J5" i="45"/>
  <c r="J4" i="45"/>
  <c r="J3" i="45"/>
  <c r="U4" i="45"/>
  <c r="U3" i="45"/>
  <c r="U5" i="45"/>
  <c r="AA5" i="45"/>
  <c r="AA3" i="45"/>
  <c r="P10" i="13"/>
  <c r="L11" i="13"/>
  <c r="E10" i="13"/>
  <c r="U8" i="13"/>
  <c r="AA1" i="13"/>
  <c r="L10" i="13"/>
  <c r="X8" i="13"/>
  <c r="Y7" i="13"/>
  <c r="P6" i="13"/>
  <c r="T9" i="13"/>
  <c r="H9" i="13"/>
  <c r="H11" i="13"/>
  <c r="U11" i="13"/>
  <c r="H10" i="13"/>
  <c r="D11" i="13"/>
  <c r="L9" i="13"/>
  <c r="D7" i="13"/>
  <c r="Q11" i="13"/>
  <c r="D10" i="13"/>
  <c r="T8" i="13"/>
  <c r="U7" i="13"/>
  <c r="L6" i="13"/>
  <c r="T7" i="13"/>
  <c r="X7" i="13"/>
  <c r="P7" i="13"/>
  <c r="M11" i="13"/>
  <c r="H8" i="13"/>
  <c r="Y10" i="13"/>
  <c r="D9" i="13"/>
  <c r="Y6" i="13"/>
  <c r="I11" i="13"/>
  <c r="Y9" i="13"/>
  <c r="P8" i="13"/>
  <c r="X6" i="13"/>
  <c r="H6" i="13"/>
  <c r="I10" i="13"/>
  <c r="P11" i="13"/>
  <c r="E11" i="13"/>
  <c r="T11" i="13"/>
  <c r="M10" i="13"/>
  <c r="Y8" i="13"/>
  <c r="U6" i="13"/>
  <c r="X10" i="13"/>
  <c r="U9" i="13"/>
  <c r="D8" i="13"/>
  <c r="T6" i="13"/>
  <c r="Q10" i="13"/>
  <c r="X9" i="13"/>
  <c r="L7" i="13"/>
  <c r="P11" i="40"/>
  <c r="X9" i="40"/>
  <c r="X7" i="40"/>
  <c r="U11" i="40"/>
  <c r="H10" i="40"/>
  <c r="E7" i="40"/>
  <c r="Y10" i="40"/>
  <c r="D9" i="40"/>
  <c r="E8" i="40"/>
  <c r="Q6" i="40"/>
  <c r="Q11" i="40"/>
  <c r="D10" i="40"/>
  <c r="X8" i="40"/>
  <c r="Y7" i="40"/>
  <c r="X6" i="40"/>
  <c r="H6" i="40"/>
  <c r="H11" i="40"/>
  <c r="T9" i="40"/>
  <c r="T7" i="40"/>
  <c r="M11" i="40"/>
  <c r="M9" i="40"/>
  <c r="T11" i="40"/>
  <c r="M10" i="40"/>
  <c r="Y8" i="40"/>
  <c r="D7" i="40"/>
  <c r="M6" i="40"/>
  <c r="I11" i="40"/>
  <c r="Y9" i="40"/>
  <c r="T8" i="40"/>
  <c r="U7" i="40"/>
  <c r="T6" i="40"/>
  <c r="Q10" i="40"/>
  <c r="H9" i="40"/>
  <c r="P7" i="40"/>
  <c r="E11" i="40"/>
  <c r="E9" i="40"/>
  <c r="L11" i="40"/>
  <c r="E10" i="40"/>
  <c r="U8" i="40"/>
  <c r="Y6" i="40"/>
  <c r="I6" i="40"/>
  <c r="X10" i="40"/>
  <c r="U9" i="40"/>
  <c r="P8" i="40"/>
  <c r="Q7" i="40"/>
  <c r="P6" i="40"/>
  <c r="I10" i="40"/>
  <c r="I8" i="40"/>
  <c r="L7" i="40"/>
  <c r="P10" i="40"/>
  <c r="H8" i="40"/>
  <c r="D11" i="40"/>
  <c r="L9" i="40"/>
  <c r="Q8" i="40"/>
  <c r="U6" i="40"/>
  <c r="AA1" i="40"/>
  <c r="L10" i="40"/>
  <c r="I9" i="40"/>
  <c r="D8" i="40"/>
  <c r="M7" i="40"/>
  <c r="L6" i="40"/>
  <c r="G61" i="61"/>
  <c r="AI25" i="6"/>
  <c r="AN3" i="44"/>
  <c r="M10" i="50" s="1"/>
  <c r="T19" i="48"/>
  <c r="AO4" i="44" s="1"/>
  <c r="T18" i="48"/>
  <c r="AO3" i="44" s="1"/>
  <c r="T11" i="28"/>
  <c r="M10" i="28"/>
  <c r="Y8" i="28"/>
  <c r="D7" i="28"/>
  <c r="M6" i="28"/>
  <c r="I11" i="28"/>
  <c r="Y9" i="28"/>
  <c r="T8" i="28"/>
  <c r="U7" i="28"/>
  <c r="T6" i="28"/>
  <c r="P11" i="28"/>
  <c r="X9" i="28"/>
  <c r="X7" i="28"/>
  <c r="E11" i="28"/>
  <c r="U11" i="28"/>
  <c r="M11" i="28"/>
  <c r="L11" i="28"/>
  <c r="E10" i="28"/>
  <c r="U8" i="28"/>
  <c r="Y6" i="28"/>
  <c r="I6" i="28"/>
  <c r="X10" i="28"/>
  <c r="U9" i="28"/>
  <c r="P8" i="28"/>
  <c r="Q7" i="28"/>
  <c r="P6" i="28"/>
  <c r="H11" i="28"/>
  <c r="T9" i="28"/>
  <c r="T7" i="28"/>
  <c r="M9" i="28"/>
  <c r="H10" i="28"/>
  <c r="D11" i="28"/>
  <c r="L9" i="28"/>
  <c r="Q8" i="28"/>
  <c r="U6" i="28"/>
  <c r="AA1" i="28"/>
  <c r="L10" i="28"/>
  <c r="I9" i="28"/>
  <c r="D8" i="28"/>
  <c r="M7" i="28"/>
  <c r="L6" i="28"/>
  <c r="Q10" i="28"/>
  <c r="H9" i="28"/>
  <c r="P7" i="28"/>
  <c r="P10" i="28"/>
  <c r="H8" i="28"/>
  <c r="Y10" i="28"/>
  <c r="D9" i="28"/>
  <c r="E8" i="28"/>
  <c r="Q6" i="28"/>
  <c r="Q11" i="28"/>
  <c r="D10" i="28"/>
  <c r="X8" i="28"/>
  <c r="Y7" i="28"/>
  <c r="X6" i="28"/>
  <c r="H6" i="28"/>
  <c r="I10" i="28"/>
  <c r="I8" i="28"/>
  <c r="L7" i="28"/>
  <c r="E9" i="28"/>
  <c r="E7" i="28"/>
  <c r="G57" i="61"/>
  <c r="AI24" i="6"/>
  <c r="T11" i="33"/>
  <c r="M10" i="33"/>
  <c r="Y8" i="33"/>
  <c r="Q11" i="33"/>
  <c r="Y9" i="33"/>
  <c r="H8" i="33"/>
  <c r="M7" i="33"/>
  <c r="L6" i="33"/>
  <c r="L10" i="33"/>
  <c r="D8" i="33"/>
  <c r="L7" i="33"/>
  <c r="M9" i="33"/>
  <c r="T8" i="33"/>
  <c r="M6" i="33"/>
  <c r="Q6" i="33"/>
  <c r="D7" i="33"/>
  <c r="L11" i="33"/>
  <c r="E10" i="33"/>
  <c r="U8" i="33"/>
  <c r="H11" i="33"/>
  <c r="U9" i="33"/>
  <c r="Y7" i="33"/>
  <c r="X6" i="33"/>
  <c r="H6" i="33"/>
  <c r="X9" i="33"/>
  <c r="X7" i="33"/>
  <c r="M11" i="33"/>
  <c r="P8" i="33"/>
  <c r="Y6" i="33"/>
  <c r="AA1" i="33"/>
  <c r="U11" i="33"/>
  <c r="D11" i="33"/>
  <c r="L9" i="33"/>
  <c r="Q8" i="33"/>
  <c r="P10" i="33"/>
  <c r="H9" i="33"/>
  <c r="U7" i="33"/>
  <c r="T6" i="33"/>
  <c r="P11" i="33"/>
  <c r="T9" i="33"/>
  <c r="T7" i="33"/>
  <c r="X10" i="33"/>
  <c r="E7" i="33"/>
  <c r="I6" i="33"/>
  <c r="H10" i="33"/>
  <c r="I8" i="33"/>
  <c r="Y10" i="33"/>
  <c r="D9" i="33"/>
  <c r="E8" i="33"/>
  <c r="D10" i="33"/>
  <c r="X8" i="33"/>
  <c r="Q7" i="33"/>
  <c r="P6" i="33"/>
  <c r="E11" i="33"/>
  <c r="E9" i="33"/>
  <c r="P7" i="33"/>
  <c r="I10" i="33"/>
  <c r="I11" i="33"/>
  <c r="Q10" i="33"/>
  <c r="I9" i="33"/>
  <c r="U6" i="33"/>
  <c r="D11" i="22"/>
  <c r="L9" i="22"/>
  <c r="Q8" i="22"/>
  <c r="U6" i="22"/>
  <c r="AA1" i="22"/>
  <c r="L10" i="22"/>
  <c r="I9" i="22"/>
  <c r="D8" i="22"/>
  <c r="M7" i="22"/>
  <c r="L6" i="22"/>
  <c r="Q10" i="22"/>
  <c r="H9" i="22"/>
  <c r="P7" i="22"/>
  <c r="E11" i="22"/>
  <c r="E9" i="22"/>
  <c r="Y10" i="22"/>
  <c r="D9" i="22"/>
  <c r="E8" i="22"/>
  <c r="Q6" i="22"/>
  <c r="Q11" i="22"/>
  <c r="D10" i="22"/>
  <c r="X8" i="22"/>
  <c r="Y7" i="22"/>
  <c r="X6" i="22"/>
  <c r="H6" i="22"/>
  <c r="I10" i="22"/>
  <c r="I8" i="22"/>
  <c r="L7" i="22"/>
  <c r="P10" i="22"/>
  <c r="H8" i="22"/>
  <c r="T11" i="22"/>
  <c r="M10" i="22"/>
  <c r="Y8" i="22"/>
  <c r="D7" i="22"/>
  <c r="M6" i="22"/>
  <c r="I11" i="22"/>
  <c r="Y9" i="22"/>
  <c r="T8" i="22"/>
  <c r="U7" i="22"/>
  <c r="T6" i="22"/>
  <c r="P11" i="22"/>
  <c r="X9" i="22"/>
  <c r="X7" i="22"/>
  <c r="U11" i="22"/>
  <c r="H10" i="22"/>
  <c r="E7" i="22"/>
  <c r="L11" i="22"/>
  <c r="E10" i="22"/>
  <c r="U8" i="22"/>
  <c r="Y6" i="22"/>
  <c r="I6" i="22"/>
  <c r="X10" i="22"/>
  <c r="U9" i="22"/>
  <c r="P8" i="22"/>
  <c r="Q7" i="22"/>
  <c r="P6" i="22"/>
  <c r="H11" i="22"/>
  <c r="T9" i="22"/>
  <c r="T7" i="22"/>
  <c r="M11" i="22"/>
  <c r="M9" i="22"/>
  <c r="Y10" i="32"/>
  <c r="D9" i="32"/>
  <c r="E8" i="32"/>
  <c r="Q6" i="32"/>
  <c r="Q11" i="32"/>
  <c r="D10" i="32"/>
  <c r="X8" i="32"/>
  <c r="Y7" i="32"/>
  <c r="X6" i="32"/>
  <c r="H6" i="32"/>
  <c r="I10" i="32"/>
  <c r="I8" i="32"/>
  <c r="L7" i="32"/>
  <c r="E9" i="32"/>
  <c r="H10" i="32"/>
  <c r="T11" i="32"/>
  <c r="M10" i="32"/>
  <c r="Y8" i="32"/>
  <c r="D7" i="32"/>
  <c r="M6" i="32"/>
  <c r="I11" i="32"/>
  <c r="Y9" i="32"/>
  <c r="T8" i="32"/>
  <c r="U7" i="32"/>
  <c r="T6" i="32"/>
  <c r="P11" i="32"/>
  <c r="X9" i="32"/>
  <c r="X7" i="32"/>
  <c r="M11" i="32"/>
  <c r="P10" i="32"/>
  <c r="U11" i="32"/>
  <c r="L11" i="32"/>
  <c r="E10" i="32"/>
  <c r="U8" i="32"/>
  <c r="Y6" i="32"/>
  <c r="I6" i="32"/>
  <c r="X10" i="32"/>
  <c r="U9" i="32"/>
  <c r="P8" i="32"/>
  <c r="Q7" i="32"/>
  <c r="P6" i="32"/>
  <c r="H11" i="32"/>
  <c r="T9" i="32"/>
  <c r="T7" i="32"/>
  <c r="M9" i="32"/>
  <c r="H8" i="32"/>
  <c r="D11" i="32"/>
  <c r="L9" i="32"/>
  <c r="Q8" i="32"/>
  <c r="U6" i="32"/>
  <c r="AA1" i="32"/>
  <c r="L10" i="32"/>
  <c r="I9" i="32"/>
  <c r="D8" i="32"/>
  <c r="M7" i="32"/>
  <c r="L6" i="32"/>
  <c r="Q10" i="32"/>
  <c r="H9" i="32"/>
  <c r="P7" i="32"/>
  <c r="E11" i="32"/>
  <c r="E7" i="32"/>
  <c r="G17" i="61"/>
  <c r="AI14" i="6"/>
  <c r="T11" i="27"/>
  <c r="M10" i="27"/>
  <c r="Y8" i="27"/>
  <c r="D7" i="27"/>
  <c r="M6" i="27"/>
  <c r="I11" i="27"/>
  <c r="Y9" i="27"/>
  <c r="T8" i="27"/>
  <c r="U7" i="27"/>
  <c r="T6" i="27"/>
  <c r="P11" i="27"/>
  <c r="X9" i="27"/>
  <c r="X7" i="27"/>
  <c r="U11" i="27"/>
  <c r="M9" i="27"/>
  <c r="H8" i="27"/>
  <c r="L11" i="27"/>
  <c r="E10" i="27"/>
  <c r="U8" i="27"/>
  <c r="Y6" i="27"/>
  <c r="I6" i="27"/>
  <c r="X10" i="27"/>
  <c r="U9" i="27"/>
  <c r="P8" i="27"/>
  <c r="Q7" i="27"/>
  <c r="P6" i="27"/>
  <c r="H11" i="27"/>
  <c r="T9" i="27"/>
  <c r="T7" i="27"/>
  <c r="H10" i="27"/>
  <c r="E11" i="27"/>
  <c r="D11" i="27"/>
  <c r="L9" i="27"/>
  <c r="Q8" i="27"/>
  <c r="U6" i="27"/>
  <c r="AA1" i="27"/>
  <c r="L10" i="27"/>
  <c r="I9" i="27"/>
  <c r="D8" i="27"/>
  <c r="M7" i="27"/>
  <c r="L6" i="27"/>
  <c r="Q10" i="27"/>
  <c r="H9" i="27"/>
  <c r="P7" i="27"/>
  <c r="E7" i="27"/>
  <c r="E9" i="27"/>
  <c r="Y10" i="27"/>
  <c r="D9" i="27"/>
  <c r="E8" i="27"/>
  <c r="Q6" i="27"/>
  <c r="Q11" i="27"/>
  <c r="D10" i="27"/>
  <c r="X8" i="27"/>
  <c r="Y7" i="27"/>
  <c r="X6" i="27"/>
  <c r="H6" i="27"/>
  <c r="I10" i="27"/>
  <c r="I8" i="27"/>
  <c r="L7" i="27"/>
  <c r="M11" i="27"/>
  <c r="P10" i="27"/>
  <c r="Q11" i="23"/>
  <c r="D10" i="23"/>
  <c r="X8" i="23"/>
  <c r="Y7" i="23"/>
  <c r="X6" i="23"/>
  <c r="H6" i="23"/>
  <c r="I10" i="23"/>
  <c r="I8" i="23"/>
  <c r="L7" i="23"/>
  <c r="P10" i="23"/>
  <c r="H8" i="23"/>
  <c r="D11" i="23"/>
  <c r="L9" i="23"/>
  <c r="Q8" i="23"/>
  <c r="U6" i="23"/>
  <c r="AA1" i="23"/>
  <c r="I11" i="23"/>
  <c r="Y9" i="23"/>
  <c r="T8" i="23"/>
  <c r="U7" i="23"/>
  <c r="T6" i="23"/>
  <c r="P11" i="23"/>
  <c r="X9" i="23"/>
  <c r="X7" i="23"/>
  <c r="U11" i="23"/>
  <c r="H10" i="23"/>
  <c r="E7" i="23"/>
  <c r="Y10" i="23"/>
  <c r="D9" i="23"/>
  <c r="E8" i="23"/>
  <c r="Q6" i="23"/>
  <c r="X10" i="23"/>
  <c r="U9" i="23"/>
  <c r="P8" i="23"/>
  <c r="Q7" i="23"/>
  <c r="P6" i="23"/>
  <c r="H11" i="23"/>
  <c r="T9" i="23"/>
  <c r="T7" i="23"/>
  <c r="M11" i="23"/>
  <c r="M9" i="23"/>
  <c r="T11" i="23"/>
  <c r="M10" i="23"/>
  <c r="Y8" i="23"/>
  <c r="D7" i="23"/>
  <c r="M6" i="23"/>
  <c r="L10" i="23"/>
  <c r="I9" i="23"/>
  <c r="D8" i="23"/>
  <c r="M7" i="23"/>
  <c r="L6" i="23"/>
  <c r="Q10" i="23"/>
  <c r="H9" i="23"/>
  <c r="P7" i="23"/>
  <c r="E11" i="23"/>
  <c r="E9" i="23"/>
  <c r="L11" i="23"/>
  <c r="E10" i="23"/>
  <c r="U8" i="23"/>
  <c r="Y6" i="23"/>
  <c r="I6" i="23"/>
  <c r="H71" i="46"/>
  <c r="BG31" i="44" s="1"/>
  <c r="D37" i="47" s="1"/>
  <c r="E71" i="46"/>
  <c r="H126" i="46"/>
  <c r="BG34" i="44" s="1"/>
  <c r="D64" i="47" s="1"/>
  <c r="E123" i="46"/>
  <c r="H86" i="46"/>
  <c r="E83" i="46"/>
  <c r="H119" i="46"/>
  <c r="BG19" i="44" s="1"/>
  <c r="D61" i="47" s="1"/>
  <c r="E119" i="46"/>
  <c r="H15" i="46"/>
  <c r="BG17" i="44" s="1"/>
  <c r="D9" i="47" s="1"/>
  <c r="E15" i="46"/>
  <c r="H87" i="46"/>
  <c r="BG23" i="44" s="1"/>
  <c r="D45" i="47" s="1"/>
  <c r="E87" i="46"/>
  <c r="H22" i="46"/>
  <c r="E19" i="46"/>
  <c r="H7" i="46"/>
  <c r="BG33" i="44" s="1"/>
  <c r="D5" i="47" s="1"/>
  <c r="E7" i="46"/>
  <c r="AI12" i="6"/>
  <c r="G9" i="61"/>
  <c r="G25" i="61"/>
  <c r="AI16" i="6"/>
  <c r="G37" i="61"/>
  <c r="AI19" i="6"/>
  <c r="P11" i="42"/>
  <c r="X9" i="42"/>
  <c r="X7" i="42"/>
  <c r="U11" i="42"/>
  <c r="H10" i="42"/>
  <c r="E7" i="42"/>
  <c r="Y10" i="42"/>
  <c r="D9" i="42"/>
  <c r="E8" i="42"/>
  <c r="Q6" i="42"/>
  <c r="Q11" i="42"/>
  <c r="D10" i="42"/>
  <c r="X8" i="42"/>
  <c r="Y7" i="42"/>
  <c r="X6" i="42"/>
  <c r="H6" i="42"/>
  <c r="H11" i="42"/>
  <c r="T9" i="42"/>
  <c r="T7" i="42"/>
  <c r="M11" i="42"/>
  <c r="M9" i="42"/>
  <c r="T11" i="42"/>
  <c r="M10" i="42"/>
  <c r="Y8" i="42"/>
  <c r="D7" i="42"/>
  <c r="M6" i="42"/>
  <c r="I11" i="42"/>
  <c r="Y9" i="42"/>
  <c r="T8" i="42"/>
  <c r="U7" i="42"/>
  <c r="T6" i="42"/>
  <c r="Q10" i="42"/>
  <c r="H9" i="42"/>
  <c r="P7" i="42"/>
  <c r="E11" i="42"/>
  <c r="E9" i="42"/>
  <c r="L11" i="42"/>
  <c r="E10" i="42"/>
  <c r="U8" i="42"/>
  <c r="Y6" i="42"/>
  <c r="I6" i="42"/>
  <c r="X10" i="42"/>
  <c r="U9" i="42"/>
  <c r="P8" i="42"/>
  <c r="Q7" i="42"/>
  <c r="P6" i="42"/>
  <c r="I10" i="42"/>
  <c r="I8" i="42"/>
  <c r="L7" i="42"/>
  <c r="P10" i="42"/>
  <c r="H8" i="42"/>
  <c r="D11" i="42"/>
  <c r="L9" i="42"/>
  <c r="Q8" i="42"/>
  <c r="U6" i="42"/>
  <c r="AA1" i="42"/>
  <c r="L10" i="42"/>
  <c r="I9" i="42"/>
  <c r="D8" i="42"/>
  <c r="M7" i="42"/>
  <c r="L6" i="42"/>
  <c r="L10" i="11"/>
  <c r="X8" i="11"/>
  <c r="Y7" i="11"/>
  <c r="P6" i="11"/>
  <c r="H11" i="11"/>
  <c r="T9" i="11"/>
  <c r="P7" i="11"/>
  <c r="E11" i="11"/>
  <c r="Y10" i="11"/>
  <c r="U6" i="11"/>
  <c r="Y6" i="11"/>
  <c r="D11" i="11"/>
  <c r="Q11" i="11"/>
  <c r="D10" i="11"/>
  <c r="T8" i="11"/>
  <c r="U7" i="11"/>
  <c r="L6" i="11"/>
  <c r="Q10" i="11"/>
  <c r="H9" i="11"/>
  <c r="L7" i="11"/>
  <c r="P10" i="11"/>
  <c r="D9" i="11"/>
  <c r="T11" i="11"/>
  <c r="L11" i="11"/>
  <c r="L9" i="11"/>
  <c r="I11" i="11"/>
  <c r="Y9" i="11"/>
  <c r="P8" i="11"/>
  <c r="X6" i="11"/>
  <c r="H6" i="11"/>
  <c r="I10" i="11"/>
  <c r="X7" i="11"/>
  <c r="U11" i="11"/>
  <c r="H10" i="11"/>
  <c r="U8" i="11"/>
  <c r="M10" i="11"/>
  <c r="E10" i="11"/>
  <c r="X10" i="11"/>
  <c r="U9" i="11"/>
  <c r="D8" i="11"/>
  <c r="T6" i="11"/>
  <c r="P11" i="11"/>
  <c r="X9" i="11"/>
  <c r="T7" i="11"/>
  <c r="M11" i="11"/>
  <c r="H8" i="11"/>
  <c r="D7" i="11"/>
  <c r="Y8" i="11"/>
  <c r="AA1" i="11"/>
  <c r="G45" i="61"/>
  <c r="AI21" i="6"/>
  <c r="G53" i="61"/>
  <c r="AI23" i="6"/>
  <c r="M11" i="35"/>
  <c r="M9" i="35"/>
  <c r="T11" i="35"/>
  <c r="M10" i="35"/>
  <c r="Y8" i="35"/>
  <c r="D7" i="35"/>
  <c r="M6" i="35"/>
  <c r="I11" i="35"/>
  <c r="Y9" i="35"/>
  <c r="T8" i="35"/>
  <c r="U7" i="35"/>
  <c r="T6" i="35"/>
  <c r="P11" i="35"/>
  <c r="X9" i="35"/>
  <c r="X7" i="35"/>
  <c r="E11" i="35"/>
  <c r="E9" i="35"/>
  <c r="L11" i="35"/>
  <c r="E10" i="35"/>
  <c r="U8" i="35"/>
  <c r="Y6" i="35"/>
  <c r="I6" i="35"/>
  <c r="X10" i="35"/>
  <c r="U9" i="35"/>
  <c r="P8" i="35"/>
  <c r="Q7" i="35"/>
  <c r="P6" i="35"/>
  <c r="H11" i="35"/>
  <c r="T9" i="35"/>
  <c r="T7" i="35"/>
  <c r="P10" i="35"/>
  <c r="H8" i="35"/>
  <c r="D11" i="35"/>
  <c r="L9" i="35"/>
  <c r="Q8" i="35"/>
  <c r="U6" i="35"/>
  <c r="AA1" i="35"/>
  <c r="L10" i="35"/>
  <c r="I9" i="35"/>
  <c r="D8" i="35"/>
  <c r="M7" i="35"/>
  <c r="L6" i="35"/>
  <c r="Q10" i="35"/>
  <c r="H9" i="35"/>
  <c r="P7" i="35"/>
  <c r="U11" i="35"/>
  <c r="H10" i="35"/>
  <c r="E7" i="35"/>
  <c r="Y10" i="35"/>
  <c r="D9" i="35"/>
  <c r="E8" i="35"/>
  <c r="Q6" i="35"/>
  <c r="Q11" i="35"/>
  <c r="D10" i="35"/>
  <c r="X8" i="35"/>
  <c r="Y7" i="35"/>
  <c r="X6" i="35"/>
  <c r="H6" i="35"/>
  <c r="I10" i="35"/>
  <c r="I8" i="35"/>
  <c r="L7" i="35"/>
  <c r="I10" i="12"/>
  <c r="X7" i="12"/>
  <c r="U11" i="12"/>
  <c r="H10" i="12"/>
  <c r="D11" i="12"/>
  <c r="L9" i="12"/>
  <c r="D7" i="12"/>
  <c r="D10" i="12"/>
  <c r="X6" i="12"/>
  <c r="L6" i="12"/>
  <c r="P6" i="12"/>
  <c r="P8" i="12"/>
  <c r="P11" i="12"/>
  <c r="X9" i="12"/>
  <c r="T7" i="12"/>
  <c r="M11" i="12"/>
  <c r="H8" i="12"/>
  <c r="Y10" i="12"/>
  <c r="D9" i="12"/>
  <c r="Y6" i="12"/>
  <c r="T8" i="12"/>
  <c r="H6" i="12"/>
  <c r="Q11" i="12"/>
  <c r="I11" i="12"/>
  <c r="T6" i="12"/>
  <c r="H11" i="12"/>
  <c r="T9" i="12"/>
  <c r="P7" i="12"/>
  <c r="E11" i="12"/>
  <c r="T11" i="12"/>
  <c r="M10" i="12"/>
  <c r="Y8" i="12"/>
  <c r="U6" i="12"/>
  <c r="D8" i="12"/>
  <c r="X8" i="12"/>
  <c r="X10" i="12"/>
  <c r="L10" i="12"/>
  <c r="Q10" i="12"/>
  <c r="H9" i="12"/>
  <c r="L7" i="12"/>
  <c r="P10" i="12"/>
  <c r="L11" i="12"/>
  <c r="E10" i="12"/>
  <c r="U8" i="12"/>
  <c r="AA1" i="12"/>
  <c r="U7" i="12"/>
  <c r="Y7" i="12"/>
  <c r="U9" i="12"/>
  <c r="Y9" i="12"/>
  <c r="P11" i="14"/>
  <c r="U11" i="14"/>
  <c r="H10" i="14"/>
  <c r="Y10" i="14"/>
  <c r="Q11" i="14"/>
  <c r="U8" i="14"/>
  <c r="AA1" i="14"/>
  <c r="T8" i="14"/>
  <c r="U7" i="14"/>
  <c r="L6" i="14"/>
  <c r="U9" i="14"/>
  <c r="P7" i="14"/>
  <c r="H8" i="14"/>
  <c r="H11" i="14"/>
  <c r="M11" i="14"/>
  <c r="T11" i="14"/>
  <c r="M10" i="14"/>
  <c r="X10" i="14"/>
  <c r="D7" i="14"/>
  <c r="I11" i="14"/>
  <c r="P8" i="14"/>
  <c r="X6" i="14"/>
  <c r="H6" i="14"/>
  <c r="H9" i="14"/>
  <c r="L7" i="14"/>
  <c r="Q10" i="14"/>
  <c r="E11" i="14"/>
  <c r="L11" i="14"/>
  <c r="E10" i="14"/>
  <c r="D9" i="14"/>
  <c r="Y6" i="14"/>
  <c r="L10" i="14"/>
  <c r="D8" i="14"/>
  <c r="T6" i="14"/>
  <c r="D10" i="14"/>
  <c r="X7" i="14"/>
  <c r="T9" i="14"/>
  <c r="I10" i="14"/>
  <c r="P10" i="14"/>
  <c r="D11" i="14"/>
  <c r="L9" i="14"/>
  <c r="Y8" i="14"/>
  <c r="U6" i="14"/>
  <c r="X8" i="14"/>
  <c r="Y7" i="14"/>
  <c r="P6" i="14"/>
  <c r="Y9" i="14"/>
  <c r="T7" i="14"/>
  <c r="X9" i="14"/>
  <c r="T11" i="16"/>
  <c r="M10" i="16"/>
  <c r="Y8" i="16"/>
  <c r="D7" i="16"/>
  <c r="M6" i="16"/>
  <c r="I11" i="16"/>
  <c r="Y9" i="16"/>
  <c r="T8" i="16"/>
  <c r="U7" i="16"/>
  <c r="T6" i="16"/>
  <c r="P11" i="16"/>
  <c r="X9" i="16"/>
  <c r="X7" i="16"/>
  <c r="U11" i="16"/>
  <c r="H10" i="16"/>
  <c r="E7" i="16"/>
  <c r="L11" i="16"/>
  <c r="E10" i="16"/>
  <c r="U8" i="16"/>
  <c r="Y6" i="16"/>
  <c r="I6" i="16"/>
  <c r="X10" i="16"/>
  <c r="U9" i="16"/>
  <c r="P8" i="16"/>
  <c r="Q7" i="16"/>
  <c r="P6" i="16"/>
  <c r="H11" i="16"/>
  <c r="T9" i="16"/>
  <c r="T7" i="16"/>
  <c r="M11" i="16"/>
  <c r="M9" i="16"/>
  <c r="D11" i="16"/>
  <c r="L9" i="16"/>
  <c r="Q8" i="16"/>
  <c r="U6" i="16"/>
  <c r="AA1" i="16"/>
  <c r="L10" i="16"/>
  <c r="I9" i="16"/>
  <c r="D8" i="16"/>
  <c r="M7" i="16"/>
  <c r="L6" i="16"/>
  <c r="Q10" i="16"/>
  <c r="H9" i="16"/>
  <c r="P7" i="16"/>
  <c r="E11" i="16"/>
  <c r="E9" i="16"/>
  <c r="Y10" i="16"/>
  <c r="D9" i="16"/>
  <c r="E8" i="16"/>
  <c r="Q6" i="16"/>
  <c r="Q11" i="16"/>
  <c r="D10" i="16"/>
  <c r="X8" i="16"/>
  <c r="Y7" i="16"/>
  <c r="X6" i="16"/>
  <c r="H6" i="16"/>
  <c r="I10" i="16"/>
  <c r="I8" i="16"/>
  <c r="L7" i="16"/>
  <c r="P10" i="16"/>
  <c r="H8" i="16"/>
  <c r="G41" i="61"/>
  <c r="AI20" i="6"/>
  <c r="E11" i="15"/>
  <c r="E9" i="15"/>
  <c r="L11" i="15"/>
  <c r="E10" i="15"/>
  <c r="U8" i="15"/>
  <c r="Y6" i="15"/>
  <c r="I6" i="15"/>
  <c r="X10" i="15"/>
  <c r="U9" i="15"/>
  <c r="P8" i="15"/>
  <c r="Q7" i="15"/>
  <c r="P6" i="15"/>
  <c r="H11" i="15"/>
  <c r="T9" i="15"/>
  <c r="T7" i="15"/>
  <c r="P10" i="15"/>
  <c r="H8" i="15"/>
  <c r="D11" i="15"/>
  <c r="L9" i="15"/>
  <c r="Q8" i="15"/>
  <c r="U6" i="15"/>
  <c r="AA1" i="15"/>
  <c r="L10" i="15"/>
  <c r="I9" i="15"/>
  <c r="D8" i="15"/>
  <c r="M7" i="15"/>
  <c r="L6" i="15"/>
  <c r="Q10" i="15"/>
  <c r="H9" i="15"/>
  <c r="P7" i="15"/>
  <c r="U11" i="15"/>
  <c r="H10" i="15"/>
  <c r="E7" i="15"/>
  <c r="Y10" i="15"/>
  <c r="D9" i="15"/>
  <c r="E8" i="15"/>
  <c r="Q6" i="15"/>
  <c r="Q11" i="15"/>
  <c r="D10" i="15"/>
  <c r="X8" i="15"/>
  <c r="Y7" i="15"/>
  <c r="X6" i="15"/>
  <c r="H6" i="15"/>
  <c r="I10" i="15"/>
  <c r="I8" i="15"/>
  <c r="L7" i="15"/>
  <c r="M11" i="15"/>
  <c r="M9" i="15"/>
  <c r="T11" i="15"/>
  <c r="M10" i="15"/>
  <c r="Y8" i="15"/>
  <c r="D7" i="15"/>
  <c r="M6" i="15"/>
  <c r="I11" i="15"/>
  <c r="Y9" i="15"/>
  <c r="T8" i="15"/>
  <c r="U7" i="15"/>
  <c r="T6" i="15"/>
  <c r="P11" i="15"/>
  <c r="X9" i="15"/>
  <c r="X7" i="15"/>
  <c r="H46" i="46"/>
  <c r="E43" i="46"/>
  <c r="H39" i="46"/>
  <c r="BG29" i="44" s="1"/>
  <c r="D21" i="47" s="1"/>
  <c r="E39" i="46"/>
  <c r="H79" i="46"/>
  <c r="BG15" i="44" s="1"/>
  <c r="D41" i="47" s="1"/>
  <c r="E79" i="46"/>
  <c r="H103" i="46"/>
  <c r="BG27" i="44" s="1"/>
  <c r="D53" i="47" s="1"/>
  <c r="E103" i="46"/>
  <c r="H14" i="46"/>
  <c r="E11" i="46"/>
  <c r="AI13" i="6"/>
  <c r="G13" i="61"/>
  <c r="L10" i="24"/>
  <c r="I9" i="24"/>
  <c r="D8" i="24"/>
  <c r="M7" i="24"/>
  <c r="L6" i="24"/>
  <c r="Q10" i="24"/>
  <c r="H9" i="24"/>
  <c r="P7" i="24"/>
  <c r="E11" i="24"/>
  <c r="E9" i="24"/>
  <c r="E10" i="24"/>
  <c r="Q8" i="24"/>
  <c r="U8" i="24"/>
  <c r="I6" i="24"/>
  <c r="M6" i="24"/>
  <c r="Q11" i="24"/>
  <c r="D10" i="24"/>
  <c r="X8" i="24"/>
  <c r="Y7" i="24"/>
  <c r="X6" i="24"/>
  <c r="H6" i="24"/>
  <c r="I10" i="24"/>
  <c r="I8" i="24"/>
  <c r="L7" i="24"/>
  <c r="P10" i="24"/>
  <c r="H8" i="24"/>
  <c r="Q6" i="24"/>
  <c r="U6" i="24"/>
  <c r="E8" i="24"/>
  <c r="T11" i="24"/>
  <c r="AA1" i="24"/>
  <c r="I11" i="24"/>
  <c r="Y9" i="24"/>
  <c r="T8" i="24"/>
  <c r="U7" i="24"/>
  <c r="T6" i="24"/>
  <c r="P11" i="24"/>
  <c r="X9" i="24"/>
  <c r="X7" i="24"/>
  <c r="U11" i="24"/>
  <c r="H10" i="24"/>
  <c r="E7" i="24"/>
  <c r="D11" i="24"/>
  <c r="Y10" i="24"/>
  <c r="D7" i="24"/>
  <c r="M10" i="24"/>
  <c r="X10" i="24"/>
  <c r="U9" i="24"/>
  <c r="P8" i="24"/>
  <c r="Q7" i="24"/>
  <c r="P6" i="24"/>
  <c r="H11" i="24"/>
  <c r="T9" i="24"/>
  <c r="T7" i="24"/>
  <c r="M11" i="24"/>
  <c r="M9" i="24"/>
  <c r="L11" i="24"/>
  <c r="L9" i="24"/>
  <c r="D9" i="24"/>
  <c r="Y6" i="24"/>
  <c r="Y8" i="24"/>
  <c r="G5" i="61"/>
  <c r="AI11" i="6"/>
  <c r="H11" i="36"/>
  <c r="T9" i="36"/>
  <c r="M11" i="36"/>
  <c r="M9" i="36"/>
  <c r="D11" i="36"/>
  <c r="L9" i="36"/>
  <c r="Q8" i="36"/>
  <c r="X10" i="36"/>
  <c r="U9" i="36"/>
  <c r="P8" i="36"/>
  <c r="Q7" i="36"/>
  <c r="U6" i="36"/>
  <c r="AA1" i="36"/>
  <c r="P6" i="36"/>
  <c r="P7" i="36"/>
  <c r="Q10" i="36"/>
  <c r="H9" i="36"/>
  <c r="E11" i="36"/>
  <c r="E9" i="36"/>
  <c r="Y10" i="36"/>
  <c r="D9" i="36"/>
  <c r="E8" i="36"/>
  <c r="L10" i="36"/>
  <c r="I9" i="36"/>
  <c r="D8" i="36"/>
  <c r="X7" i="36"/>
  <c r="Q6" i="36"/>
  <c r="M7" i="36"/>
  <c r="L6" i="36"/>
  <c r="L7" i="36"/>
  <c r="I10" i="36"/>
  <c r="I8" i="36"/>
  <c r="P10" i="36"/>
  <c r="T11" i="36"/>
  <c r="M10" i="36"/>
  <c r="Y8" i="36"/>
  <c r="Q11" i="36"/>
  <c r="D10" i="36"/>
  <c r="X8" i="36"/>
  <c r="Y7" i="36"/>
  <c r="D7" i="36"/>
  <c r="M6" i="36"/>
  <c r="X6" i="36"/>
  <c r="H6" i="36"/>
  <c r="T7" i="36"/>
  <c r="P11" i="36"/>
  <c r="X9" i="36"/>
  <c r="U11" i="36"/>
  <c r="H10" i="36"/>
  <c r="L11" i="36"/>
  <c r="E10" i="36"/>
  <c r="U8" i="36"/>
  <c r="I11" i="36"/>
  <c r="Y9" i="36"/>
  <c r="T8" i="36"/>
  <c r="U7" i="36"/>
  <c r="Y6" i="36"/>
  <c r="I6" i="36"/>
  <c r="T6" i="36"/>
  <c r="H8" i="36"/>
  <c r="E7" i="36"/>
  <c r="AI18" i="6"/>
  <c r="G33" i="61"/>
  <c r="G29" i="61"/>
  <c r="AI17" i="6"/>
  <c r="Q11" i="17"/>
  <c r="D10" i="17"/>
  <c r="X8" i="17"/>
  <c r="Y7" i="17"/>
  <c r="X6" i="17"/>
  <c r="H6" i="17"/>
  <c r="I10" i="17"/>
  <c r="I8" i="17"/>
  <c r="L7" i="17"/>
  <c r="P10" i="17"/>
  <c r="H8" i="17"/>
  <c r="D11" i="17"/>
  <c r="L9" i="17"/>
  <c r="Q8" i="17"/>
  <c r="U6" i="17"/>
  <c r="AA1" i="17"/>
  <c r="I11" i="17"/>
  <c r="Y9" i="17"/>
  <c r="T8" i="17"/>
  <c r="U7" i="17"/>
  <c r="T6" i="17"/>
  <c r="P11" i="17"/>
  <c r="X9" i="17"/>
  <c r="X7" i="17"/>
  <c r="U11" i="17"/>
  <c r="H10" i="17"/>
  <c r="E7" i="17"/>
  <c r="Y10" i="17"/>
  <c r="D9" i="17"/>
  <c r="E8" i="17"/>
  <c r="Q6" i="17"/>
  <c r="X10" i="17"/>
  <c r="U9" i="17"/>
  <c r="P8" i="17"/>
  <c r="Q7" i="17"/>
  <c r="P6" i="17"/>
  <c r="H11" i="17"/>
  <c r="T9" i="17"/>
  <c r="T7" i="17"/>
  <c r="M11" i="17"/>
  <c r="M9" i="17"/>
  <c r="T11" i="17"/>
  <c r="M10" i="17"/>
  <c r="Y8" i="17"/>
  <c r="D7" i="17"/>
  <c r="M6" i="17"/>
  <c r="L10" i="17"/>
  <c r="I9" i="17"/>
  <c r="D8" i="17"/>
  <c r="M7" i="17"/>
  <c r="L6" i="17"/>
  <c r="Q10" i="17"/>
  <c r="H9" i="17"/>
  <c r="P7" i="17"/>
  <c r="E11" i="17"/>
  <c r="E9" i="17"/>
  <c r="L11" i="17"/>
  <c r="E10" i="17"/>
  <c r="U8" i="17"/>
  <c r="Y6" i="17"/>
  <c r="I6" i="17"/>
  <c r="G21" i="61"/>
  <c r="AI15" i="6"/>
  <c r="M11" i="41"/>
  <c r="M9" i="41"/>
  <c r="T11" i="41"/>
  <c r="M10" i="41"/>
  <c r="Y8" i="41"/>
  <c r="D7" i="41"/>
  <c r="M6" i="41"/>
  <c r="I11" i="41"/>
  <c r="Y9" i="41"/>
  <c r="T8" i="41"/>
  <c r="U7" i="41"/>
  <c r="T6" i="41"/>
  <c r="P11" i="41"/>
  <c r="X9" i="41"/>
  <c r="X7" i="41"/>
  <c r="E11" i="41"/>
  <c r="E9" i="41"/>
  <c r="L11" i="41"/>
  <c r="E10" i="41"/>
  <c r="U8" i="41"/>
  <c r="Y6" i="41"/>
  <c r="I6" i="41"/>
  <c r="X10" i="41"/>
  <c r="U9" i="41"/>
  <c r="P8" i="41"/>
  <c r="Q7" i="41"/>
  <c r="P6" i="41"/>
  <c r="H11" i="41"/>
  <c r="T9" i="41"/>
  <c r="T7" i="41"/>
  <c r="P10" i="41"/>
  <c r="H8" i="41"/>
  <c r="D11" i="41"/>
  <c r="L9" i="41"/>
  <c r="Q8" i="41"/>
  <c r="U6" i="41"/>
  <c r="AA1" i="41"/>
  <c r="L10" i="41"/>
  <c r="I9" i="41"/>
  <c r="D8" i="41"/>
  <c r="M7" i="41"/>
  <c r="L6" i="41"/>
  <c r="Q10" i="41"/>
  <c r="H9" i="41"/>
  <c r="P7" i="41"/>
  <c r="U11" i="41"/>
  <c r="H10" i="41"/>
  <c r="E7" i="41"/>
  <c r="Y10" i="41"/>
  <c r="D9" i="41"/>
  <c r="E8" i="41"/>
  <c r="Q6" i="41"/>
  <c r="Q11" i="41"/>
  <c r="D10" i="41"/>
  <c r="X8" i="41"/>
  <c r="Y7" i="41"/>
  <c r="X6" i="41"/>
  <c r="H6" i="41"/>
  <c r="I10" i="41"/>
  <c r="I8" i="41"/>
  <c r="L7" i="41"/>
  <c r="K61" i="10"/>
  <c r="G59" i="10"/>
  <c r="Q11" i="10"/>
  <c r="D10" i="10"/>
  <c r="T8" i="10"/>
  <c r="U7" i="10"/>
  <c r="L6" i="10"/>
  <c r="J61" i="10"/>
  <c r="F59" i="10"/>
  <c r="B56" i="10"/>
  <c r="I10" i="10"/>
  <c r="X7" i="10"/>
  <c r="J62" i="10"/>
  <c r="F60" i="10"/>
  <c r="O56" i="10"/>
  <c r="P10" i="10"/>
  <c r="C60" i="10"/>
  <c r="U8" i="10"/>
  <c r="J59" i="10"/>
  <c r="Y8" i="10"/>
  <c r="L11" i="10"/>
  <c r="K60" i="10"/>
  <c r="C61" i="10"/>
  <c r="N58" i="10"/>
  <c r="I11" i="10"/>
  <c r="Y9" i="10"/>
  <c r="P8" i="10"/>
  <c r="X6" i="10"/>
  <c r="H6" i="10"/>
  <c r="O60" i="10"/>
  <c r="K58" i="10"/>
  <c r="P11" i="10"/>
  <c r="X9" i="10"/>
  <c r="T7" i="10"/>
  <c r="O61" i="10"/>
  <c r="K59" i="10"/>
  <c r="U11" i="10"/>
  <c r="H10" i="10"/>
  <c r="N56" i="10"/>
  <c r="D7" i="10"/>
  <c r="F56" i="10"/>
  <c r="Y6" i="10"/>
  <c r="E10" i="10"/>
  <c r="G58" i="10"/>
  <c r="N62" i="10"/>
  <c r="J60" i="10"/>
  <c r="F58" i="10"/>
  <c r="X10" i="10"/>
  <c r="U9" i="10"/>
  <c r="D8" i="10"/>
  <c r="T6" i="10"/>
  <c r="K62" i="10"/>
  <c r="G60" i="10"/>
  <c r="C58" i="10"/>
  <c r="H11" i="10"/>
  <c r="T9" i="10"/>
  <c r="P7" i="10"/>
  <c r="G61" i="10"/>
  <c r="C59" i="10"/>
  <c r="M11" i="10"/>
  <c r="H8" i="10"/>
  <c r="Y10" i="10"/>
  <c r="U6" i="10"/>
  <c r="T11" i="10"/>
  <c r="F61" i="10"/>
  <c r="AA1" i="10"/>
  <c r="D11" i="10"/>
  <c r="F62" i="10"/>
  <c r="O59" i="10"/>
  <c r="C56" i="10"/>
  <c r="L10" i="10"/>
  <c r="X8" i="10"/>
  <c r="Y7" i="10"/>
  <c r="P6" i="10"/>
  <c r="C62" i="10"/>
  <c r="N59" i="10"/>
  <c r="J56" i="10"/>
  <c r="Q10" i="10"/>
  <c r="H9" i="10"/>
  <c r="L7" i="10"/>
  <c r="N60" i="10"/>
  <c r="J58" i="10"/>
  <c r="E11" i="10"/>
  <c r="G62" i="10"/>
  <c r="D9" i="10"/>
  <c r="N61" i="10"/>
  <c r="M10" i="10"/>
  <c r="O58" i="10"/>
  <c r="O62" i="10"/>
  <c r="L9" i="10"/>
  <c r="H23" i="46"/>
  <c r="BG25" i="44" s="1"/>
  <c r="D13" i="47" s="1"/>
  <c r="E23" i="46"/>
  <c r="E47" i="46"/>
  <c r="H47" i="46"/>
  <c r="BG13" i="44" s="1"/>
  <c r="D25" i="47" s="1"/>
  <c r="E75" i="46"/>
  <c r="H78" i="46"/>
  <c r="E91" i="46"/>
  <c r="H94" i="46"/>
  <c r="BG30" i="44" s="1"/>
  <c r="D48" i="47" s="1"/>
  <c r="H55" i="46"/>
  <c r="BG21" i="44" s="1"/>
  <c r="D29" i="47" s="1"/>
  <c r="E55" i="46"/>
  <c r="U11" i="21"/>
  <c r="H10" i="21"/>
  <c r="E7" i="21"/>
  <c r="Y10" i="21"/>
  <c r="D9" i="21"/>
  <c r="E8" i="21"/>
  <c r="Q6" i="21"/>
  <c r="Q11" i="21"/>
  <c r="D10" i="21"/>
  <c r="X8" i="21"/>
  <c r="Y7" i="21"/>
  <c r="X6" i="21"/>
  <c r="H6" i="21"/>
  <c r="I10" i="21"/>
  <c r="I8" i="21"/>
  <c r="T7" i="21"/>
  <c r="M11" i="21"/>
  <c r="M9" i="21"/>
  <c r="T11" i="21"/>
  <c r="M10" i="21"/>
  <c r="Y8" i="21"/>
  <c r="D7" i="21"/>
  <c r="M6" i="21"/>
  <c r="I11" i="21"/>
  <c r="Y9" i="21"/>
  <c r="T8" i="21"/>
  <c r="U7" i="21"/>
  <c r="T6" i="21"/>
  <c r="P11" i="21"/>
  <c r="X9" i="21"/>
  <c r="X7" i="21"/>
  <c r="E11" i="21"/>
  <c r="E9" i="21"/>
  <c r="L11" i="21"/>
  <c r="E10" i="21"/>
  <c r="U8" i="21"/>
  <c r="Y6" i="21"/>
  <c r="I6" i="21"/>
  <c r="X10" i="21"/>
  <c r="U9" i="21"/>
  <c r="P8" i="21"/>
  <c r="Q7" i="21"/>
  <c r="P6" i="21"/>
  <c r="H11" i="21"/>
  <c r="T9" i="21"/>
  <c r="L7" i="21"/>
  <c r="P10" i="21"/>
  <c r="H8" i="21"/>
  <c r="D11" i="21"/>
  <c r="L9" i="21"/>
  <c r="Q8" i="21"/>
  <c r="U6" i="21"/>
  <c r="AA1" i="21"/>
  <c r="L10" i="21"/>
  <c r="I9" i="21"/>
  <c r="D8" i="21"/>
  <c r="M7" i="21"/>
  <c r="L6" i="21"/>
  <c r="Q10" i="21"/>
  <c r="H9" i="21"/>
  <c r="P7" i="21"/>
  <c r="H11" i="18"/>
  <c r="T9" i="18"/>
  <c r="T7" i="18"/>
  <c r="M11" i="18"/>
  <c r="M9" i="18"/>
  <c r="T11" i="18"/>
  <c r="M10" i="18"/>
  <c r="Y8" i="18"/>
  <c r="D7" i="18"/>
  <c r="M6" i="18"/>
  <c r="I11" i="18"/>
  <c r="Y9" i="18"/>
  <c r="T8" i="18"/>
  <c r="U7" i="18"/>
  <c r="T6" i="18"/>
  <c r="Q10" i="18"/>
  <c r="H9" i="18"/>
  <c r="P7" i="18"/>
  <c r="E11" i="18"/>
  <c r="E9" i="18"/>
  <c r="L11" i="18"/>
  <c r="E10" i="18"/>
  <c r="U8" i="18"/>
  <c r="Y6" i="18"/>
  <c r="I6" i="18"/>
  <c r="X10" i="18"/>
  <c r="U9" i="18"/>
  <c r="P8" i="18"/>
  <c r="Q7" i="18"/>
  <c r="P6" i="18"/>
  <c r="I10" i="18"/>
  <c r="I8" i="18"/>
  <c r="L7" i="18"/>
  <c r="P10" i="18"/>
  <c r="H8" i="18"/>
  <c r="D11" i="18"/>
  <c r="L9" i="18"/>
  <c r="Q8" i="18"/>
  <c r="U6" i="18"/>
  <c r="AA1" i="18"/>
  <c r="L10" i="18"/>
  <c r="I9" i="18"/>
  <c r="D8" i="18"/>
  <c r="M7" i="18"/>
  <c r="L6" i="18"/>
  <c r="P11" i="18"/>
  <c r="X9" i="18"/>
  <c r="X7" i="18"/>
  <c r="U11" i="18"/>
  <c r="H10" i="18"/>
  <c r="E7" i="18"/>
  <c r="Y10" i="18"/>
  <c r="D9" i="18"/>
  <c r="E8" i="18"/>
  <c r="Q6" i="18"/>
  <c r="Q11" i="18"/>
  <c r="D10" i="18"/>
  <c r="X8" i="18"/>
  <c r="Y7" i="18"/>
  <c r="X6" i="18"/>
  <c r="H6" i="18"/>
  <c r="G65" i="61"/>
  <c r="AI26" i="6"/>
  <c r="P10" i="26"/>
  <c r="H8" i="26"/>
  <c r="D11" i="26"/>
  <c r="L9" i="26"/>
  <c r="Q8" i="26"/>
  <c r="U6" i="26"/>
  <c r="AA1" i="26"/>
  <c r="L10" i="26"/>
  <c r="I9" i="26"/>
  <c r="D8" i="26"/>
  <c r="M7" i="26"/>
  <c r="L6" i="26"/>
  <c r="P7" i="26"/>
  <c r="T7" i="26"/>
  <c r="Q10" i="26"/>
  <c r="U11" i="26"/>
  <c r="H10" i="26"/>
  <c r="E7" i="26"/>
  <c r="Y10" i="26"/>
  <c r="D9" i="26"/>
  <c r="E8" i="26"/>
  <c r="Q6" i="26"/>
  <c r="Q11" i="26"/>
  <c r="D10" i="26"/>
  <c r="X8" i="26"/>
  <c r="Y7" i="26"/>
  <c r="X6" i="26"/>
  <c r="H6" i="26"/>
  <c r="P11" i="26"/>
  <c r="H11" i="26"/>
  <c r="L7" i="26"/>
  <c r="M11" i="26"/>
  <c r="M9" i="26"/>
  <c r="T11" i="26"/>
  <c r="M10" i="26"/>
  <c r="Y8" i="26"/>
  <c r="D7" i="26"/>
  <c r="M6" i="26"/>
  <c r="I11" i="26"/>
  <c r="Y9" i="26"/>
  <c r="T8" i="26"/>
  <c r="U7" i="26"/>
  <c r="T6" i="26"/>
  <c r="I10" i="26"/>
  <c r="X9" i="26"/>
  <c r="I8" i="26"/>
  <c r="E11" i="26"/>
  <c r="E9" i="26"/>
  <c r="L11" i="26"/>
  <c r="E10" i="26"/>
  <c r="U8" i="26"/>
  <c r="Y6" i="26"/>
  <c r="I6" i="26"/>
  <c r="X10" i="26"/>
  <c r="U9" i="26"/>
  <c r="P8" i="26"/>
  <c r="Q7" i="26"/>
  <c r="P6" i="26"/>
  <c r="T9" i="26"/>
  <c r="H9" i="26"/>
  <c r="X7" i="26"/>
  <c r="U11" i="19"/>
  <c r="H10" i="19"/>
  <c r="E7" i="19"/>
  <c r="Y10" i="19"/>
  <c r="D9" i="19"/>
  <c r="E8" i="19"/>
  <c r="Q6" i="19"/>
  <c r="Q11" i="19"/>
  <c r="D10" i="19"/>
  <c r="X8" i="19"/>
  <c r="Y7" i="19"/>
  <c r="X6" i="19"/>
  <c r="H6" i="19"/>
  <c r="I10" i="19"/>
  <c r="I8" i="19"/>
  <c r="L7" i="19"/>
  <c r="M11" i="19"/>
  <c r="M9" i="19"/>
  <c r="T11" i="19"/>
  <c r="M10" i="19"/>
  <c r="Y8" i="19"/>
  <c r="D7" i="19"/>
  <c r="M6" i="19"/>
  <c r="I11" i="19"/>
  <c r="Y9" i="19"/>
  <c r="T8" i="19"/>
  <c r="U7" i="19"/>
  <c r="T6" i="19"/>
  <c r="P11" i="19"/>
  <c r="X9" i="19"/>
  <c r="X7" i="19"/>
  <c r="E11" i="19"/>
  <c r="E9" i="19"/>
  <c r="L11" i="19"/>
  <c r="E10" i="19"/>
  <c r="U8" i="19"/>
  <c r="Y6" i="19"/>
  <c r="I6" i="19"/>
  <c r="X10" i="19"/>
  <c r="U9" i="19"/>
  <c r="P8" i="19"/>
  <c r="Q7" i="19"/>
  <c r="P6" i="19"/>
  <c r="H11" i="19"/>
  <c r="T9" i="19"/>
  <c r="T7" i="19"/>
  <c r="P10" i="19"/>
  <c r="H8" i="19"/>
  <c r="D11" i="19"/>
  <c r="L9" i="19"/>
  <c r="Q8" i="19"/>
  <c r="U6" i="19"/>
  <c r="AA1" i="19"/>
  <c r="L10" i="19"/>
  <c r="I9" i="19"/>
  <c r="D8" i="19"/>
  <c r="M7" i="19"/>
  <c r="L6" i="19"/>
  <c r="Q10" i="19"/>
  <c r="H9" i="19"/>
  <c r="P7" i="19"/>
  <c r="X10" i="39"/>
  <c r="U9" i="39"/>
  <c r="P8" i="39"/>
  <c r="Q7" i="39"/>
  <c r="P6" i="39"/>
  <c r="H11" i="39"/>
  <c r="T9" i="39"/>
  <c r="T7" i="39"/>
  <c r="M11" i="39"/>
  <c r="M9" i="39"/>
  <c r="T11" i="39"/>
  <c r="M10" i="39"/>
  <c r="Y8" i="39"/>
  <c r="D7" i="39"/>
  <c r="M6" i="39"/>
  <c r="L10" i="39"/>
  <c r="I9" i="39"/>
  <c r="D8" i="39"/>
  <c r="M7" i="39"/>
  <c r="L6" i="39"/>
  <c r="Q10" i="39"/>
  <c r="H9" i="39"/>
  <c r="P7" i="39"/>
  <c r="E11" i="39"/>
  <c r="E9" i="39"/>
  <c r="L11" i="39"/>
  <c r="E10" i="39"/>
  <c r="U8" i="39"/>
  <c r="Y6" i="39"/>
  <c r="I6" i="39"/>
  <c r="Q11" i="39"/>
  <c r="D10" i="39"/>
  <c r="X8" i="39"/>
  <c r="Y7" i="39"/>
  <c r="X6" i="39"/>
  <c r="H6" i="39"/>
  <c r="I10" i="39"/>
  <c r="I8" i="39"/>
  <c r="L7" i="39"/>
  <c r="P10" i="39"/>
  <c r="H8" i="39"/>
  <c r="D11" i="39"/>
  <c r="L9" i="39"/>
  <c r="Q8" i="39"/>
  <c r="U6" i="39"/>
  <c r="AA1" i="39"/>
  <c r="I11" i="39"/>
  <c r="Y9" i="39"/>
  <c r="T8" i="39"/>
  <c r="U7" i="39"/>
  <c r="T6" i="39"/>
  <c r="P11" i="39"/>
  <c r="X9" i="39"/>
  <c r="X7" i="39"/>
  <c r="U11" i="39"/>
  <c r="H10" i="39"/>
  <c r="E7" i="39"/>
  <c r="Y10" i="39"/>
  <c r="D9" i="39"/>
  <c r="E8" i="39"/>
  <c r="Q6" i="39"/>
  <c r="H11" i="20"/>
  <c r="T9" i="20"/>
  <c r="T7" i="20"/>
  <c r="M11" i="20"/>
  <c r="M9" i="20"/>
  <c r="T11" i="20"/>
  <c r="M10" i="20"/>
  <c r="Y8" i="20"/>
  <c r="D7" i="20"/>
  <c r="M6" i="20"/>
  <c r="T8" i="20"/>
  <c r="X8" i="20"/>
  <c r="X10" i="20"/>
  <c r="H6" i="20"/>
  <c r="I9" i="20"/>
  <c r="Q10" i="20"/>
  <c r="H9" i="20"/>
  <c r="P7" i="20"/>
  <c r="E11" i="20"/>
  <c r="E9" i="20"/>
  <c r="L11" i="20"/>
  <c r="E10" i="20"/>
  <c r="U8" i="20"/>
  <c r="Y6" i="20"/>
  <c r="I6" i="20"/>
  <c r="D8" i="20"/>
  <c r="Q7" i="20"/>
  <c r="U9" i="20"/>
  <c r="I11" i="20"/>
  <c r="P8" i="20"/>
  <c r="I10" i="20"/>
  <c r="I8" i="20"/>
  <c r="L7" i="20"/>
  <c r="P10" i="20"/>
  <c r="H8" i="20"/>
  <c r="D11" i="20"/>
  <c r="L9" i="20"/>
  <c r="Q8" i="20"/>
  <c r="U6" i="20"/>
  <c r="AA1" i="20"/>
  <c r="M7" i="20"/>
  <c r="T6" i="20"/>
  <c r="U7" i="20"/>
  <c r="L10" i="20"/>
  <c r="Y7" i="20"/>
  <c r="P11" i="20"/>
  <c r="X9" i="20"/>
  <c r="X7" i="20"/>
  <c r="U11" i="20"/>
  <c r="H10" i="20"/>
  <c r="E7" i="20"/>
  <c r="Y10" i="20"/>
  <c r="D9" i="20"/>
  <c r="E8" i="20"/>
  <c r="Q6" i="20"/>
  <c r="D10" i="20"/>
  <c r="P6" i="20"/>
  <c r="Q11" i="20"/>
  <c r="X6" i="20"/>
  <c r="Y9" i="20"/>
  <c r="L6" i="20"/>
  <c r="G49" i="61"/>
  <c r="AI22" i="6"/>
  <c r="U11" i="31"/>
  <c r="H10" i="31"/>
  <c r="E7" i="31"/>
  <c r="Y10" i="31"/>
  <c r="D9" i="31"/>
  <c r="E8" i="31"/>
  <c r="Q6" i="31"/>
  <c r="Q11" i="31"/>
  <c r="D10" i="31"/>
  <c r="X8" i="31"/>
  <c r="Y7" i="31"/>
  <c r="X6" i="31"/>
  <c r="H6" i="31"/>
  <c r="T9" i="31"/>
  <c r="H9" i="31"/>
  <c r="X7" i="31"/>
  <c r="M11" i="31"/>
  <c r="M9" i="31"/>
  <c r="T11" i="31"/>
  <c r="M10" i="31"/>
  <c r="Y8" i="31"/>
  <c r="D7" i="31"/>
  <c r="M6" i="31"/>
  <c r="I11" i="31"/>
  <c r="Y9" i="31"/>
  <c r="T8" i="31"/>
  <c r="U7" i="31"/>
  <c r="T6" i="31"/>
  <c r="H11" i="31"/>
  <c r="P7" i="31"/>
  <c r="I8" i="31"/>
  <c r="E11" i="31"/>
  <c r="E9" i="31"/>
  <c r="L11" i="31"/>
  <c r="E10" i="31"/>
  <c r="U8" i="31"/>
  <c r="Y6" i="31"/>
  <c r="I6" i="31"/>
  <c r="X10" i="31"/>
  <c r="U9" i="31"/>
  <c r="P8" i="31"/>
  <c r="Q7" i="31"/>
  <c r="P6" i="31"/>
  <c r="L7" i="31"/>
  <c r="I10" i="31"/>
  <c r="T7" i="31"/>
  <c r="P10" i="31"/>
  <c r="H8" i="31"/>
  <c r="D11" i="31"/>
  <c r="L9" i="31"/>
  <c r="Q8" i="31"/>
  <c r="U6" i="31"/>
  <c r="AA1" i="31"/>
  <c r="L10" i="31"/>
  <c r="I9" i="31"/>
  <c r="D8" i="31"/>
  <c r="M7" i="31"/>
  <c r="L6" i="31"/>
  <c r="Q10" i="31"/>
  <c r="X9" i="31"/>
  <c r="P11" i="31"/>
  <c r="E11" i="37"/>
  <c r="E9" i="37"/>
  <c r="L11" i="37"/>
  <c r="E10" i="37"/>
  <c r="U8" i="37"/>
  <c r="Y6" i="37"/>
  <c r="I6" i="37"/>
  <c r="X10" i="37"/>
  <c r="U9" i="37"/>
  <c r="P8" i="37"/>
  <c r="Q7" i="37"/>
  <c r="P6" i="37"/>
  <c r="H11" i="37"/>
  <c r="T9" i="37"/>
  <c r="T7" i="37"/>
  <c r="P10" i="37"/>
  <c r="H8" i="37"/>
  <c r="D11" i="37"/>
  <c r="L9" i="37"/>
  <c r="Q8" i="37"/>
  <c r="U6" i="37"/>
  <c r="AA1" i="37"/>
  <c r="L10" i="37"/>
  <c r="I9" i="37"/>
  <c r="D8" i="37"/>
  <c r="M7" i="37"/>
  <c r="L6" i="37"/>
  <c r="Q10" i="37"/>
  <c r="H9" i="37"/>
  <c r="P7" i="37"/>
  <c r="U11" i="37"/>
  <c r="H10" i="37"/>
  <c r="E7" i="37"/>
  <c r="Y10" i="37"/>
  <c r="D9" i="37"/>
  <c r="E8" i="37"/>
  <c r="Q6" i="37"/>
  <c r="Q11" i="37"/>
  <c r="D10" i="37"/>
  <c r="X8" i="37"/>
  <c r="Y7" i="37"/>
  <c r="X6" i="37"/>
  <c r="H6" i="37"/>
  <c r="I10" i="37"/>
  <c r="I8" i="37"/>
  <c r="L7" i="37"/>
  <c r="M11" i="37"/>
  <c r="M9" i="37"/>
  <c r="T11" i="37"/>
  <c r="M10" i="37"/>
  <c r="Y8" i="37"/>
  <c r="D7" i="37"/>
  <c r="M6" i="37"/>
  <c r="I11" i="37"/>
  <c r="Y9" i="37"/>
  <c r="T8" i="37"/>
  <c r="U7" i="37"/>
  <c r="T6" i="37"/>
  <c r="P11" i="37"/>
  <c r="X9" i="37"/>
  <c r="X7" i="37"/>
  <c r="H30" i="46"/>
  <c r="BG28" i="44" s="1"/>
  <c r="D16" i="47" s="1"/>
  <c r="E27" i="46"/>
  <c r="H54" i="46"/>
  <c r="E51" i="46"/>
  <c r="E107" i="46"/>
  <c r="H110" i="46"/>
  <c r="H62" i="46"/>
  <c r="BG32" i="44" s="1"/>
  <c r="D32" i="47" s="1"/>
  <c r="E59" i="46"/>
  <c r="E115" i="46"/>
  <c r="H118" i="46"/>
  <c r="H111" i="46"/>
  <c r="BG11" i="44" s="1"/>
  <c r="D57" i="47" s="1"/>
  <c r="E111" i="46"/>
  <c r="T33" i="48"/>
  <c r="AQ6" i="44" s="1"/>
  <c r="T32" i="48"/>
  <c r="AQ5" i="44" s="1"/>
  <c r="AN6" i="44"/>
  <c r="M20" i="50" s="1"/>
  <c r="AC4" i="45"/>
  <c r="D91" i="43"/>
  <c r="D88" i="43"/>
  <c r="D92" i="43"/>
  <c r="D90" i="43"/>
  <c r="D94" i="43"/>
  <c r="D87" i="43"/>
  <c r="D93" i="43"/>
  <c r="D89" i="43"/>
  <c r="B86" i="43"/>
  <c r="A86" i="43"/>
  <c r="B67" i="43"/>
  <c r="A67" i="43"/>
  <c r="B121" i="43"/>
  <c r="A121" i="43"/>
  <c r="B112" i="43"/>
  <c r="A112" i="43"/>
  <c r="B98" i="43"/>
  <c r="A98" i="43"/>
  <c r="B31" i="43"/>
  <c r="A31" i="43"/>
  <c r="B81" i="43"/>
  <c r="A81" i="43"/>
  <c r="B130" i="43"/>
  <c r="A130" i="43"/>
  <c r="B113" i="43"/>
  <c r="A113" i="43"/>
  <c r="B17" i="43"/>
  <c r="A17" i="43"/>
  <c r="B60" i="43"/>
  <c r="A60" i="43"/>
  <c r="B55" i="43"/>
  <c r="A55" i="43"/>
  <c r="B128" i="43"/>
  <c r="A128" i="43"/>
  <c r="B49" i="43"/>
  <c r="A49" i="43"/>
  <c r="B15" i="43"/>
  <c r="A15" i="43"/>
  <c r="B100" i="43"/>
  <c r="A100" i="43"/>
  <c r="B111" i="43"/>
  <c r="A111" i="43"/>
  <c r="B108" i="43"/>
  <c r="A108" i="43"/>
  <c r="B85" i="43"/>
  <c r="A85" i="43"/>
  <c r="B18" i="43"/>
  <c r="A18" i="43"/>
  <c r="B101" i="43"/>
  <c r="A101" i="43"/>
  <c r="B40" i="43"/>
  <c r="A40" i="43"/>
  <c r="B27" i="43"/>
  <c r="A27" i="43"/>
  <c r="B118" i="43"/>
  <c r="A118" i="43"/>
  <c r="B78" i="43"/>
  <c r="A78" i="43"/>
  <c r="B110" i="43"/>
  <c r="A110" i="43"/>
  <c r="B16" i="43"/>
  <c r="A16" i="43"/>
  <c r="B62" i="43"/>
  <c r="A62" i="43"/>
  <c r="B57" i="43"/>
  <c r="A57" i="43"/>
  <c r="B34" i="43"/>
  <c r="A34" i="43"/>
  <c r="B70" i="43"/>
  <c r="A70" i="43"/>
  <c r="B48" i="43"/>
  <c r="A48" i="43"/>
  <c r="B8" i="43"/>
  <c r="A8" i="43"/>
  <c r="B102" i="43"/>
  <c r="A102" i="43"/>
  <c r="B79" i="43"/>
  <c r="A79" i="43"/>
  <c r="B68" i="43"/>
  <c r="A68" i="43"/>
  <c r="B35" i="43"/>
  <c r="A35" i="43"/>
  <c r="B97" i="43"/>
  <c r="A97" i="43"/>
  <c r="B51" i="43"/>
  <c r="A51" i="43"/>
  <c r="B38" i="43"/>
  <c r="A38" i="43"/>
  <c r="B69" i="43"/>
  <c r="A69" i="43"/>
  <c r="B120" i="43"/>
  <c r="A120" i="43"/>
  <c r="B95" i="43"/>
  <c r="A95" i="43"/>
  <c r="B54" i="43"/>
  <c r="A54" i="43"/>
  <c r="B28" i="43"/>
  <c r="A28" i="43"/>
  <c r="B56" i="43"/>
  <c r="A56" i="43"/>
  <c r="B127" i="43"/>
  <c r="A127" i="43"/>
  <c r="B50" i="43"/>
  <c r="A50" i="43"/>
  <c r="B4" i="43"/>
  <c r="A4" i="43"/>
  <c r="B37" i="43"/>
  <c r="A37" i="43"/>
  <c r="B99" i="43"/>
  <c r="A99" i="43"/>
  <c r="B41" i="43"/>
  <c r="A41" i="43"/>
  <c r="B125" i="43"/>
  <c r="A125" i="43"/>
  <c r="B77" i="43"/>
  <c r="A77" i="43"/>
  <c r="B119" i="43"/>
  <c r="A119" i="43"/>
  <c r="B83" i="43"/>
  <c r="A83" i="43"/>
  <c r="B66" i="43"/>
  <c r="A66" i="43"/>
  <c r="B75" i="43"/>
  <c r="A75" i="43"/>
  <c r="B122" i="43"/>
  <c r="A122" i="43"/>
  <c r="B61" i="43"/>
  <c r="A61" i="43"/>
  <c r="B32" i="43"/>
  <c r="A32" i="43"/>
  <c r="B115" i="43"/>
  <c r="A115" i="43"/>
  <c r="B76" i="43"/>
  <c r="A76" i="43"/>
  <c r="B25" i="43"/>
  <c r="A25" i="43"/>
  <c r="B59" i="43"/>
  <c r="A59" i="43"/>
  <c r="B33" i="43"/>
  <c r="A33" i="43"/>
  <c r="B80" i="43"/>
  <c r="A80" i="43"/>
  <c r="B42" i="43"/>
  <c r="A42" i="43"/>
  <c r="B7" i="43"/>
  <c r="A7" i="43"/>
  <c r="B23" i="43"/>
  <c r="A23" i="43"/>
  <c r="B124" i="43"/>
  <c r="A124" i="43"/>
  <c r="B64" i="43"/>
  <c r="A64" i="43"/>
  <c r="B126" i="43"/>
  <c r="A126" i="43"/>
  <c r="B52" i="43"/>
  <c r="A52" i="43"/>
  <c r="B29" i="43"/>
  <c r="A29" i="43"/>
  <c r="B116" i="43"/>
  <c r="A116" i="43"/>
  <c r="B65" i="43"/>
  <c r="A65" i="43"/>
  <c r="B6" i="43"/>
  <c r="A6" i="43"/>
  <c r="B96" i="43"/>
  <c r="A96" i="43"/>
  <c r="B53" i="43"/>
  <c r="A53" i="43"/>
  <c r="B117" i="43"/>
  <c r="A117" i="43"/>
  <c r="B9" i="43"/>
  <c r="A9" i="43"/>
  <c r="B5" i="43"/>
  <c r="A5" i="43"/>
  <c r="B107" i="43"/>
  <c r="A107" i="43"/>
  <c r="B30" i="43"/>
  <c r="A30" i="43"/>
  <c r="B129" i="43"/>
  <c r="A129" i="43"/>
  <c r="B47" i="43"/>
  <c r="A47" i="43"/>
  <c r="B3" i="43"/>
  <c r="A3" i="43"/>
  <c r="B24" i="43"/>
  <c r="A24" i="43"/>
  <c r="B58" i="43"/>
  <c r="A58" i="43"/>
  <c r="B39" i="43"/>
  <c r="A39" i="43"/>
  <c r="B82" i="43"/>
  <c r="A82" i="43"/>
  <c r="S1" i="28"/>
  <c r="S1" i="32"/>
  <c r="S1" i="42"/>
  <c r="S1" i="35"/>
  <c r="S1" i="41"/>
  <c r="R1" i="31"/>
  <c r="S1" i="40"/>
  <c r="S1" i="23"/>
  <c r="S1" i="17"/>
  <c r="R1" i="26"/>
  <c r="S1" i="20"/>
  <c r="S1" i="22"/>
  <c r="S1" i="27"/>
  <c r="R1" i="42"/>
  <c r="R1" i="35"/>
  <c r="S1" i="16"/>
  <c r="S1" i="24"/>
  <c r="R1" i="41"/>
  <c r="S1" i="18"/>
  <c r="S1" i="19"/>
  <c r="R1" i="20"/>
  <c r="S1" i="31"/>
  <c r="S1" i="33"/>
  <c r="R1" i="23"/>
  <c r="R1" i="10"/>
  <c r="R1" i="11"/>
  <c r="S1" i="15"/>
  <c r="S1" i="36"/>
  <c r="R1" i="17"/>
  <c r="S1" i="21"/>
  <c r="S1" i="26"/>
  <c r="S1" i="39"/>
  <c r="S1" i="37"/>
  <c r="R1" i="39"/>
  <c r="M7" i="11" l="1"/>
  <c r="I8" i="11"/>
  <c r="E8" i="11"/>
  <c r="M6" i="11"/>
  <c r="Q6" i="11"/>
  <c r="M9" i="11"/>
  <c r="Q8" i="11"/>
  <c r="Q7" i="11"/>
  <c r="I9" i="11"/>
  <c r="I6" i="11"/>
  <c r="E7" i="11"/>
  <c r="E9" i="11"/>
  <c r="G56" i="10"/>
  <c r="K56" i="10" s="1"/>
  <c r="M7" i="10"/>
  <c r="Q8" i="10"/>
  <c r="Q7" i="10"/>
  <c r="I8" i="10"/>
  <c r="E9" i="10"/>
  <c r="E7" i="10"/>
  <c r="M9" i="10"/>
  <c r="Q6" i="10"/>
  <c r="M6" i="10"/>
  <c r="I9" i="10"/>
  <c r="I6" i="10"/>
  <c r="E8" i="10"/>
  <c r="I77" i="46"/>
  <c r="L75" i="46"/>
  <c r="BI15" i="44" s="1"/>
  <c r="BG22" i="44"/>
  <c r="D40" i="47" s="1"/>
  <c r="AB4" i="45"/>
  <c r="L4" i="45"/>
  <c r="X4" i="45"/>
  <c r="P20" i="50"/>
  <c r="Z6" i="44"/>
  <c r="I16" i="52" s="1"/>
  <c r="P21" i="50"/>
  <c r="I53" i="46"/>
  <c r="BG16" i="44"/>
  <c r="D28" i="47" s="1"/>
  <c r="L58" i="46"/>
  <c r="BI16" i="44" s="1"/>
  <c r="L26" i="46"/>
  <c r="BI12" i="44" s="1"/>
  <c r="I21" i="46"/>
  <c r="BG12" i="44"/>
  <c r="D12" i="47" s="1"/>
  <c r="I85" i="46"/>
  <c r="BG14" i="44"/>
  <c r="D44" i="47" s="1"/>
  <c r="L90" i="46"/>
  <c r="BI14" i="44" s="1"/>
  <c r="V4" i="45"/>
  <c r="O4" i="45"/>
  <c r="R4" i="45"/>
  <c r="AD4" i="45"/>
  <c r="I117" i="46"/>
  <c r="BG18" i="44"/>
  <c r="D60" i="47" s="1"/>
  <c r="L122" i="46"/>
  <c r="BI18" i="44" s="1"/>
  <c r="I109" i="46"/>
  <c r="L107" i="46"/>
  <c r="BI11" i="44" s="1"/>
  <c r="BG26" i="44"/>
  <c r="D56" i="47" s="1"/>
  <c r="L11" i="46"/>
  <c r="BI17" i="44" s="1"/>
  <c r="I13" i="46"/>
  <c r="BG20" i="44"/>
  <c r="D8" i="47" s="1"/>
  <c r="BG24" i="44"/>
  <c r="D24" i="47" s="1"/>
  <c r="L43" i="46"/>
  <c r="BI13" i="44" s="1"/>
  <c r="I45" i="46"/>
  <c r="P10" i="50"/>
  <c r="AA3" i="44" s="1"/>
  <c r="Z3" i="44"/>
  <c r="I6" i="52" s="1"/>
  <c r="P11" i="50"/>
  <c r="AA4" i="44" s="1"/>
  <c r="K4" i="45"/>
  <c r="A5" i="45"/>
  <c r="N4" i="45"/>
  <c r="AA4" i="45"/>
  <c r="I4" i="45"/>
  <c r="H4" i="45"/>
  <c r="F4" i="45"/>
  <c r="Z4" i="45"/>
  <c r="Q4" i="45"/>
  <c r="W4" i="45"/>
  <c r="S4" i="45"/>
  <c r="B89" i="43"/>
  <c r="A89" i="43"/>
  <c r="B90" i="43"/>
  <c r="A90" i="43"/>
  <c r="B93" i="43"/>
  <c r="A93" i="43"/>
  <c r="B92" i="43"/>
  <c r="A92" i="43"/>
  <c r="B87" i="43"/>
  <c r="A87" i="43"/>
  <c r="B88" i="43"/>
  <c r="A88" i="43"/>
  <c r="D39" i="44"/>
  <c r="D12" i="44"/>
  <c r="D33" i="44"/>
  <c r="D20" i="44"/>
  <c r="D23" i="44"/>
  <c r="D22" i="44"/>
  <c r="D13" i="44"/>
  <c r="D36" i="44"/>
  <c r="D19" i="44"/>
  <c r="D21" i="44"/>
  <c r="D58" i="44"/>
  <c r="D54" i="44"/>
  <c r="D35" i="44"/>
  <c r="D41" i="44"/>
  <c r="D56" i="44"/>
  <c r="D50" i="44"/>
  <c r="D45" i="44"/>
  <c r="D28" i="44"/>
  <c r="D53" i="44"/>
  <c r="D30" i="44"/>
  <c r="D46" i="44"/>
  <c r="D44" i="44"/>
  <c r="D27" i="44"/>
  <c r="D29" i="44"/>
  <c r="D18" i="44"/>
  <c r="D38" i="44"/>
  <c r="D49" i="44"/>
  <c r="D59" i="44"/>
  <c r="D64" i="44"/>
  <c r="D31" i="44"/>
  <c r="D63" i="44"/>
  <c r="D42" i="44"/>
  <c r="D37" i="44"/>
  <c r="D51" i="44"/>
  <c r="D43" i="44"/>
  <c r="D52" i="44"/>
  <c r="D16" i="44"/>
  <c r="D47" i="44"/>
  <c r="D24" i="44"/>
  <c r="D17" i="44"/>
  <c r="D40" i="44"/>
  <c r="D15" i="44"/>
  <c r="D11" i="44"/>
  <c r="D25" i="44"/>
  <c r="D14" i="44"/>
  <c r="D34" i="44"/>
  <c r="D55" i="44"/>
  <c r="D65" i="44"/>
  <c r="D57" i="44"/>
  <c r="D60" i="44"/>
  <c r="D66" i="44"/>
  <c r="D61" i="44"/>
  <c r="D32" i="44"/>
  <c r="D26" i="44"/>
  <c r="D62" i="44"/>
  <c r="D48" i="44"/>
  <c r="B94" i="43"/>
  <c r="A94" i="43"/>
  <c r="B91" i="43"/>
  <c r="A91" i="43"/>
  <c r="D8" i="44" s="1"/>
  <c r="B8" i="44" s="1"/>
  <c r="D36" i="46" s="1"/>
  <c r="R1" i="38"/>
  <c r="R1" i="25"/>
  <c r="R1" i="24"/>
  <c r="R1" i="16"/>
  <c r="R1" i="29"/>
  <c r="R1" i="22"/>
  <c r="R1" i="28"/>
  <c r="R1" i="37"/>
  <c r="R1" i="36"/>
  <c r="R1" i="34"/>
  <c r="R1" i="40"/>
  <c r="R1" i="21"/>
  <c r="R1" i="19"/>
  <c r="R1" i="27"/>
  <c r="R1" i="32"/>
  <c r="S1" i="10"/>
  <c r="S1" i="11"/>
  <c r="R1" i="18"/>
  <c r="R1" i="33"/>
  <c r="B4" i="45" l="1"/>
  <c r="E7" i="47"/>
  <c r="H7" i="47"/>
  <c r="AT17" i="44" s="1"/>
  <c r="D5" i="48" s="1"/>
  <c r="H14" i="47"/>
  <c r="AT12" i="44" s="1"/>
  <c r="D8" i="48" s="1"/>
  <c r="E11" i="47"/>
  <c r="H30" i="47"/>
  <c r="AT16" i="44" s="1"/>
  <c r="D16" i="48" s="1"/>
  <c r="E27" i="47"/>
  <c r="AA5" i="44"/>
  <c r="AC5" i="44"/>
  <c r="H39" i="47"/>
  <c r="AT15" i="44" s="1"/>
  <c r="D21" i="48" s="1"/>
  <c r="E39" i="47"/>
  <c r="H46" i="47"/>
  <c r="AT14" i="44" s="1"/>
  <c r="D24" i="48" s="1"/>
  <c r="E43" i="47"/>
  <c r="AC6" i="44"/>
  <c r="AA6" i="44"/>
  <c r="L6" i="52"/>
  <c r="N3" i="44" s="1"/>
  <c r="I3" i="44" s="1"/>
  <c r="B2" i="53" s="1"/>
  <c r="L7" i="52"/>
  <c r="N4" i="44" s="1"/>
  <c r="I4" i="44" s="1"/>
  <c r="B3" i="53" s="1"/>
  <c r="H23" i="47"/>
  <c r="AT13" i="44" s="1"/>
  <c r="D13" i="48" s="1"/>
  <c r="E23" i="47"/>
  <c r="E55" i="47"/>
  <c r="H55" i="47"/>
  <c r="AT11" i="44" s="1"/>
  <c r="D29" i="48" s="1"/>
  <c r="H62" i="47"/>
  <c r="AT18" i="44" s="1"/>
  <c r="D32" i="48" s="1"/>
  <c r="E59" i="47"/>
  <c r="L17" i="52"/>
  <c r="P6" i="44" s="1"/>
  <c r="I6" i="44" s="1"/>
  <c r="B5" i="53" s="1"/>
  <c r="L16" i="52"/>
  <c r="P5" i="44" s="1"/>
  <c r="I5" i="44" s="1"/>
  <c r="B4" i="53" s="1"/>
  <c r="H38" i="46"/>
  <c r="E35" i="46"/>
  <c r="D4" i="44"/>
  <c r="B4" i="44" s="1"/>
  <c r="D129" i="46" s="1"/>
  <c r="D5" i="44"/>
  <c r="B5" i="44" s="1"/>
  <c r="D68" i="46" s="1"/>
  <c r="D9" i="44"/>
  <c r="B9" i="44" s="1"/>
  <c r="D33" i="46" s="1"/>
  <c r="D6" i="44"/>
  <c r="B6" i="44" s="1"/>
  <c r="D65" i="46" s="1"/>
  <c r="D3" i="44"/>
  <c r="B3" i="44" s="1"/>
  <c r="D4" i="46" s="1"/>
  <c r="D10" i="44"/>
  <c r="B10" i="44" s="1"/>
  <c r="D100" i="46" s="1"/>
  <c r="D7" i="44"/>
  <c r="B7" i="44" s="1"/>
  <c r="D97" i="46" s="1"/>
  <c r="R1" i="12"/>
  <c r="I9" i="12" l="1"/>
  <c r="Q8" i="12"/>
  <c r="Q6" i="12"/>
  <c r="E9" i="12"/>
  <c r="Q7" i="12"/>
  <c r="M7" i="12"/>
  <c r="M9" i="12"/>
  <c r="I6" i="12"/>
  <c r="E7" i="12"/>
  <c r="M6" i="12"/>
  <c r="I8" i="12"/>
  <c r="E8" i="12"/>
  <c r="F35" i="54"/>
  <c r="F12" i="54"/>
  <c r="F119" i="54"/>
  <c r="F71" i="54"/>
  <c r="F110" i="54"/>
  <c r="F174" i="54"/>
  <c r="F118" i="54"/>
  <c r="F159" i="54"/>
  <c r="F23" i="54"/>
  <c r="F143" i="54"/>
  <c r="F100" i="54"/>
  <c r="F133" i="54"/>
  <c r="F86" i="54"/>
  <c r="F166" i="54"/>
  <c r="F22" i="54"/>
  <c r="F109" i="54"/>
  <c r="F155" i="54"/>
  <c r="F98" i="54"/>
  <c r="F103" i="54"/>
  <c r="F187" i="54"/>
  <c r="F172" i="54"/>
  <c r="F142" i="54"/>
  <c r="F57" i="54"/>
  <c r="F55" i="54"/>
  <c r="F45" i="54"/>
  <c r="F176" i="54"/>
  <c r="F72" i="54"/>
  <c r="F104" i="54"/>
  <c r="F192" i="54"/>
  <c r="F54" i="54"/>
  <c r="F136" i="54"/>
  <c r="F41" i="54"/>
  <c r="F125" i="54"/>
  <c r="F49" i="54"/>
  <c r="F50" i="54"/>
  <c r="F8" i="54"/>
  <c r="F30" i="54"/>
  <c r="F73" i="54"/>
  <c r="F158" i="54"/>
  <c r="F168" i="54"/>
  <c r="F184" i="54"/>
  <c r="F20" i="54"/>
  <c r="F175" i="54"/>
  <c r="F44" i="54"/>
  <c r="F95" i="54"/>
  <c r="F47" i="54"/>
  <c r="F160" i="54"/>
  <c r="F39" i="54"/>
  <c r="F141" i="54"/>
  <c r="F29" i="54"/>
  <c r="F167" i="54"/>
  <c r="F182" i="54"/>
  <c r="F114" i="54"/>
  <c r="F135" i="54"/>
  <c r="F144" i="54"/>
  <c r="F130" i="54"/>
  <c r="F181" i="54"/>
  <c r="F137" i="54"/>
  <c r="F171" i="54"/>
  <c r="F88" i="54"/>
  <c r="F115" i="54"/>
  <c r="F96" i="54"/>
  <c r="F43" i="54"/>
  <c r="F131" i="54"/>
  <c r="F128" i="54"/>
  <c r="F59" i="54"/>
  <c r="F164" i="54"/>
  <c r="F9" i="54"/>
  <c r="F75" i="54"/>
  <c r="F180" i="54"/>
  <c r="F150" i="54"/>
  <c r="F178" i="54"/>
  <c r="F193" i="54"/>
  <c r="F79" i="54"/>
  <c r="F194" i="54"/>
  <c r="F77" i="54"/>
  <c r="F111" i="54"/>
  <c r="F156" i="54"/>
  <c r="F24" i="54"/>
  <c r="F127" i="54"/>
  <c r="F140" i="54"/>
  <c r="F66" i="54"/>
  <c r="F10" i="54"/>
  <c r="F40" i="54"/>
  <c r="F173" i="54"/>
  <c r="F6" i="54"/>
  <c r="F5" i="54"/>
  <c r="F189" i="54"/>
  <c r="F61" i="54"/>
  <c r="F190" i="54"/>
  <c r="F126" i="54"/>
  <c r="F93" i="54"/>
  <c r="F134" i="54"/>
  <c r="F191" i="54"/>
  <c r="F165" i="54"/>
  <c r="F74" i="54"/>
  <c r="F179" i="54"/>
  <c r="F153" i="54"/>
  <c r="F169" i="54"/>
  <c r="F188" i="54"/>
  <c r="F163" i="54"/>
  <c r="F112" i="54"/>
  <c r="F123" i="54"/>
  <c r="F145" i="54"/>
  <c r="F31" i="54"/>
  <c r="F146" i="54"/>
  <c r="F78" i="54"/>
  <c r="F64" i="54"/>
  <c r="F162" i="54"/>
  <c r="F14" i="54"/>
  <c r="F157" i="54"/>
  <c r="F185" i="54"/>
  <c r="F52" i="54"/>
  <c r="F34" i="54"/>
  <c r="F58" i="54"/>
  <c r="F105" i="54"/>
  <c r="F106" i="54"/>
  <c r="F113" i="54"/>
  <c r="F62" i="54"/>
  <c r="F37" i="54"/>
  <c r="F28" i="54"/>
  <c r="F83" i="54"/>
  <c r="F17" i="54"/>
  <c r="F27" i="54"/>
  <c r="F99" i="54"/>
  <c r="F32" i="54"/>
  <c r="F60" i="54"/>
  <c r="F51" i="54"/>
  <c r="F48" i="54"/>
  <c r="F42" i="54"/>
  <c r="F161" i="54"/>
  <c r="F151" i="54"/>
  <c r="F70" i="54"/>
  <c r="F177" i="54"/>
  <c r="F63" i="54"/>
  <c r="F147" i="54"/>
  <c r="F148" i="54"/>
  <c r="F139" i="54"/>
  <c r="F56" i="54"/>
  <c r="F132" i="54"/>
  <c r="F4" i="54"/>
  <c r="F81" i="54"/>
  <c r="F11" i="54"/>
  <c r="F21" i="54"/>
  <c r="F15" i="54"/>
  <c r="F67" i="54"/>
  <c r="F101" i="54"/>
  <c r="F92" i="54"/>
  <c r="F138" i="54"/>
  <c r="F80" i="54"/>
  <c r="F91" i="54"/>
  <c r="F38" i="54"/>
  <c r="F87" i="54"/>
  <c r="F120" i="54"/>
  <c r="F94" i="54"/>
  <c r="F18" i="54"/>
  <c r="F102" i="54"/>
  <c r="F121" i="54"/>
  <c r="F13" i="54"/>
  <c r="F129" i="54"/>
  <c r="F36" i="54"/>
  <c r="F53" i="54"/>
  <c r="F65" i="54"/>
  <c r="F3" i="54"/>
  <c r="F152" i="54"/>
  <c r="F82" i="54"/>
  <c r="F89" i="54"/>
  <c r="F90" i="54"/>
  <c r="F97" i="54"/>
  <c r="F84" i="54"/>
  <c r="F122" i="54"/>
  <c r="F16" i="54"/>
  <c r="F19" i="54"/>
  <c r="F26" i="54"/>
  <c r="F124" i="54"/>
  <c r="F186" i="54"/>
  <c r="F69" i="54"/>
  <c r="F7" i="54"/>
  <c r="F68" i="54"/>
  <c r="F85" i="54"/>
  <c r="F76" i="54"/>
  <c r="F154" i="54"/>
  <c r="F117" i="54"/>
  <c r="F108" i="54"/>
  <c r="F170" i="54"/>
  <c r="F46" i="54"/>
  <c r="F107" i="54"/>
  <c r="F25" i="54"/>
  <c r="F33" i="54"/>
  <c r="F149" i="54"/>
  <c r="F116" i="54"/>
  <c r="F183" i="54"/>
  <c r="B5" i="45"/>
  <c r="H6" i="46"/>
  <c r="E3" i="46"/>
  <c r="G78" i="54"/>
  <c r="G24" i="54"/>
  <c r="G103" i="54"/>
  <c r="G190" i="54"/>
  <c r="G102" i="54"/>
  <c r="G33" i="54"/>
  <c r="G97" i="54"/>
  <c r="G129" i="54"/>
  <c r="G143" i="54"/>
  <c r="G15" i="54"/>
  <c r="G76" i="54"/>
  <c r="G124" i="54"/>
  <c r="G42" i="54"/>
  <c r="G59" i="54"/>
  <c r="G146" i="54"/>
  <c r="G153" i="54"/>
  <c r="G156" i="54"/>
  <c r="G98" i="54"/>
  <c r="G61" i="54"/>
  <c r="G125" i="54"/>
  <c r="G54" i="54"/>
  <c r="G18" i="54"/>
  <c r="G174" i="54"/>
  <c r="G184" i="54"/>
  <c r="G90" i="54"/>
  <c r="G21" i="54"/>
  <c r="G85" i="54"/>
  <c r="G117" i="54"/>
  <c r="G48" i="54"/>
  <c r="G31" i="54"/>
  <c r="G95" i="54"/>
  <c r="G127" i="54"/>
  <c r="G155" i="54"/>
  <c r="G182" i="54"/>
  <c r="G189" i="54"/>
  <c r="G192" i="54"/>
  <c r="G94" i="54"/>
  <c r="G25" i="54"/>
  <c r="G89" i="54"/>
  <c r="G121" i="54"/>
  <c r="G11" i="54"/>
  <c r="G68" i="54"/>
  <c r="G116" i="54"/>
  <c r="G51" i="54"/>
  <c r="G138" i="54"/>
  <c r="G145" i="54"/>
  <c r="G148" i="54"/>
  <c r="G77" i="54"/>
  <c r="G139" i="54"/>
  <c r="G167" i="54"/>
  <c r="G5" i="54"/>
  <c r="G104" i="54"/>
  <c r="G71" i="54"/>
  <c r="G135" i="54"/>
  <c r="G142" i="54"/>
  <c r="G168" i="54"/>
  <c r="G82" i="54"/>
  <c r="G134" i="54"/>
  <c r="G58" i="54"/>
  <c r="G81" i="54"/>
  <c r="G113" i="54"/>
  <c r="G7" i="54"/>
  <c r="G60" i="54"/>
  <c r="G108" i="54"/>
  <c r="G43" i="54"/>
  <c r="G179" i="54"/>
  <c r="G194" i="54"/>
  <c r="G140" i="54"/>
  <c r="G22" i="54"/>
  <c r="G130" i="54"/>
  <c r="G29" i="54"/>
  <c r="G6" i="54"/>
  <c r="G72" i="54"/>
  <c r="G87" i="54"/>
  <c r="G158" i="54"/>
  <c r="G152" i="54"/>
  <c r="G34" i="54"/>
  <c r="G122" i="54"/>
  <c r="G4" i="54"/>
  <c r="G69" i="54"/>
  <c r="G32" i="54"/>
  <c r="G96" i="54"/>
  <c r="G74" i="54"/>
  <c r="G79" i="54"/>
  <c r="G111" i="54"/>
  <c r="G166" i="54"/>
  <c r="G173" i="54"/>
  <c r="G176" i="54"/>
  <c r="G38" i="54"/>
  <c r="G126" i="54"/>
  <c r="G12" i="54"/>
  <c r="G73" i="54"/>
  <c r="G105" i="54"/>
  <c r="G3" i="54"/>
  <c r="G52" i="54"/>
  <c r="G35" i="54"/>
  <c r="G99" i="54"/>
  <c r="G131" i="54"/>
  <c r="G163" i="54"/>
  <c r="G186" i="54"/>
  <c r="G193" i="54"/>
  <c r="G45" i="54"/>
  <c r="G109" i="54"/>
  <c r="G88" i="54"/>
  <c r="G39" i="54"/>
  <c r="G136" i="54"/>
  <c r="G30" i="54"/>
  <c r="G118" i="54"/>
  <c r="G65" i="54"/>
  <c r="G86" i="54"/>
  <c r="G44" i="54"/>
  <c r="G27" i="54"/>
  <c r="G91" i="54"/>
  <c r="G123" i="54"/>
  <c r="G147" i="54"/>
  <c r="G178" i="54"/>
  <c r="G185" i="54"/>
  <c r="G188" i="54"/>
  <c r="G114" i="54"/>
  <c r="G40" i="54"/>
  <c r="G55" i="54"/>
  <c r="G119" i="54"/>
  <c r="G171" i="54"/>
  <c r="G165" i="54"/>
  <c r="G8" i="54"/>
  <c r="G106" i="54"/>
  <c r="G53" i="54"/>
  <c r="G183" i="54"/>
  <c r="G26" i="54"/>
  <c r="G17" i="54"/>
  <c r="G80" i="54"/>
  <c r="G128" i="54"/>
  <c r="G46" i="54"/>
  <c r="G63" i="54"/>
  <c r="G150" i="54"/>
  <c r="G141" i="54"/>
  <c r="G157" i="54"/>
  <c r="G160" i="54"/>
  <c r="G10" i="54"/>
  <c r="G110" i="54"/>
  <c r="G57" i="54"/>
  <c r="G191" i="54"/>
  <c r="G50" i="54"/>
  <c r="G36" i="54"/>
  <c r="G100" i="54"/>
  <c r="G19" i="54"/>
  <c r="G83" i="54"/>
  <c r="G115" i="54"/>
  <c r="G170" i="54"/>
  <c r="G177" i="54"/>
  <c r="G180" i="54"/>
  <c r="G14" i="54"/>
  <c r="G56" i="54"/>
  <c r="G120" i="54"/>
  <c r="G66" i="54"/>
  <c r="G181" i="54"/>
  <c r="G49" i="54"/>
  <c r="G175" i="54"/>
  <c r="G16" i="54"/>
  <c r="G28" i="54"/>
  <c r="G92" i="54"/>
  <c r="G70" i="54"/>
  <c r="G75" i="54"/>
  <c r="G107" i="54"/>
  <c r="G162" i="54"/>
  <c r="G169" i="54"/>
  <c r="G172" i="54"/>
  <c r="G93" i="54"/>
  <c r="G13" i="54"/>
  <c r="G23" i="54"/>
  <c r="G149" i="54"/>
  <c r="G37" i="54"/>
  <c r="G101" i="54"/>
  <c r="G133" i="54"/>
  <c r="G151" i="54"/>
  <c r="G9" i="54"/>
  <c r="G64" i="54"/>
  <c r="G112" i="54"/>
  <c r="G47" i="54"/>
  <c r="G187" i="54"/>
  <c r="G144" i="54"/>
  <c r="G41" i="54"/>
  <c r="G137" i="54"/>
  <c r="G159" i="54"/>
  <c r="G20" i="54"/>
  <c r="G84" i="54"/>
  <c r="G132" i="54"/>
  <c r="G62" i="54"/>
  <c r="G67" i="54"/>
  <c r="G154" i="54"/>
  <c r="G161" i="54"/>
  <c r="G164" i="54"/>
  <c r="H63" i="46"/>
  <c r="E63" i="46"/>
  <c r="H31" i="46"/>
  <c r="E31" i="46"/>
  <c r="E95" i="46"/>
  <c r="H95" i="46"/>
  <c r="E67" i="46"/>
  <c r="H70" i="46"/>
  <c r="H102" i="46"/>
  <c r="E99" i="46"/>
  <c r="H127" i="46"/>
  <c r="E127" i="46"/>
  <c r="L42" i="46"/>
  <c r="I37" i="46"/>
  <c r="BG8" i="44"/>
  <c r="D20" i="47" s="1"/>
  <c r="S1" i="12"/>
  <c r="C4" i="45" l="1"/>
  <c r="H22" i="47"/>
  <c r="E19" i="47"/>
  <c r="BG7" i="44"/>
  <c r="D49" i="47" s="1"/>
  <c r="L91" i="46"/>
  <c r="I93" i="46"/>
  <c r="M41" i="46"/>
  <c r="P50" i="46"/>
  <c r="BI8" i="44"/>
  <c r="I101" i="46"/>
  <c r="L106" i="46"/>
  <c r="BG10" i="44"/>
  <c r="D52" i="47" s="1"/>
  <c r="BG9" i="44"/>
  <c r="D17" i="47" s="1"/>
  <c r="L27" i="46"/>
  <c r="I29" i="46"/>
  <c r="L74" i="46"/>
  <c r="I69" i="46"/>
  <c r="BG5" i="44"/>
  <c r="D36" i="47" s="1"/>
  <c r="BG6" i="44"/>
  <c r="D33" i="47" s="1"/>
  <c r="I61" i="46"/>
  <c r="L59" i="46"/>
  <c r="BG4" i="44"/>
  <c r="D65" i="47" s="1"/>
  <c r="L123" i="46"/>
  <c r="I125" i="46"/>
  <c r="I5" i="46"/>
  <c r="L10" i="46"/>
  <c r="BG3" i="44"/>
  <c r="D4" i="47" s="1"/>
  <c r="R1" i="13"/>
  <c r="Q8" i="13" l="1"/>
  <c r="E7" i="13"/>
  <c r="M6" i="13"/>
  <c r="E9" i="13"/>
  <c r="I9" i="13"/>
  <c r="E8" i="13"/>
  <c r="I6" i="13"/>
  <c r="M7" i="13"/>
  <c r="Q6" i="13"/>
  <c r="Q7" i="13"/>
  <c r="I8" i="13"/>
  <c r="M9" i="13"/>
  <c r="C5" i="45"/>
  <c r="H6" i="47"/>
  <c r="E3" i="47"/>
  <c r="H45" i="54"/>
  <c r="H139" i="54"/>
  <c r="H88" i="54"/>
  <c r="H104" i="54"/>
  <c r="H39" i="54"/>
  <c r="H135" i="54"/>
  <c r="H142" i="54"/>
  <c r="H190" i="54"/>
  <c r="H30" i="54"/>
  <c r="H134" i="54"/>
  <c r="H65" i="54"/>
  <c r="H113" i="54"/>
  <c r="H86" i="54"/>
  <c r="H44" i="54"/>
  <c r="H108" i="54"/>
  <c r="H27" i="54"/>
  <c r="H91" i="54"/>
  <c r="H146" i="54"/>
  <c r="H153" i="54"/>
  <c r="H140" i="54"/>
  <c r="H156" i="54"/>
  <c r="H130" i="54"/>
  <c r="H40" i="54"/>
  <c r="H55" i="54"/>
  <c r="H174" i="54"/>
  <c r="H184" i="54"/>
  <c r="H8" i="54"/>
  <c r="H122" i="54"/>
  <c r="H53" i="54"/>
  <c r="H26" i="54"/>
  <c r="H17" i="54"/>
  <c r="H80" i="54"/>
  <c r="H46" i="54"/>
  <c r="H63" i="54"/>
  <c r="H111" i="54"/>
  <c r="H155" i="54"/>
  <c r="H182" i="54"/>
  <c r="H189" i="54"/>
  <c r="H192" i="54"/>
  <c r="H10" i="54"/>
  <c r="H126" i="54"/>
  <c r="H57" i="54"/>
  <c r="H105" i="54"/>
  <c r="H50" i="54"/>
  <c r="H36" i="54"/>
  <c r="H100" i="54"/>
  <c r="H19" i="54"/>
  <c r="H83" i="54"/>
  <c r="H131" i="54"/>
  <c r="H145" i="54"/>
  <c r="H148" i="54"/>
  <c r="H14" i="54"/>
  <c r="H109" i="54"/>
  <c r="H167" i="54"/>
  <c r="H56" i="54"/>
  <c r="H66" i="54"/>
  <c r="H136" i="54"/>
  <c r="H168" i="54"/>
  <c r="H118" i="54"/>
  <c r="H49" i="54"/>
  <c r="H16" i="54"/>
  <c r="H28" i="54"/>
  <c r="H92" i="54"/>
  <c r="H70" i="54"/>
  <c r="H75" i="54"/>
  <c r="H123" i="54"/>
  <c r="H179" i="54"/>
  <c r="H194" i="54"/>
  <c r="H114" i="54"/>
  <c r="H93" i="54"/>
  <c r="H13" i="54"/>
  <c r="H23" i="54"/>
  <c r="H119" i="54"/>
  <c r="H158" i="54"/>
  <c r="H152" i="54"/>
  <c r="H106" i="54"/>
  <c r="H37" i="54"/>
  <c r="H101" i="54"/>
  <c r="H9" i="54"/>
  <c r="H64" i="54"/>
  <c r="H128" i="54"/>
  <c r="H47" i="54"/>
  <c r="H166" i="54"/>
  <c r="H141" i="54"/>
  <c r="H173" i="54"/>
  <c r="H176" i="54"/>
  <c r="H110" i="54"/>
  <c r="H41" i="54"/>
  <c r="H20" i="54"/>
  <c r="H84" i="54"/>
  <c r="H62" i="54"/>
  <c r="H67" i="54"/>
  <c r="H115" i="54"/>
  <c r="H163" i="54"/>
  <c r="H186" i="54"/>
  <c r="H193" i="54"/>
  <c r="H78" i="54"/>
  <c r="H24" i="54"/>
  <c r="H120" i="54"/>
  <c r="H103" i="54"/>
  <c r="H102" i="54"/>
  <c r="H33" i="54"/>
  <c r="H97" i="54"/>
  <c r="H15" i="54"/>
  <c r="H76" i="54"/>
  <c r="H42" i="54"/>
  <c r="H59" i="54"/>
  <c r="H107" i="54"/>
  <c r="H147" i="54"/>
  <c r="H178" i="54"/>
  <c r="H185" i="54"/>
  <c r="H188" i="54"/>
  <c r="H98" i="54"/>
  <c r="H61" i="54"/>
  <c r="H54" i="54"/>
  <c r="H18" i="54"/>
  <c r="H171" i="54"/>
  <c r="H165" i="54"/>
  <c r="H90" i="54"/>
  <c r="H21" i="54"/>
  <c r="H85" i="54"/>
  <c r="H133" i="54"/>
  <c r="H183" i="54"/>
  <c r="H48" i="54"/>
  <c r="H112" i="54"/>
  <c r="H31" i="54"/>
  <c r="H95" i="54"/>
  <c r="H150" i="54"/>
  <c r="H157" i="54"/>
  <c r="H160" i="54"/>
  <c r="H94" i="54"/>
  <c r="H25" i="54"/>
  <c r="H89" i="54"/>
  <c r="H137" i="54"/>
  <c r="H191" i="54"/>
  <c r="H11" i="54"/>
  <c r="H68" i="54"/>
  <c r="H132" i="54"/>
  <c r="H51" i="54"/>
  <c r="H170" i="54"/>
  <c r="H177" i="54"/>
  <c r="H180" i="54"/>
  <c r="H77" i="54"/>
  <c r="H5" i="54"/>
  <c r="H71" i="54"/>
  <c r="H181" i="54"/>
  <c r="H82" i="54"/>
  <c r="H58" i="54"/>
  <c r="H81" i="54"/>
  <c r="H129" i="54"/>
  <c r="H143" i="54"/>
  <c r="H175" i="54"/>
  <c r="H7" i="54"/>
  <c r="H60" i="54"/>
  <c r="H124" i="54"/>
  <c r="H43" i="54"/>
  <c r="H162" i="54"/>
  <c r="H169" i="54"/>
  <c r="H172" i="54"/>
  <c r="H22" i="54"/>
  <c r="H29" i="54"/>
  <c r="H125" i="54"/>
  <c r="H6" i="54"/>
  <c r="H72" i="54"/>
  <c r="H87" i="54"/>
  <c r="H149" i="54"/>
  <c r="H34" i="54"/>
  <c r="H4" i="54"/>
  <c r="H69" i="54"/>
  <c r="H117" i="54"/>
  <c r="H151" i="54"/>
  <c r="H32" i="54"/>
  <c r="H96" i="54"/>
  <c r="H74" i="54"/>
  <c r="H79" i="54"/>
  <c r="H127" i="54"/>
  <c r="H187" i="54"/>
  <c r="H144" i="54"/>
  <c r="H38" i="54"/>
  <c r="H12" i="54"/>
  <c r="H73" i="54"/>
  <c r="H121" i="54"/>
  <c r="H159" i="54"/>
  <c r="H3" i="54"/>
  <c r="H52" i="54"/>
  <c r="H116" i="54"/>
  <c r="H35" i="54"/>
  <c r="H99" i="54"/>
  <c r="H138" i="54"/>
  <c r="H154" i="54"/>
  <c r="H161" i="54"/>
  <c r="H164" i="54"/>
  <c r="H63" i="47"/>
  <c r="E63" i="47"/>
  <c r="P82" i="46"/>
  <c r="M73" i="46"/>
  <c r="BI5" i="44"/>
  <c r="BI7" i="44"/>
  <c r="P83" i="46"/>
  <c r="BK7" i="44" s="1"/>
  <c r="M89" i="46"/>
  <c r="H31" i="47"/>
  <c r="E31" i="47"/>
  <c r="E51" i="47"/>
  <c r="H54" i="47"/>
  <c r="BK8" i="44"/>
  <c r="H47" i="47"/>
  <c r="E47" i="47"/>
  <c r="BI4" i="44"/>
  <c r="P115" i="46"/>
  <c r="BK4" i="44" s="1"/>
  <c r="M121" i="46"/>
  <c r="H38" i="47"/>
  <c r="E35" i="47"/>
  <c r="BI9" i="44"/>
  <c r="P19" i="46"/>
  <c r="BK9" i="44" s="1"/>
  <c r="M25" i="46"/>
  <c r="P114" i="46"/>
  <c r="M105" i="46"/>
  <c r="BI10" i="44"/>
  <c r="M9" i="46"/>
  <c r="P18" i="46"/>
  <c r="BI3" i="44"/>
  <c r="BI6" i="44"/>
  <c r="P51" i="46"/>
  <c r="BK6" i="44" s="1"/>
  <c r="M57" i="46"/>
  <c r="H15" i="47"/>
  <c r="E15" i="47"/>
  <c r="L26" i="47"/>
  <c r="I21" i="47"/>
  <c r="AT8" i="44"/>
  <c r="D12" i="48" s="1"/>
  <c r="S1" i="13"/>
  <c r="D4" i="45" l="1"/>
  <c r="T34" i="46"/>
  <c r="Q17" i="46"/>
  <c r="BK3" i="44"/>
  <c r="AV8" i="44"/>
  <c r="I37" i="47"/>
  <c r="L42" i="47"/>
  <c r="AT5" i="44"/>
  <c r="D20" i="48" s="1"/>
  <c r="T35" i="46"/>
  <c r="BM6" i="44" s="1"/>
  <c r="AT6" i="44"/>
  <c r="D17" i="48" s="1"/>
  <c r="I29" i="47"/>
  <c r="L27" i="47"/>
  <c r="AV6" i="44" s="1"/>
  <c r="AT4" i="44"/>
  <c r="D33" i="48" s="1"/>
  <c r="I61" i="47"/>
  <c r="L59" i="47"/>
  <c r="AV4" i="44" s="1"/>
  <c r="AT7" i="44"/>
  <c r="D25" i="48" s="1"/>
  <c r="L43" i="47"/>
  <c r="AV7" i="44" s="1"/>
  <c r="I45" i="47"/>
  <c r="I53" i="47"/>
  <c r="L58" i="47"/>
  <c r="AT10" i="44"/>
  <c r="D28" i="48" s="1"/>
  <c r="D8" i="49"/>
  <c r="E11" i="48"/>
  <c r="H14" i="48"/>
  <c r="AT9" i="44"/>
  <c r="D9" i="48" s="1"/>
  <c r="I13" i="47"/>
  <c r="L11" i="47"/>
  <c r="AV9" i="44" s="1"/>
  <c r="Q81" i="46"/>
  <c r="T98" i="46"/>
  <c r="BK5" i="44"/>
  <c r="T99" i="46"/>
  <c r="BM4" i="44" s="1"/>
  <c r="Q113" i="46"/>
  <c r="BK10" i="44"/>
  <c r="Q49" i="46"/>
  <c r="L10" i="47"/>
  <c r="I5" i="47"/>
  <c r="AT3" i="44"/>
  <c r="D4" i="48" s="1"/>
  <c r="R1" i="14"/>
  <c r="Q6" i="14" l="1"/>
  <c r="Q7" i="14"/>
  <c r="E7" i="14"/>
  <c r="M7" i="14"/>
  <c r="M9" i="14"/>
  <c r="I8" i="14"/>
  <c r="I6" i="14"/>
  <c r="Q8" i="14"/>
  <c r="E9" i="14"/>
  <c r="I9" i="14"/>
  <c r="E8" i="14"/>
  <c r="M6" i="14"/>
  <c r="D5" i="45"/>
  <c r="P18" i="47"/>
  <c r="M9" i="47"/>
  <c r="AV3" i="44"/>
  <c r="M41" i="47"/>
  <c r="P50" i="47"/>
  <c r="AV5" i="44"/>
  <c r="M25" i="47"/>
  <c r="D4" i="49"/>
  <c r="E3" i="48"/>
  <c r="H6" i="48"/>
  <c r="I77" i="54"/>
  <c r="I109" i="54"/>
  <c r="I167" i="54"/>
  <c r="I5" i="54"/>
  <c r="I104" i="54"/>
  <c r="I120" i="54"/>
  <c r="I71" i="54"/>
  <c r="I168" i="54"/>
  <c r="I82" i="54"/>
  <c r="I58" i="54"/>
  <c r="I81" i="54"/>
  <c r="I7" i="54"/>
  <c r="I60" i="54"/>
  <c r="I43" i="54"/>
  <c r="I123" i="54"/>
  <c r="I179" i="54"/>
  <c r="I194" i="54"/>
  <c r="I22" i="54"/>
  <c r="I29" i="54"/>
  <c r="I6" i="54"/>
  <c r="I72" i="54"/>
  <c r="I87" i="54"/>
  <c r="I119" i="54"/>
  <c r="I158" i="54"/>
  <c r="I152" i="54"/>
  <c r="I34" i="54"/>
  <c r="I4" i="54"/>
  <c r="I69" i="54"/>
  <c r="I32" i="54"/>
  <c r="I96" i="54"/>
  <c r="I112" i="54"/>
  <c r="I74" i="54"/>
  <c r="I79" i="54"/>
  <c r="I166" i="54"/>
  <c r="I141" i="54"/>
  <c r="I173" i="54"/>
  <c r="I176" i="54"/>
  <c r="I38" i="54"/>
  <c r="I12" i="54"/>
  <c r="I73" i="54"/>
  <c r="I3" i="54"/>
  <c r="I52" i="54"/>
  <c r="I132" i="54"/>
  <c r="I35" i="54"/>
  <c r="I99" i="54"/>
  <c r="I115" i="54"/>
  <c r="I163" i="54"/>
  <c r="I186" i="54"/>
  <c r="I193" i="54"/>
  <c r="I45" i="54"/>
  <c r="I88" i="54"/>
  <c r="I39" i="54"/>
  <c r="I30" i="54"/>
  <c r="I65" i="54"/>
  <c r="I86" i="54"/>
  <c r="I44" i="54"/>
  <c r="I124" i="54"/>
  <c r="I27" i="54"/>
  <c r="I91" i="54"/>
  <c r="I107" i="54"/>
  <c r="I147" i="54"/>
  <c r="I178" i="54"/>
  <c r="I185" i="54"/>
  <c r="I188" i="54"/>
  <c r="I40" i="54"/>
  <c r="I55" i="54"/>
  <c r="I171" i="54"/>
  <c r="I165" i="54"/>
  <c r="I8" i="54"/>
  <c r="I53" i="54"/>
  <c r="I133" i="54"/>
  <c r="I183" i="54"/>
  <c r="I26" i="54"/>
  <c r="I17" i="54"/>
  <c r="I80" i="54"/>
  <c r="I46" i="54"/>
  <c r="I63" i="54"/>
  <c r="I150" i="54"/>
  <c r="I157" i="54"/>
  <c r="I160" i="54"/>
  <c r="I10" i="54"/>
  <c r="I57" i="54"/>
  <c r="I137" i="54"/>
  <c r="I191" i="54"/>
  <c r="I50" i="54"/>
  <c r="I36" i="54"/>
  <c r="I100" i="54"/>
  <c r="I116" i="54"/>
  <c r="I19" i="54"/>
  <c r="I83" i="54"/>
  <c r="I138" i="54"/>
  <c r="I170" i="54"/>
  <c r="I177" i="54"/>
  <c r="I180" i="54"/>
  <c r="I14" i="54"/>
  <c r="I56" i="54"/>
  <c r="I66" i="54"/>
  <c r="I142" i="54"/>
  <c r="I181" i="54"/>
  <c r="I134" i="54"/>
  <c r="I49" i="54"/>
  <c r="I129" i="54"/>
  <c r="I143" i="54"/>
  <c r="I175" i="54"/>
  <c r="I16" i="54"/>
  <c r="I28" i="54"/>
  <c r="I92" i="54"/>
  <c r="I108" i="54"/>
  <c r="I70" i="54"/>
  <c r="I75" i="54"/>
  <c r="I162" i="54"/>
  <c r="I169" i="54"/>
  <c r="I140" i="54"/>
  <c r="I172" i="54"/>
  <c r="I130" i="54"/>
  <c r="I93" i="54"/>
  <c r="I125" i="54"/>
  <c r="I13" i="54"/>
  <c r="I23" i="54"/>
  <c r="I149" i="54"/>
  <c r="I122" i="54"/>
  <c r="I37" i="54"/>
  <c r="I101" i="54"/>
  <c r="I117" i="54"/>
  <c r="I151" i="54"/>
  <c r="I9" i="54"/>
  <c r="I64" i="54"/>
  <c r="I47" i="54"/>
  <c r="I127" i="54"/>
  <c r="I187" i="54"/>
  <c r="I144" i="54"/>
  <c r="I126" i="54"/>
  <c r="I41" i="54"/>
  <c r="I121" i="54"/>
  <c r="I159" i="54"/>
  <c r="I20" i="54"/>
  <c r="I84" i="54"/>
  <c r="I62" i="54"/>
  <c r="I67" i="54"/>
  <c r="I154" i="54"/>
  <c r="I161" i="54"/>
  <c r="I164" i="54"/>
  <c r="I78" i="54"/>
  <c r="I139" i="54"/>
  <c r="I24" i="54"/>
  <c r="I103" i="54"/>
  <c r="I135" i="54"/>
  <c r="I190" i="54"/>
  <c r="I136" i="54"/>
  <c r="I102" i="54"/>
  <c r="I118" i="54"/>
  <c r="I33" i="54"/>
  <c r="I97" i="54"/>
  <c r="I113" i="54"/>
  <c r="I15" i="54"/>
  <c r="I76" i="54"/>
  <c r="I42" i="54"/>
  <c r="I59" i="54"/>
  <c r="I146" i="54"/>
  <c r="I153" i="54"/>
  <c r="I156" i="54"/>
  <c r="I98" i="54"/>
  <c r="I114" i="54"/>
  <c r="I61" i="54"/>
  <c r="I54" i="54"/>
  <c r="I18" i="54"/>
  <c r="I174" i="54"/>
  <c r="I184" i="54"/>
  <c r="I90" i="54"/>
  <c r="I106" i="54"/>
  <c r="I21" i="54"/>
  <c r="I85" i="54"/>
  <c r="I48" i="54"/>
  <c r="I128" i="54"/>
  <c r="I31" i="54"/>
  <c r="I95" i="54"/>
  <c r="I111" i="54"/>
  <c r="I155" i="54"/>
  <c r="I182" i="54"/>
  <c r="I189" i="54"/>
  <c r="I192" i="54"/>
  <c r="I94" i="54"/>
  <c r="I110" i="54"/>
  <c r="I25" i="54"/>
  <c r="I89" i="54"/>
  <c r="I105" i="54"/>
  <c r="I11" i="54"/>
  <c r="I68" i="54"/>
  <c r="I51" i="54"/>
  <c r="I131" i="54"/>
  <c r="I145" i="54"/>
  <c r="I148" i="54"/>
  <c r="H15" i="48"/>
  <c r="AI6" i="44" s="1"/>
  <c r="D9" i="50" s="1"/>
  <c r="E15" i="48"/>
  <c r="D9" i="49"/>
  <c r="H7" i="49" s="1"/>
  <c r="U97" i="46"/>
  <c r="X67" i="46"/>
  <c r="BO4" i="44" s="1"/>
  <c r="X107" i="46"/>
  <c r="BO5" i="44" s="1"/>
  <c r="BM5" i="44"/>
  <c r="H7" i="48"/>
  <c r="AI9" i="44" s="1"/>
  <c r="D5" i="50" s="1"/>
  <c r="D5" i="49"/>
  <c r="E7" i="48"/>
  <c r="H30" i="48"/>
  <c r="D16" i="49"/>
  <c r="E27" i="48"/>
  <c r="D17" i="49"/>
  <c r="H31" i="48"/>
  <c r="AI4" i="44" s="1"/>
  <c r="D17" i="50" s="1"/>
  <c r="E31" i="48"/>
  <c r="I13" i="48"/>
  <c r="AI8" i="44"/>
  <c r="D8" i="50" s="1"/>
  <c r="P51" i="47"/>
  <c r="AX4" i="44" s="1"/>
  <c r="M57" i="47"/>
  <c r="AV10" i="44"/>
  <c r="D13" i="49"/>
  <c r="E23" i="48"/>
  <c r="H23" i="48"/>
  <c r="AI7" i="44" s="1"/>
  <c r="D13" i="50" s="1"/>
  <c r="E19" i="48"/>
  <c r="H22" i="48"/>
  <c r="D12" i="49"/>
  <c r="P19" i="47"/>
  <c r="AX6" i="44" s="1"/>
  <c r="U33" i="46"/>
  <c r="X66" i="46"/>
  <c r="X106" i="46"/>
  <c r="BM3" i="44"/>
  <c r="S1" i="14"/>
  <c r="E7" i="49" l="1"/>
  <c r="L11" i="48"/>
  <c r="AK6" i="44" s="1"/>
  <c r="E4" i="45"/>
  <c r="H23" i="49"/>
  <c r="H30" i="49"/>
  <c r="E11" i="49"/>
  <c r="H14" i="49"/>
  <c r="Y65" i="46"/>
  <c r="BO3" i="44"/>
  <c r="L26" i="48"/>
  <c r="I21" i="48"/>
  <c r="AI5" i="44"/>
  <c r="D12" i="50" s="1"/>
  <c r="E7" i="50"/>
  <c r="H7" i="50"/>
  <c r="W6" i="44" s="1"/>
  <c r="D5" i="52" s="1"/>
  <c r="D5" i="51"/>
  <c r="I29" i="48"/>
  <c r="L27" i="48"/>
  <c r="AK4" i="44" s="1"/>
  <c r="AI10" i="44"/>
  <c r="D16" i="50" s="1"/>
  <c r="H6" i="49"/>
  <c r="H22" i="49"/>
  <c r="E3" i="49"/>
  <c r="I5" i="48"/>
  <c r="L10" i="48"/>
  <c r="AI3" i="44"/>
  <c r="D4" i="50" s="1"/>
  <c r="Y105" i="46"/>
  <c r="BO6" i="44"/>
  <c r="H31" i="49"/>
  <c r="H15" i="49"/>
  <c r="E15" i="49"/>
  <c r="T57" i="47"/>
  <c r="T35" i="47"/>
  <c r="AZ4" i="44" s="1"/>
  <c r="Q49" i="47"/>
  <c r="AX5" i="44"/>
  <c r="Q17" i="47"/>
  <c r="T56" i="47"/>
  <c r="T34" i="47"/>
  <c r="AX3" i="44"/>
  <c r="R1" i="15"/>
  <c r="U55" i="47" l="1"/>
  <c r="AZ6" i="44"/>
  <c r="U33" i="47"/>
  <c r="AZ3" i="44"/>
  <c r="D4" i="51"/>
  <c r="H6" i="50"/>
  <c r="E3" i="50"/>
  <c r="J14" i="54"/>
  <c r="J56" i="54"/>
  <c r="J66" i="54"/>
  <c r="J142" i="54"/>
  <c r="J181" i="54"/>
  <c r="J134" i="54"/>
  <c r="J49" i="54"/>
  <c r="J129" i="54"/>
  <c r="J143" i="54"/>
  <c r="J175" i="54"/>
  <c r="J16" i="54"/>
  <c r="J28" i="54"/>
  <c r="J92" i="54"/>
  <c r="J108" i="54"/>
  <c r="J70" i="54"/>
  <c r="J75" i="54"/>
  <c r="J162" i="54"/>
  <c r="J169" i="54"/>
  <c r="J140" i="54"/>
  <c r="J172" i="54"/>
  <c r="J130" i="54"/>
  <c r="J93" i="54"/>
  <c r="J125" i="54"/>
  <c r="J13" i="54"/>
  <c r="J23" i="54"/>
  <c r="J149" i="54"/>
  <c r="J122" i="54"/>
  <c r="J37" i="54"/>
  <c r="J101" i="54"/>
  <c r="J117" i="54"/>
  <c r="J151" i="54"/>
  <c r="J9" i="54"/>
  <c r="J64" i="54"/>
  <c r="J47" i="54"/>
  <c r="J127" i="54"/>
  <c r="J187" i="54"/>
  <c r="J144" i="54"/>
  <c r="J126" i="54"/>
  <c r="J41" i="54"/>
  <c r="J121" i="54"/>
  <c r="J159" i="54"/>
  <c r="J20" i="54"/>
  <c r="J84" i="54"/>
  <c r="J62" i="54"/>
  <c r="J67" i="54"/>
  <c r="J154" i="54"/>
  <c r="J161" i="54"/>
  <c r="J164" i="54"/>
  <c r="J78" i="54"/>
  <c r="J139" i="54"/>
  <c r="J24" i="54"/>
  <c r="J103" i="54"/>
  <c r="J135" i="54"/>
  <c r="J190" i="54"/>
  <c r="J136" i="54"/>
  <c r="J102" i="54"/>
  <c r="J118" i="54"/>
  <c r="J33" i="54"/>
  <c r="J97" i="54"/>
  <c r="J113" i="54"/>
  <c r="J15" i="54"/>
  <c r="J76" i="54"/>
  <c r="J42" i="54"/>
  <c r="J59" i="54"/>
  <c r="J146" i="54"/>
  <c r="J153" i="54"/>
  <c r="J156" i="54"/>
  <c r="J98" i="54"/>
  <c r="J114" i="54"/>
  <c r="J61" i="54"/>
  <c r="J54" i="54"/>
  <c r="J18" i="54"/>
  <c r="J174" i="54"/>
  <c r="J184" i="54"/>
  <c r="J90" i="54"/>
  <c r="J106" i="54"/>
  <c r="J21" i="54"/>
  <c r="J85" i="54"/>
  <c r="J48" i="54"/>
  <c r="J128" i="54"/>
  <c r="J31" i="54"/>
  <c r="J95" i="54"/>
  <c r="J111" i="54"/>
  <c r="J155" i="54"/>
  <c r="J182" i="54"/>
  <c r="J189" i="54"/>
  <c r="J192" i="54"/>
  <c r="J94" i="54"/>
  <c r="J110" i="54"/>
  <c r="J25" i="54"/>
  <c r="J89" i="54"/>
  <c r="J105" i="54"/>
  <c r="J11" i="54"/>
  <c r="J68" i="54"/>
  <c r="J51" i="54"/>
  <c r="J131" i="54"/>
  <c r="J145" i="54"/>
  <c r="J148" i="54"/>
  <c r="J77" i="54"/>
  <c r="J109" i="54"/>
  <c r="J167" i="54"/>
  <c r="J5" i="54"/>
  <c r="J120" i="54"/>
  <c r="J71" i="54"/>
  <c r="J168" i="54"/>
  <c r="J82" i="54"/>
  <c r="J58" i="54"/>
  <c r="J81" i="54"/>
  <c r="J7" i="54"/>
  <c r="J60" i="54"/>
  <c r="J43" i="54"/>
  <c r="J123" i="54"/>
  <c r="J179" i="54"/>
  <c r="J194" i="54"/>
  <c r="J22" i="54"/>
  <c r="J29" i="54"/>
  <c r="J6" i="54"/>
  <c r="J72" i="54"/>
  <c r="J87" i="54"/>
  <c r="J119" i="54"/>
  <c r="J158" i="54"/>
  <c r="J152" i="54"/>
  <c r="J34" i="54"/>
  <c r="J4" i="54"/>
  <c r="J69" i="54"/>
  <c r="J32" i="54"/>
  <c r="J96" i="54"/>
  <c r="J112" i="54"/>
  <c r="J74" i="54"/>
  <c r="J79" i="54"/>
  <c r="J166" i="54"/>
  <c r="J141" i="54"/>
  <c r="J173" i="54"/>
  <c r="J176" i="54"/>
  <c r="J38" i="54"/>
  <c r="J12" i="54"/>
  <c r="J73" i="54"/>
  <c r="J3" i="54"/>
  <c r="J52" i="54"/>
  <c r="J132" i="54"/>
  <c r="J35" i="54"/>
  <c r="J99" i="54"/>
  <c r="J115" i="54"/>
  <c r="J163" i="54"/>
  <c r="J186" i="54"/>
  <c r="J193" i="54"/>
  <c r="J45" i="54"/>
  <c r="J88" i="54"/>
  <c r="J104" i="54"/>
  <c r="J39" i="54"/>
  <c r="J30" i="54"/>
  <c r="J65" i="54"/>
  <c r="J86" i="54"/>
  <c r="J44" i="54"/>
  <c r="J124" i="54"/>
  <c r="J27" i="54"/>
  <c r="J91" i="54"/>
  <c r="J107" i="54"/>
  <c r="J147" i="54"/>
  <c r="J178" i="54"/>
  <c r="J185" i="54"/>
  <c r="J188" i="54"/>
  <c r="J40" i="54"/>
  <c r="J55" i="54"/>
  <c r="J171" i="54"/>
  <c r="J165" i="54"/>
  <c r="J8" i="54"/>
  <c r="J53" i="54"/>
  <c r="J133" i="54"/>
  <c r="J183" i="54"/>
  <c r="J26" i="54"/>
  <c r="J17" i="54"/>
  <c r="J80" i="54"/>
  <c r="J46" i="54"/>
  <c r="J63" i="54"/>
  <c r="J150" i="54"/>
  <c r="J157" i="54"/>
  <c r="J160" i="54"/>
  <c r="J10" i="54"/>
  <c r="J57" i="54"/>
  <c r="J137" i="54"/>
  <c r="J191" i="54"/>
  <c r="J50" i="54"/>
  <c r="J36" i="54"/>
  <c r="J100" i="54"/>
  <c r="J116" i="54"/>
  <c r="J19" i="54"/>
  <c r="J83" i="54"/>
  <c r="J138" i="54"/>
  <c r="J170" i="54"/>
  <c r="J177" i="54"/>
  <c r="J180" i="54"/>
  <c r="I21" i="49"/>
  <c r="L34" i="49"/>
  <c r="L26" i="49"/>
  <c r="H14" i="50"/>
  <c r="D8" i="51"/>
  <c r="E11" i="50"/>
  <c r="P32" i="48"/>
  <c r="M9" i="48"/>
  <c r="P18" i="48"/>
  <c r="AK3" i="44"/>
  <c r="L10" i="49"/>
  <c r="I5" i="49"/>
  <c r="L18" i="49"/>
  <c r="L19" i="49"/>
  <c r="L11" i="49"/>
  <c r="I13" i="49"/>
  <c r="D9" i="51"/>
  <c r="H15" i="50"/>
  <c r="W4" i="44" s="1"/>
  <c r="D9" i="52" s="1"/>
  <c r="E15" i="50"/>
  <c r="M25" i="48"/>
  <c r="P33" i="48"/>
  <c r="AM5" i="44" s="1"/>
  <c r="P19" i="48"/>
  <c r="AM4" i="44" s="1"/>
  <c r="AK5" i="44"/>
  <c r="AZ5" i="44"/>
  <c r="X57" i="47"/>
  <c r="BD6" i="44" s="1"/>
  <c r="L35" i="49"/>
  <c r="L27" i="49"/>
  <c r="I29" i="49"/>
  <c r="M17" i="49" l="1"/>
  <c r="L21" i="50"/>
  <c r="Y5" i="44" s="1"/>
  <c r="I13" i="50"/>
  <c r="L11" i="50"/>
  <c r="Y4" i="44" s="1"/>
  <c r="W5" i="44"/>
  <c r="D8" i="52" s="1"/>
  <c r="H13" i="51"/>
  <c r="H7" i="51"/>
  <c r="E7" i="51"/>
  <c r="M9" i="49"/>
  <c r="Q31" i="48"/>
  <c r="AM6" i="44"/>
  <c r="M25" i="49"/>
  <c r="L20" i="50"/>
  <c r="L10" i="50"/>
  <c r="I5" i="50"/>
  <c r="W3" i="44"/>
  <c r="D4" i="52" s="1"/>
  <c r="Q17" i="48"/>
  <c r="AM3" i="44"/>
  <c r="M33" i="49"/>
  <c r="H6" i="51"/>
  <c r="I5" i="51" s="1"/>
  <c r="E3" i="51"/>
  <c r="H12" i="51"/>
  <c r="I11" i="51" s="1"/>
  <c r="M19" i="50" l="1"/>
  <c r="Y6" i="44"/>
  <c r="E7" i="52"/>
  <c r="H17" i="52"/>
  <c r="H7" i="52"/>
  <c r="L4" i="44" s="1"/>
  <c r="H16" i="52"/>
  <c r="I15" i="52" s="1"/>
  <c r="E3" i="52"/>
  <c r="H6" i="52"/>
  <c r="K77" i="54"/>
  <c r="K167" i="54"/>
  <c r="K5" i="54"/>
  <c r="E5" i="54" s="1"/>
  <c r="K71" i="54"/>
  <c r="K136" i="54"/>
  <c r="K168" i="54"/>
  <c r="K82" i="54"/>
  <c r="K118" i="54"/>
  <c r="K58" i="54"/>
  <c r="K81" i="54"/>
  <c r="K7" i="54"/>
  <c r="E7" i="54" s="1"/>
  <c r="K60" i="54"/>
  <c r="K43" i="54"/>
  <c r="K107" i="54"/>
  <c r="K179" i="54"/>
  <c r="K194" i="54"/>
  <c r="K22" i="54"/>
  <c r="K114" i="54"/>
  <c r="K29" i="54"/>
  <c r="K6" i="54"/>
  <c r="E6" i="54" s="1"/>
  <c r="K72" i="54"/>
  <c r="K87" i="54"/>
  <c r="K158" i="54"/>
  <c r="K152" i="54"/>
  <c r="K34" i="54"/>
  <c r="K106" i="54"/>
  <c r="K4" i="54"/>
  <c r="E4" i="54" s="1"/>
  <c r="K69" i="54"/>
  <c r="K133" i="54"/>
  <c r="K32" i="54"/>
  <c r="K96" i="54"/>
  <c r="K128" i="54"/>
  <c r="K74" i="54"/>
  <c r="K79" i="54"/>
  <c r="K166" i="54"/>
  <c r="K173" i="54"/>
  <c r="K176" i="54"/>
  <c r="K38" i="54"/>
  <c r="K110" i="54"/>
  <c r="K12" i="54"/>
  <c r="E12" i="54" s="1"/>
  <c r="K73" i="54"/>
  <c r="K137" i="54"/>
  <c r="K3" i="54"/>
  <c r="E3" i="54" s="1"/>
  <c r="K52" i="54"/>
  <c r="K35" i="54"/>
  <c r="K99" i="54"/>
  <c r="K163" i="54"/>
  <c r="K186" i="54"/>
  <c r="K193" i="54"/>
  <c r="K45" i="54"/>
  <c r="K88" i="54"/>
  <c r="K120" i="54"/>
  <c r="K39" i="54"/>
  <c r="K30" i="54"/>
  <c r="K65" i="54"/>
  <c r="K129" i="54"/>
  <c r="K86" i="54"/>
  <c r="K44" i="54"/>
  <c r="K27" i="54"/>
  <c r="K91" i="54"/>
  <c r="K147" i="54"/>
  <c r="K178" i="54"/>
  <c r="K185" i="54"/>
  <c r="K188" i="54"/>
  <c r="K125" i="54"/>
  <c r="K40" i="54"/>
  <c r="K55" i="54"/>
  <c r="K171" i="54"/>
  <c r="K165" i="54"/>
  <c r="K8" i="54"/>
  <c r="E8" i="54" s="1"/>
  <c r="K53" i="54"/>
  <c r="K117" i="54"/>
  <c r="K183" i="54"/>
  <c r="K26" i="54"/>
  <c r="K17" i="54"/>
  <c r="E17" i="54" s="1"/>
  <c r="K80" i="54"/>
  <c r="K112" i="54"/>
  <c r="K46" i="54"/>
  <c r="K63" i="54"/>
  <c r="K127" i="54"/>
  <c r="K150" i="54"/>
  <c r="K157" i="54"/>
  <c r="K160" i="54"/>
  <c r="K10" i="54"/>
  <c r="E10" i="54" s="1"/>
  <c r="K57" i="54"/>
  <c r="K121" i="54"/>
  <c r="K191" i="54"/>
  <c r="K50" i="54"/>
  <c r="K36" i="54"/>
  <c r="K100" i="54"/>
  <c r="K132" i="54"/>
  <c r="K19" i="54"/>
  <c r="K83" i="54"/>
  <c r="K170" i="54"/>
  <c r="K177" i="54"/>
  <c r="K180" i="54"/>
  <c r="K14" i="54"/>
  <c r="E14" i="54" s="1"/>
  <c r="K139" i="54"/>
  <c r="K56" i="54"/>
  <c r="K104" i="54"/>
  <c r="K66" i="54"/>
  <c r="K135" i="54"/>
  <c r="K181" i="54"/>
  <c r="K49" i="54"/>
  <c r="K113" i="54"/>
  <c r="K175" i="54"/>
  <c r="K16" i="54"/>
  <c r="E16" i="54" s="1"/>
  <c r="K28" i="54"/>
  <c r="K92" i="54"/>
  <c r="K124" i="54"/>
  <c r="K70" i="54"/>
  <c r="K75" i="54"/>
  <c r="K162" i="54"/>
  <c r="K169" i="54"/>
  <c r="K172" i="54"/>
  <c r="K93" i="54"/>
  <c r="K13" i="54"/>
  <c r="E13" i="54" s="1"/>
  <c r="K23" i="54"/>
  <c r="K149" i="54"/>
  <c r="K37" i="54"/>
  <c r="K101" i="54"/>
  <c r="K151" i="54"/>
  <c r="K9" i="54"/>
  <c r="E9" i="54" s="1"/>
  <c r="K64" i="54"/>
  <c r="K47" i="54"/>
  <c r="K111" i="54"/>
  <c r="K187" i="54"/>
  <c r="K144" i="54"/>
  <c r="K41" i="54"/>
  <c r="K105" i="54"/>
  <c r="K159" i="54"/>
  <c r="K20" i="54"/>
  <c r="K84" i="54"/>
  <c r="K116" i="54"/>
  <c r="K62" i="54"/>
  <c r="K67" i="54"/>
  <c r="K131" i="54"/>
  <c r="K138" i="54"/>
  <c r="K154" i="54"/>
  <c r="K161" i="54"/>
  <c r="K164" i="54"/>
  <c r="K78" i="54"/>
  <c r="K109" i="54"/>
  <c r="K24" i="54"/>
  <c r="K103" i="54"/>
  <c r="K142" i="54"/>
  <c r="K190" i="54"/>
  <c r="K102" i="54"/>
  <c r="K134" i="54"/>
  <c r="K33" i="54"/>
  <c r="K97" i="54"/>
  <c r="K143" i="54"/>
  <c r="K15" i="54"/>
  <c r="E15" i="54" s="1"/>
  <c r="K76" i="54"/>
  <c r="K108" i="54"/>
  <c r="K42" i="54"/>
  <c r="K59" i="54"/>
  <c r="K123" i="54"/>
  <c r="K146" i="54"/>
  <c r="K153" i="54"/>
  <c r="K140" i="54"/>
  <c r="K156" i="54"/>
  <c r="K98" i="54"/>
  <c r="K130" i="54"/>
  <c r="K61" i="54"/>
  <c r="K54" i="54"/>
  <c r="K18" i="54"/>
  <c r="E18" i="54" s="1"/>
  <c r="K119" i="54"/>
  <c r="K174" i="54"/>
  <c r="K184" i="54"/>
  <c r="K90" i="54"/>
  <c r="K122" i="54"/>
  <c r="K21" i="54"/>
  <c r="K85" i="54"/>
  <c r="K48" i="54"/>
  <c r="K31" i="54"/>
  <c r="K95" i="54"/>
  <c r="K155" i="54"/>
  <c r="K182" i="54"/>
  <c r="K141" i="54"/>
  <c r="K189" i="54"/>
  <c r="K192" i="54"/>
  <c r="K94" i="54"/>
  <c r="K126" i="54"/>
  <c r="K25" i="54"/>
  <c r="K89" i="54"/>
  <c r="K11" i="54"/>
  <c r="E11" i="54" s="1"/>
  <c r="K68" i="54"/>
  <c r="K51" i="54"/>
  <c r="K115" i="54"/>
  <c r="K145" i="54"/>
  <c r="K148" i="54"/>
  <c r="M9" i="50"/>
  <c r="Y3" i="44"/>
  <c r="I5" i="52" l="1"/>
  <c r="L3" i="44"/>
</calcChain>
</file>

<file path=xl/comments1.xml><?xml version="1.0" encoding="utf-8"?>
<comments xmlns="http://schemas.openxmlformats.org/spreadsheetml/2006/main">
  <authors>
    <author/>
  </authors>
  <commentList>
    <comment ref="J95" authorId="0" shapeId="0">
      <text>
        <r>
          <rPr>
            <b/>
            <sz val="8"/>
            <color rgb="FF000000"/>
            <rFont val="Tahoma"/>
            <family val="2"/>
            <charset val="238"/>
          </rPr>
          <t xml:space="preserve">Příklad komentáře
</t>
        </r>
      </text>
    </comment>
  </commentList>
</comments>
</file>

<file path=xl/comments10.xml><?xml version="1.0" encoding="utf-8"?>
<comments xmlns="http://schemas.openxmlformats.org/spreadsheetml/2006/main">
  <authors>
    <author/>
  </authors>
  <commentList>
    <comment ref="A4" authorId="0" shapeId="0">
      <text>
        <r>
          <rPr>
            <b/>
            <sz val="8"/>
            <color rgb="FF000000"/>
            <rFont val="Tahoma"/>
            <family val="2"/>
            <charset val="238"/>
          </rPr>
          <t>tento údaj určuje pořadí týmu v turnaji - pozor na přesné vyplnění, aby nedošlo k omylům!!!</t>
        </r>
      </text>
    </comment>
    <comment ref="B4" authorId="0" shapeId="0">
      <text>
        <r>
          <rPr>
            <sz val="8"/>
            <color rgb="FF000000"/>
            <rFont val="Tahoma"/>
            <family val="2"/>
            <charset val="238"/>
          </rPr>
          <t>Číslo hráčské licence / prázdné</t>
        </r>
      </text>
    </comment>
    <comment ref="C4" authorId="0" shapeId="0">
      <text>
        <r>
          <rPr>
            <sz val="8"/>
            <color rgb="FF000000"/>
            <rFont val="Tahoma"/>
            <family val="2"/>
            <charset val="238"/>
          </rPr>
          <t>Příjmení hráče</t>
        </r>
      </text>
    </comment>
    <comment ref="D4" authorId="0" shapeId="0">
      <text>
        <r>
          <rPr>
            <sz val="8"/>
            <color rgb="FF000000"/>
            <rFont val="Tahoma"/>
            <family val="2"/>
            <charset val="238"/>
          </rPr>
          <t>Jméno hráče (s případným rozlišením ml., st.)</t>
        </r>
      </text>
    </comment>
    <comment ref="E4" authorId="0" shapeId="0">
      <text>
        <r>
          <rPr>
            <sz val="8"/>
            <color rgb="FF000000"/>
            <rFont val="Tahoma"/>
            <family val="2"/>
            <charset val="238"/>
          </rPr>
          <t>Název klubu (viz Seznam klubů)</t>
        </r>
      </text>
    </comment>
    <comment ref="F4" authorId="0" shapeId="0">
      <text>
        <r>
          <rPr>
            <b/>
            <sz val="10"/>
            <color rgb="FF000000"/>
            <rFont val="Tahoma"/>
            <family val="2"/>
            <charset val="1"/>
          </rPr>
          <t>Cizinci se již nesledují</t>
        </r>
      </text>
    </comment>
    <comment ref="G4" authorId="0" shapeId="0">
      <text>
        <r>
          <rPr>
            <sz val="10"/>
            <color rgb="FF000000"/>
            <rFont val="Tahoma"/>
            <family val="2"/>
            <charset val="1"/>
          </rPr>
          <t xml:space="preserve">Bonus za třídu turnaje </t>
        </r>
      </text>
    </comment>
    <comment ref="H4" authorId="0" shapeId="0">
      <text>
        <r>
          <rPr>
            <sz val="10"/>
            <color rgb="FF000000"/>
            <rFont val="Tahoma"/>
            <family val="2"/>
            <charset val="1"/>
          </rPr>
          <t>Body za umístění</t>
        </r>
      </text>
    </comment>
    <comment ref="I4" authorId="0" shapeId="0">
      <text>
        <r>
          <rPr>
            <sz val="10"/>
            <color rgb="FF000000"/>
            <rFont val="Tahoma"/>
            <family val="2"/>
            <charset val="1"/>
          </rPr>
          <t>Postupové body za umístění</t>
        </r>
      </text>
    </comment>
  </commentList>
</comments>
</file>

<file path=xl/comments2.xml><?xml version="1.0" encoding="utf-8"?>
<comments xmlns="http://schemas.openxmlformats.org/spreadsheetml/2006/main">
  <authors>
    <author/>
  </authors>
  <commentList>
    <comment ref="C4" authorId="0" shapeId="0">
      <text>
        <r>
          <rPr>
            <sz val="8"/>
            <rFont val="Comic Sans MS"/>
            <family val="4"/>
            <charset val="1"/>
          </rPr>
          <t xml:space="preserve">Regiony:
</t>
        </r>
        <r>
          <rPr>
            <b/>
            <sz val="10"/>
            <color rgb="FF000000"/>
            <rFont val="Tahoma"/>
            <family val="2"/>
            <charset val="1"/>
          </rPr>
          <t>S - střed
Z - západ
V - východ</t>
        </r>
      </text>
    </comment>
  </commentList>
</comments>
</file>

<file path=xl/comments3.xml><?xml version="1.0" encoding="utf-8"?>
<comments xmlns="http://schemas.openxmlformats.org/spreadsheetml/2006/main">
  <authors>
    <author/>
  </authors>
  <commentList>
    <comment ref="R1" authorId="0" shapeId="0">
      <text>
        <r>
          <rPr>
            <b/>
            <sz val="8"/>
            <color rgb="FF000000"/>
            <rFont val="Tahoma"/>
            <family val="2"/>
            <charset val="238"/>
          </rPr>
          <t>Je potřeba spočítat spuštěním makra na listu Kvalita turnaje</t>
        </r>
      </text>
    </comment>
    <comment ref="S1" authorId="0" shapeId="0">
      <text>
        <r>
          <rPr>
            <b/>
            <sz val="8"/>
            <color rgb="FF000000"/>
            <rFont val="Tahoma"/>
            <family val="2"/>
            <charset val="238"/>
          </rPr>
          <t>Je potřeba spočítat spuštěním makra na listu Kvalita turnaje</t>
        </r>
      </text>
    </comment>
    <comment ref="M2" authorId="0" shapeId="0">
      <text>
        <r>
          <rPr>
            <b/>
            <sz val="8"/>
            <color rgb="FF000000"/>
            <rFont val="Tahoma"/>
            <family val="2"/>
            <charset val="238"/>
          </rPr>
          <t xml:space="preserve">   - Regional
P - Prestige
S - SuperPrestige
M - MČR
F - finále MČR</t>
        </r>
      </text>
    </comment>
    <comment ref="N2" authorId="0" shapeId="0">
      <text>
        <r>
          <rPr>
            <b/>
            <sz val="8"/>
            <color rgb="FF000000"/>
            <rFont val="Tahoma"/>
            <family val="2"/>
            <charset val="238"/>
          </rPr>
          <t xml:space="preserve">   - Regional
P - Prestige
S - SuperPrestige
M - MČR
F - finále MČR</t>
        </r>
      </text>
    </comment>
    <comment ref="N3" authorId="0" shapeId="0">
      <text>
        <r>
          <rPr>
            <sz val="8"/>
            <rFont val="Comic Sans MS"/>
            <family val="4"/>
            <charset val="1"/>
          </rPr>
          <t xml:space="preserve">Pokud chceme, aby postup byl do plného pavouka KO, dáme do této buňky hodnotu </t>
        </r>
        <r>
          <rPr>
            <b/>
            <sz val="8"/>
            <color rgb="FFFF0000"/>
            <rFont val="Tahoma"/>
            <family val="2"/>
            <charset val="238"/>
          </rPr>
          <t xml:space="preserve">ANO.
Jinak bude pavouk KO děravý = nulté eliminační kolo
</t>
        </r>
        <r>
          <rPr>
            <b/>
            <sz val="8"/>
            <color rgb="FF000000"/>
            <rFont val="Tahoma"/>
            <family val="2"/>
            <charset val="238"/>
          </rPr>
          <t>V případě počtu týmů = mocnina dvou jsou obě varianty shodné.</t>
        </r>
      </text>
    </comment>
    <comment ref="R4" authorId="0" shapeId="0">
      <text>
        <r>
          <rPr>
            <sz val="8"/>
            <rFont val="Comic Sans MS"/>
            <family val="4"/>
            <charset val="1"/>
          </rPr>
          <t xml:space="preserve">Počet kol turnaje pro výpočet POSTUPOVÝCH BODŮ
</t>
        </r>
      </text>
    </comment>
    <comment ref="M6" authorId="0" shapeId="0">
      <text>
        <r>
          <rPr>
            <sz val="8"/>
            <rFont val="Comic Sans MS"/>
            <family val="4"/>
            <charset val="1"/>
          </rPr>
          <t xml:space="preserve">Vypočte se - odečtením 1 od hodnoty v buňce pod
</t>
        </r>
      </text>
    </comment>
    <comment ref="N6" authorId="0" shapeId="0">
      <text>
        <r>
          <rPr>
            <b/>
            <sz val="8"/>
            <color rgb="FF000000"/>
            <rFont val="Tahoma"/>
            <family val="2"/>
            <charset val="238"/>
          </rPr>
          <t>Počet skupin se dopočte na základě hodnoty (viz buňka pod)</t>
        </r>
      </text>
    </comment>
    <comment ref="M7" authorId="0" shapeId="0">
      <text>
        <r>
          <rPr>
            <sz val="8"/>
            <rFont val="Comic Sans MS"/>
            <family val="4"/>
            <charset val="1"/>
          </rPr>
          <t xml:space="preserve">Do této buňky lze zapsat ručně počet týmů ve skupině (MAX)
 v rozmezí </t>
        </r>
        <r>
          <rPr>
            <b/>
            <i/>
            <sz val="8"/>
            <color rgb="FF000000"/>
            <rFont val="Tahoma"/>
            <family val="2"/>
            <charset val="238"/>
          </rPr>
          <t xml:space="preserve">3-6
</t>
        </r>
        <r>
          <rPr>
            <b/>
            <i/>
            <sz val="8"/>
            <color rgb="FFFF0000"/>
            <rFont val="Tahoma"/>
            <family val="2"/>
            <charset val="238"/>
          </rPr>
          <t xml:space="preserve">(pokud nevyhovuje přednastavené)
</t>
        </r>
        <r>
          <rPr>
            <b/>
            <sz val="8"/>
            <color rgb="FF000000"/>
            <rFont val="Tahoma"/>
            <family val="2"/>
            <charset val="238"/>
          </rPr>
          <t>Údaj v buňce nad se dopočte</t>
        </r>
      </text>
    </comment>
    <comment ref="N7" authorId="0" shapeId="0">
      <text>
        <r>
          <rPr>
            <sz val="8"/>
            <rFont val="Comic Sans MS"/>
            <family val="4"/>
            <charset val="1"/>
          </rPr>
          <t xml:space="preserve">Počet skupin lze nastavit ručně 
</t>
        </r>
        <r>
          <rPr>
            <b/>
            <i/>
            <sz val="8"/>
            <color rgb="FFFF0000"/>
            <rFont val="Tahoma"/>
            <family val="2"/>
            <charset val="238"/>
          </rPr>
          <t xml:space="preserve">(pokud nevyhovuje přednastavené)
</t>
        </r>
        <r>
          <rPr>
            <b/>
            <sz val="8"/>
            <color rgb="FF000000"/>
            <rFont val="Tahoma"/>
            <family val="2"/>
            <charset val="238"/>
          </rPr>
          <t xml:space="preserve">(počet skupin v buňce nad se dopočte)
</t>
        </r>
      </text>
    </comment>
    <comment ref="A9" authorId="0" shapeId="0">
      <text>
        <r>
          <rPr>
            <sz val="8"/>
            <rFont val="Comic Sans MS"/>
            <family val="4"/>
            <charset val="1"/>
          </rPr>
          <t xml:space="preserve">Počet řádek v listu Internet kde nejsou týmy hráčů/ včetně záhlaví  (=hlavička turnaje)
</t>
        </r>
      </text>
    </comment>
    <comment ref="G10" authorId="0" shapeId="0">
      <text>
        <r>
          <rPr>
            <sz val="8"/>
            <rFont val="Comic Sans MS"/>
            <family val="4"/>
            <charset val="1"/>
          </rPr>
          <t xml:space="preserve">Kontrola správnosti.
</t>
        </r>
        <r>
          <rPr>
            <sz val="10"/>
            <color rgb="FF000000"/>
            <rFont val="Tahoma"/>
            <family val="2"/>
            <charset val="1"/>
          </rPr>
          <t xml:space="preserve">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rgb="FF000000"/>
            <rFont val="Tahoma"/>
            <family val="2"/>
            <charset val="1"/>
          </rPr>
          <t>POZOR:</t>
        </r>
        <r>
          <rPr>
            <sz val="10"/>
            <color rgb="FF000000"/>
            <rFont val="Tahoma"/>
            <family val="2"/>
            <charset val="1"/>
          </rPr>
          <t xml:space="preserve"> k týmům, které nejsou OK se chováme jako by nebyly!!!</t>
        </r>
      </text>
    </comment>
    <comment ref="H10" authorId="0" shapeId="0">
      <text>
        <r>
          <rPr>
            <b/>
            <sz val="8"/>
            <color rgb="FF000000"/>
            <rFont val="Tahoma"/>
            <family val="2"/>
            <charset val="238"/>
          </rPr>
          <t>Pořadí nasazení týmu do turnaje (povinně se nasazují dva týmy do skupiny)</t>
        </r>
      </text>
    </comment>
    <comment ref="I10" authorId="0" shapeId="0">
      <text>
        <r>
          <rPr>
            <sz val="8"/>
            <rFont val="Comic Sans MS"/>
            <family val="4"/>
            <charset val="1"/>
          </rPr>
          <t xml:space="preserve">Číslo hráčské licence.
</t>
        </r>
        <r>
          <rPr>
            <sz val="10"/>
            <color rgb="FF000000"/>
            <rFont val="Tahoma"/>
            <family val="2"/>
            <charset val="1"/>
          </rPr>
          <t xml:space="preserve">Na základě tohoto čísla se vyhledají údaje Příjmení, Jméno, Klub, CŽ a BH a automaticky se doplní. 
</t>
        </r>
        <r>
          <rPr>
            <i/>
            <sz val="10"/>
            <color rgb="FF000000"/>
            <rFont val="Tahoma"/>
            <family val="2"/>
            <charset val="1"/>
          </rPr>
          <t xml:space="preserve">U hráčů bez platné licence zůstává  políčko prázdné a políčka Příjmení, Jméno se musí vyplnit.
</t>
        </r>
      </text>
    </comment>
    <comment ref="J10" authorId="0" shapeId="0">
      <text>
        <r>
          <rPr>
            <sz val="8"/>
            <rFont val="Comic Sans MS"/>
            <family val="4"/>
            <charset val="1"/>
          </rPr>
          <t xml:space="preserve">Příjmení hráče.
</t>
        </r>
        <r>
          <rPr>
            <sz val="10"/>
            <color rgb="FF000000"/>
            <rFont val="Tahoma"/>
            <family val="2"/>
            <charset val="1"/>
          </rPr>
          <t>Doplní se automaticky, pokud je v poli LICENCE uvedeno číslo platné licence ČAPEK.
U hráčů bez licence nebo u cizinců je třeba vyplnit.</t>
        </r>
      </text>
    </comment>
    <comment ref="K10" authorId="0" shapeId="0">
      <text>
        <r>
          <rPr>
            <sz val="8"/>
            <rFont val="Comic Sans MS"/>
            <family val="4"/>
            <charset val="1"/>
          </rPr>
          <t xml:space="preserve">Jméno hráče.
</t>
        </r>
        <r>
          <rPr>
            <sz val="10"/>
            <color rgb="FF000000"/>
            <rFont val="Tahoma"/>
            <family val="2"/>
            <charset val="1"/>
          </rPr>
          <t>Doplní se automaticky, pokud je v poli LICENCE uvedeno číslo platné licence ČAPEK.
U hráčů bez licence nebo u cizinců je třeba vyplnit.</t>
        </r>
      </text>
    </comment>
    <comment ref="L10" authorId="0" shapeId="0">
      <text>
        <r>
          <rPr>
            <sz val="10"/>
            <color rgb="FF000000"/>
            <rFont val="Tahoma"/>
            <family val="2"/>
            <charset val="1"/>
          </rPr>
          <t xml:space="preserve">Název mateřského klubu hráče - viz Seznam klubů ČAPEK (doplní se automaticky, pokud má hráč licenci) </t>
        </r>
      </text>
    </comment>
    <comment ref="M10" authorId="0" shapeId="0">
      <text>
        <r>
          <rPr>
            <sz val="10"/>
            <color rgb="FF000000"/>
            <rFont val="Tahoma"/>
            <family val="2"/>
            <charset val="1"/>
          </rPr>
          <t>Pořadí hráče na aktuálním žebříčku ČAPEK (doplní se automaticky)</t>
        </r>
      </text>
    </comment>
    <comment ref="N10" authorId="0" shapeId="0">
      <text>
        <r>
          <rPr>
            <sz val="10"/>
            <color rgb="FF000000"/>
            <rFont val="Tahoma"/>
            <family val="2"/>
            <charset val="1"/>
          </rPr>
          <t>BH hráče z  aktuálního žebříčku ČAPEK (doplní se automaticky)</t>
        </r>
      </text>
    </comment>
    <comment ref="O10" authorId="0" shapeId="0">
      <text>
        <r>
          <rPr>
            <sz val="8"/>
            <rFont val="Comic Sans MS"/>
            <family val="4"/>
            <charset val="1"/>
          </rPr>
          <t xml:space="preserve">Číslo hráčské licence.
</t>
        </r>
        <r>
          <rPr>
            <sz val="10"/>
            <color rgb="FF000000"/>
            <rFont val="Tahoma"/>
            <family val="2"/>
            <charset val="1"/>
          </rPr>
          <t xml:space="preserve">Na základě tohoto čísla se vyhledají údaje Příjmení, Jméno, Klub, CŽ a BH a automaticky se doplní. 
</t>
        </r>
        <r>
          <rPr>
            <i/>
            <sz val="10"/>
            <color rgb="FF000000"/>
            <rFont val="Tahoma"/>
            <family val="2"/>
            <charset val="1"/>
          </rPr>
          <t xml:space="preserve">U hráčů bez platné licence zůstává  políčko prázdné a políčka Příjmení, Jméno se musí vyplnit.
</t>
        </r>
      </text>
    </comment>
    <comment ref="P10" authorId="0" shapeId="0">
      <text>
        <r>
          <rPr>
            <sz val="8"/>
            <rFont val="Comic Sans MS"/>
            <family val="4"/>
            <charset val="1"/>
          </rPr>
          <t xml:space="preserve">Jméno hráče.
</t>
        </r>
        <r>
          <rPr>
            <sz val="10"/>
            <color rgb="FF000000"/>
            <rFont val="Tahoma"/>
            <family val="2"/>
            <charset val="1"/>
          </rPr>
          <t>Doplní se automaticky, pokud je v poli LICENCE uvedeno číslo platné licence ČAPEK.
U hráčů bez licence nebo u cizinců je třeba vyplnit.</t>
        </r>
      </text>
    </comment>
    <comment ref="Q10" authorId="0" shapeId="0">
      <text>
        <r>
          <rPr>
            <sz val="8"/>
            <rFont val="Comic Sans MS"/>
            <family val="4"/>
            <charset val="1"/>
          </rPr>
          <t xml:space="preserve">Jméno hráče.
</t>
        </r>
        <r>
          <rPr>
            <sz val="10"/>
            <color rgb="FF000000"/>
            <rFont val="Tahoma"/>
            <family val="2"/>
            <charset val="1"/>
          </rPr>
          <t>Doplní se automaticky, pokud je v poli LICENCE uvedeno číslo platné licence ČAPEK.
U hráčů bez licence nebo u cizinců je třeba vyplnit.</t>
        </r>
      </text>
    </comment>
    <comment ref="R10" authorId="0" shapeId="0">
      <text>
        <r>
          <rPr>
            <sz val="10"/>
            <color rgb="FF000000"/>
            <rFont val="Tahoma"/>
            <family val="2"/>
            <charset val="1"/>
          </rPr>
          <t xml:space="preserve">Název mateřského klubu hráče - viz Seznam klubů ČAPEK (doplní se automaticky, pokud má hráč licenci) </t>
        </r>
      </text>
    </comment>
    <comment ref="S10" authorId="0" shapeId="0">
      <text>
        <r>
          <rPr>
            <sz val="10"/>
            <color rgb="FF000000"/>
            <rFont val="Tahoma"/>
            <family val="2"/>
            <charset val="1"/>
          </rPr>
          <t>Pořadí hráče na aktuálním žebříčku ČAPEK (doplní se automaticky)</t>
        </r>
      </text>
    </comment>
    <comment ref="T10" authorId="0" shapeId="0">
      <text>
        <r>
          <rPr>
            <sz val="10"/>
            <color rgb="FF000000"/>
            <rFont val="Tahoma"/>
            <family val="2"/>
            <charset val="1"/>
          </rPr>
          <t>BH hráče z  aktuálního žebříčku ČAPEK (doplní se automaticky)</t>
        </r>
      </text>
    </comment>
    <comment ref="U10" authorId="0" shapeId="0">
      <text>
        <r>
          <rPr>
            <sz val="8"/>
            <rFont val="Comic Sans MS"/>
            <family val="4"/>
            <charset val="1"/>
          </rPr>
          <t xml:space="preserve">Číslo hráčské licence.
</t>
        </r>
        <r>
          <rPr>
            <sz val="10"/>
            <color rgb="FF000000"/>
            <rFont val="Tahoma"/>
            <family val="2"/>
            <charset val="1"/>
          </rPr>
          <t xml:space="preserve">Na základě tohoto čísla se vyhledají údaje Příjmení, Jméno, Klub, CŽ a BH a automaticky se doplní. 
</t>
        </r>
        <r>
          <rPr>
            <i/>
            <sz val="10"/>
            <color rgb="FF000000"/>
            <rFont val="Tahoma"/>
            <family val="2"/>
            <charset val="1"/>
          </rPr>
          <t xml:space="preserve">U hráčů bez platné licence zůstává  políčko prázdné a políčka Příjmení, Jméno se musí vyplnit.
</t>
        </r>
      </text>
    </comment>
    <comment ref="V10" authorId="0" shapeId="0">
      <text>
        <r>
          <rPr>
            <sz val="8"/>
            <rFont val="Comic Sans MS"/>
            <family val="4"/>
            <charset val="1"/>
          </rPr>
          <t xml:space="preserve">Příjmení hráče.
</t>
        </r>
        <r>
          <rPr>
            <sz val="10"/>
            <color rgb="FF000000"/>
            <rFont val="Tahoma"/>
            <family val="2"/>
            <charset val="1"/>
          </rPr>
          <t>Doplní se automaticky, pokud je v poli LICENCE uvedeno číslo platné licence ČAPEK.
U hráčů bez licence nebo u cizinců je třeba vyplnit.</t>
        </r>
      </text>
    </comment>
    <comment ref="W10" authorId="0" shapeId="0">
      <text>
        <r>
          <rPr>
            <sz val="8"/>
            <rFont val="Comic Sans MS"/>
            <family val="4"/>
            <charset val="1"/>
          </rPr>
          <t xml:space="preserve">Jméno hráče.
</t>
        </r>
        <r>
          <rPr>
            <sz val="10"/>
            <color rgb="FF000000"/>
            <rFont val="Tahoma"/>
            <family val="2"/>
            <charset val="1"/>
          </rPr>
          <t>Doplní se automaticky, pokud je v poli LICENCE uvedeno číslo platné licence ČAPEK.
U hráčů bez licence nebo u cizinců je třeba vyplnit.</t>
        </r>
      </text>
    </comment>
    <comment ref="X10" authorId="0" shapeId="0">
      <text>
        <r>
          <rPr>
            <sz val="10"/>
            <color rgb="FF000000"/>
            <rFont val="Tahoma"/>
            <family val="2"/>
            <charset val="1"/>
          </rPr>
          <t xml:space="preserve">Název mateřského klubu hráče - viz Seznam klubů ČAPEK (doplní se automaticky, pokud má hráč licenci) </t>
        </r>
      </text>
    </comment>
    <comment ref="Y10" authorId="0" shapeId="0">
      <text>
        <r>
          <rPr>
            <sz val="10"/>
            <color rgb="FF000000"/>
            <rFont val="Tahoma"/>
            <family val="2"/>
            <charset val="1"/>
          </rPr>
          <t>Pořadí hráče na aktuálním žebříčku ČAPEK (doplní se automaticky)</t>
        </r>
      </text>
    </comment>
    <comment ref="Z10" authorId="0" shapeId="0">
      <text>
        <r>
          <rPr>
            <sz val="10"/>
            <color rgb="FF000000"/>
            <rFont val="Tahoma"/>
            <family val="2"/>
            <charset val="1"/>
          </rPr>
          <t>BH hráče z  aktuálního žebříčku ČAPEK (doplní se automaticky)</t>
        </r>
      </text>
    </comment>
    <comment ref="AA10" authorId="0" shapeId="0">
      <text>
        <r>
          <rPr>
            <sz val="8"/>
            <rFont val="Comic Sans MS"/>
            <family val="4"/>
            <charset val="1"/>
          </rPr>
          <t xml:space="preserve">Číslo hráčské licence.
</t>
        </r>
        <r>
          <rPr>
            <sz val="10"/>
            <color rgb="FF000000"/>
            <rFont val="Tahoma"/>
            <family val="2"/>
            <charset val="1"/>
          </rPr>
          <t xml:space="preserve">Na základě tohoto čísla se vyhledají údaje Příjmení, Jméno, Klub, CŽ a BH a automaticky se doplní. 
</t>
        </r>
        <r>
          <rPr>
            <i/>
            <sz val="10"/>
            <color rgb="FF000000"/>
            <rFont val="Tahoma"/>
            <family val="2"/>
            <charset val="1"/>
          </rPr>
          <t xml:space="preserve">U hráčů bez platné licence zůstává  políčko prázdné a políčka Příjmení, Jméno se musí vyplnit.
</t>
        </r>
      </text>
    </comment>
    <comment ref="AB10" authorId="0" shapeId="0">
      <text>
        <r>
          <rPr>
            <sz val="8"/>
            <rFont val="Comic Sans MS"/>
            <family val="4"/>
            <charset val="1"/>
          </rPr>
          <t xml:space="preserve">Příjmení hráče.
</t>
        </r>
        <r>
          <rPr>
            <sz val="10"/>
            <color rgb="FF000000"/>
            <rFont val="Tahoma"/>
            <family val="2"/>
            <charset val="1"/>
          </rPr>
          <t>Doplní se automaticky, pokud je v poli LICENCE uvedeno číslo platné licence ČAPEK.
U hráčů bez licence nebo u cizinců je třeba vyplnit.</t>
        </r>
      </text>
    </comment>
    <comment ref="AC10" authorId="0" shapeId="0">
      <text>
        <r>
          <rPr>
            <sz val="8"/>
            <rFont val="Comic Sans MS"/>
            <family val="4"/>
            <charset val="1"/>
          </rPr>
          <t xml:space="preserve">Jméno hráče.
</t>
        </r>
        <r>
          <rPr>
            <sz val="10"/>
            <color rgb="FF000000"/>
            <rFont val="Tahoma"/>
            <family val="2"/>
            <charset val="1"/>
          </rPr>
          <t>Doplní se automaticky, pokud je v poli LICENCE uvedeno číslo platné licence ČAPEK.
U hráčů bez licence nebo u cizinců je třeba vyplnit.</t>
        </r>
      </text>
    </comment>
    <comment ref="AD10" authorId="0" shapeId="0">
      <text>
        <r>
          <rPr>
            <sz val="10"/>
            <color rgb="FF000000"/>
            <rFont val="Tahoma"/>
            <family val="2"/>
            <charset val="1"/>
          </rPr>
          <t xml:space="preserve">Název mateřského klubu hráče - viz Seznam klubů ČAPEK (doplní se automaticky, pokud má hráč licenci) </t>
        </r>
      </text>
    </comment>
    <comment ref="AE10" authorId="0" shapeId="0">
      <text>
        <r>
          <rPr>
            <sz val="10"/>
            <color rgb="FF000000"/>
            <rFont val="Tahoma"/>
            <family val="2"/>
            <charset val="1"/>
          </rPr>
          <t>Pořadí hráče na aktuálním žebříčku ČAPEK (doplní se automaticky)</t>
        </r>
      </text>
    </comment>
    <comment ref="AF10" authorId="0" shapeId="0">
      <text>
        <r>
          <rPr>
            <sz val="10"/>
            <color rgb="FF000000"/>
            <rFont val="Tahoma"/>
            <family val="2"/>
            <charset val="1"/>
          </rPr>
          <t>BH hráče z  aktuálního žebříčku ČAPEK (doplní se automaticky)</t>
        </r>
      </text>
    </comment>
    <comment ref="AI10" authorId="0" shapeId="0">
      <text>
        <r>
          <rPr>
            <b/>
            <sz val="8"/>
            <color rgb="FF000000"/>
            <rFont val="Tahoma"/>
            <family val="2"/>
            <charset val="238"/>
          </rPr>
          <t>Body za turnaj:
=postupové body * kvalita turnaje +bonus</t>
        </r>
      </text>
    </comment>
    <comment ref="AJ10" authorId="0" shapeId="0">
      <text>
        <r>
          <rPr>
            <sz val="8"/>
            <rFont val="Comic Sans MS"/>
            <family val="4"/>
            <charset val="1"/>
          </rPr>
          <t xml:space="preserve">Bonus body za turnaj 
</t>
        </r>
        <r>
          <rPr>
            <b/>
            <sz val="8"/>
            <color rgb="FF000000"/>
            <rFont val="Tahoma"/>
            <family val="2"/>
            <charset val="238"/>
          </rPr>
          <t>(viz třída turnaje)</t>
        </r>
      </text>
    </comment>
    <comment ref="AK10" authorId="0" shapeId="0">
      <text>
        <r>
          <rPr>
            <b/>
            <sz val="8"/>
            <color rgb="FF000000"/>
            <rFont val="Tahoma"/>
            <family val="2"/>
            <charset val="238"/>
          </rPr>
          <t>Postupové body v turnaji</t>
        </r>
      </text>
    </comment>
    <comment ref="AL10" authorId="0" shapeId="0">
      <text>
        <r>
          <rPr>
            <b/>
            <sz val="8"/>
            <color rgb="FF000000"/>
            <rFont val="Tahoma"/>
            <family val="2"/>
            <charset val="238"/>
          </rPr>
          <t>Název týmu (nepovinný)</t>
        </r>
      </text>
    </comment>
  </commentList>
</comments>
</file>

<file path=xl/comments4.xml><?xml version="1.0" encoding="utf-8"?>
<comments xmlns="http://schemas.openxmlformats.org/spreadsheetml/2006/main">
  <authors>
    <author/>
  </authors>
  <commentList>
    <comment ref="F1" authorId="0" shapeId="0">
      <text>
        <r>
          <rPr>
            <b/>
            <sz val="8"/>
            <color rgb="FF000000"/>
            <rFont val="Tahoma"/>
            <family val="2"/>
            <charset val="238"/>
          </rPr>
          <t xml:space="preserve">Kvalita turnaje =
průměr síly 16-ti nejlepších hráčů
</t>
        </r>
      </text>
    </comment>
    <comment ref="F3" authorId="0" shapeId="0">
      <text>
        <r>
          <rPr>
            <b/>
            <sz val="8"/>
            <color rgb="FF000000"/>
            <rFont val="Tahoma"/>
            <family val="2"/>
            <charset val="238"/>
          </rPr>
          <t>Součet síly 16-ti nejlepších hráčů na turnaji (po stisku tlačítka Vypočti KVALITU turnaje)</t>
        </r>
      </text>
    </comment>
    <comment ref="A4" authorId="0" shapeId="0">
      <text>
        <r>
          <rPr>
            <sz val="8"/>
            <color rgb="FF000000"/>
            <rFont val="Tahoma"/>
            <family val="2"/>
            <charset val="238"/>
          </rPr>
          <t>Číslo hráčské licence / prázdné</t>
        </r>
      </text>
    </comment>
    <comment ref="B4" authorId="0" shapeId="0">
      <text>
        <r>
          <rPr>
            <sz val="8"/>
            <color rgb="FF000000"/>
            <rFont val="Tahoma"/>
            <family val="2"/>
            <charset val="238"/>
          </rPr>
          <t>Příjmení hráče</t>
        </r>
      </text>
    </comment>
    <comment ref="C4" authorId="0" shapeId="0">
      <text>
        <r>
          <rPr>
            <sz val="8"/>
            <color rgb="FF000000"/>
            <rFont val="Tahoma"/>
            <family val="2"/>
            <charset val="238"/>
          </rPr>
          <t>Jméno hráče (s případným rozlišením ml., st.)</t>
        </r>
      </text>
    </comment>
    <comment ref="D4" authorId="0" shapeId="0">
      <text>
        <r>
          <rPr>
            <sz val="8"/>
            <color rgb="FF000000"/>
            <rFont val="Tahoma"/>
            <family val="2"/>
            <charset val="238"/>
          </rPr>
          <t>Název klubu (viz Seznam klubů)</t>
        </r>
      </text>
    </comment>
    <comment ref="E4" authorId="0" shapeId="0">
      <text>
        <r>
          <rPr>
            <sz val="8"/>
            <color rgb="FF000000"/>
            <rFont val="Tahoma"/>
            <family val="2"/>
            <charset val="238"/>
          </rPr>
          <t>Pořadí na žebříčku</t>
        </r>
      </text>
    </comment>
    <comment ref="F4" authorId="0" shapeId="0">
      <text>
        <r>
          <rPr>
            <sz val="8"/>
            <color rgb="FF000000"/>
            <rFont val="Tahoma"/>
            <family val="2"/>
            <charset val="238"/>
          </rPr>
          <t>Síla hráče</t>
        </r>
      </text>
    </comment>
  </commentList>
</comments>
</file>

<file path=xl/comments5.xml><?xml version="1.0" encoding="utf-8"?>
<comments xmlns="http://schemas.openxmlformats.org/spreadsheetml/2006/main">
  <authors>
    <author/>
  </authors>
  <commentList>
    <comment ref="C1" authorId="0" shapeId="0">
      <text>
        <r>
          <rPr>
            <b/>
            <sz val="10"/>
            <color rgb="FFFF0000"/>
            <rFont val="Tahoma"/>
            <family val="2"/>
            <charset val="238"/>
          </rPr>
          <t>VYPLŇTE označení skupiny a vytiskněte ...</t>
        </r>
      </text>
    </comment>
  </commentList>
</comments>
</file>

<file path=xl/comments6.xml><?xml version="1.0" encoding="utf-8"?>
<comments xmlns="http://schemas.openxmlformats.org/spreadsheetml/2006/main">
  <authors>
    <author/>
  </authors>
  <commentList>
    <comment ref="C1" authorId="0" shapeId="0">
      <text>
        <r>
          <rPr>
            <b/>
            <sz val="10"/>
            <color rgb="FF000000"/>
            <rFont val="Tahoma"/>
            <family val="2"/>
            <charset val="1"/>
          </rPr>
          <t>Pro sudý počet skupin se ve druhé polovině postupujících obrací sudý s lichým. 
Důvodem je, aby se nepotkaly týmy ze stejné skupiny ve stejné větvi pavouka.</t>
        </r>
      </text>
    </comment>
    <comment ref="F1" authorId="0" shapeId="0">
      <text>
        <r>
          <rPr>
            <b/>
            <sz val="10"/>
            <color rgb="FF000000"/>
            <rFont val="Tahoma"/>
            <family val="2"/>
            <charset val="1"/>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
  </authors>
  <commentList>
    <comment ref="A2" authorId="0" shapeId="0">
      <text>
        <r>
          <rPr>
            <b/>
            <sz val="8"/>
            <color rgb="FF000000"/>
            <rFont val="Tahoma"/>
            <family val="2"/>
            <charset val="238"/>
          </rPr>
          <t>Počet týmů ve skupině</t>
        </r>
      </text>
    </comment>
    <comment ref="A3" authorId="0" shapeId="0">
      <text>
        <r>
          <rPr>
            <b/>
            <sz val="8"/>
            <color rgb="FF000000"/>
            <rFont val="Tahoma"/>
            <family val="2"/>
            <charset val="238"/>
          </rPr>
          <t>Počet hřišť pro skupinu</t>
        </r>
      </text>
    </comment>
    <comment ref="A4" authorId="0" shapeId="0">
      <text>
        <r>
          <rPr>
            <b/>
            <sz val="8"/>
            <color rgb="FF000000"/>
            <rFont val="Tahoma"/>
            <family val="2"/>
            <charset val="238"/>
          </rPr>
          <t>Hřiště OD</t>
        </r>
      </text>
    </comment>
    <comment ref="A5" authorId="0" shapeId="0">
      <text>
        <r>
          <rPr>
            <b/>
            <sz val="8"/>
            <color rgb="FF000000"/>
            <rFont val="Tahoma"/>
            <family val="2"/>
            <charset val="238"/>
          </rPr>
          <t>Hřiště DO</t>
        </r>
      </text>
    </comment>
  </commentList>
</comments>
</file>

<file path=xl/comments8.xml><?xml version="1.0" encoding="utf-8"?>
<comments xmlns="http://schemas.openxmlformats.org/spreadsheetml/2006/main">
  <authors>
    <author/>
  </authors>
  <commentList>
    <comment ref="N1" authorId="0" shapeId="0">
      <text>
        <r>
          <rPr>
            <sz val="8"/>
            <rFont val="Comic Sans MS"/>
            <family val="4"/>
            <charset val="1"/>
          </rPr>
          <t xml:space="preserve">V této buňce se zapíše počet týmů ve skupině (od)
   </t>
        </r>
        <r>
          <rPr>
            <b/>
            <i/>
            <sz val="8"/>
            <color rgb="FF000000"/>
            <rFont val="Tahoma"/>
            <family val="2"/>
            <charset val="238"/>
          </rPr>
          <t>např. 3</t>
        </r>
      </text>
    </comment>
    <comment ref="O1" authorId="0" shapeId="0">
      <text>
        <r>
          <rPr>
            <sz val="8"/>
            <rFont val="Comic Sans MS"/>
            <family val="4"/>
            <charset val="1"/>
          </rPr>
          <t xml:space="preserve">V této buňce se zapíše počet týmů ve skupině (do)
   </t>
        </r>
        <r>
          <rPr>
            <b/>
            <i/>
            <sz val="8"/>
            <color rgb="FF000000"/>
            <rFont val="Tahoma"/>
            <family val="2"/>
            <charset val="238"/>
          </rPr>
          <t>např. 4</t>
        </r>
      </text>
    </comment>
    <comment ref="M2" authorId="0" shapeId="0">
      <text>
        <r>
          <rPr>
            <b/>
            <sz val="8"/>
            <color rgb="FF000000"/>
            <rFont val="Tahoma"/>
            <family val="2"/>
            <charset val="238"/>
          </rPr>
          <t>Celkem skupin</t>
        </r>
      </text>
    </comment>
    <comment ref="N2" authorId="0" shapeId="0">
      <text>
        <r>
          <rPr>
            <b/>
            <sz val="8"/>
            <color rgb="FF000000"/>
            <rFont val="Tahoma"/>
            <family val="2"/>
            <charset val="238"/>
          </rPr>
          <t>Počet</t>
        </r>
      </text>
    </comment>
    <comment ref="O2" authorId="0" shapeId="0">
      <text>
        <r>
          <rPr>
            <sz val="8"/>
            <rFont val="Comic Sans MS"/>
            <family val="4"/>
            <charset val="1"/>
          </rPr>
          <t xml:space="preserve">Počet
</t>
        </r>
      </text>
    </comment>
    <comment ref="P2" authorId="0" shapeId="0">
      <text>
        <r>
          <rPr>
            <b/>
            <sz val="8"/>
            <color rgb="FF000000"/>
            <rFont val="Tahoma"/>
            <family val="2"/>
            <charset val="238"/>
          </rPr>
          <t xml:space="preserve">Počet týmů
</t>
        </r>
      </text>
    </comment>
  </commentList>
</comments>
</file>

<file path=xl/comments9.xml><?xml version="1.0" encoding="utf-8"?>
<comments xmlns="http://schemas.openxmlformats.org/spreadsheetml/2006/main">
  <authors>
    <author/>
  </authors>
  <commentList>
    <comment ref="K1" authorId="0" shapeId="0">
      <text>
        <r>
          <rPr>
            <b/>
            <sz val="8"/>
            <color rgb="FF000000"/>
            <rFont val="Tahoma"/>
            <family val="2"/>
            <charset val="238"/>
          </rPr>
          <t>Je potřeba spočítat spuštěním makra na listu Kvalita turnaje</t>
        </r>
      </text>
    </comment>
    <comment ref="L1" authorId="0" shapeId="0">
      <text>
        <r>
          <rPr>
            <b/>
            <sz val="8"/>
            <color rgb="FF000000"/>
            <rFont val="Tahoma"/>
            <family val="2"/>
            <charset val="238"/>
          </rPr>
          <t>Je potřeba spočítat spuštěním makra na listu Kvalita turnaje</t>
        </r>
      </text>
    </comment>
  </commentList>
</comments>
</file>

<file path=xl/sharedStrings.xml><?xml version="1.0" encoding="utf-8"?>
<sst xmlns="http://schemas.openxmlformats.org/spreadsheetml/2006/main" count="6334" uniqueCount="1812">
  <si>
    <t>INSTRUKCE</t>
  </si>
  <si>
    <t>"Každý s každým"</t>
  </si>
  <si>
    <t xml:space="preserve">Tento program je vytvořen pro </t>
  </si>
  <si>
    <r>
      <rPr>
        <b/>
        <sz val="8"/>
        <color rgb="FFFF0000"/>
        <rFont val="Comic Sans MS"/>
        <family val="4"/>
        <charset val="238"/>
      </rPr>
      <t xml:space="preserve">vedení celého turnaje (až do konce), kterého se zúčastní </t>
    </r>
    <r>
      <rPr>
        <u/>
        <sz val="14"/>
        <color rgb="FF0066CC"/>
        <rFont val="Comic Sans MS"/>
        <family val="4"/>
        <charset val="238"/>
      </rPr>
      <t>12 až 192 týmů</t>
    </r>
    <r>
      <rPr>
        <b/>
        <sz val="8"/>
        <color rgb="FFFF0000"/>
        <rFont val="Comic Sans MS"/>
        <family val="4"/>
        <charset val="238"/>
      </rPr>
      <t xml:space="preserve"> </t>
    </r>
  </si>
  <si>
    <t>hrou ve tří až šestičlenných základních skupinách "Každý s každým" a dále pak KO</t>
  </si>
  <si>
    <t>a předání výsledků turnaje v předepsané elektronické podobě</t>
  </si>
  <si>
    <t>Soubor lze zálohovat stiskem tlačítka Zálohování souboru na listu Start.listina.</t>
  </si>
  <si>
    <t>Program pro vedení turnaje je možné parametrizovat (viz instrukce dále),</t>
  </si>
  <si>
    <t>pokud přednastavené hodnoty nevyhovují.</t>
  </si>
  <si>
    <t>V kombinaci s přihláškami na internetu máte v ruce nástroj, který může významně pomoci pořadatelům,</t>
  </si>
  <si>
    <t>k rychlejší, přesnější a jednodušší práci při vedení turnaje a následnému předávání výsledků</t>
  </si>
  <si>
    <t xml:space="preserve">Program přináší možnost </t>
  </si>
  <si>
    <t xml:space="preserve"> - připravit si snadno předem prezenci do turnaje na základě přihlášek na internetu</t>
  </si>
  <si>
    <t xml:space="preserve"> - rychle a přesně zjistit okamžité nasazení do turnaje</t>
  </si>
  <si>
    <t xml:space="preserve"> - správně přejít ze skupin do pavouka KO</t>
  </si>
  <si>
    <t xml:space="preserve"> - mít okamžitě hotové výsledky turnaje v předepsané podobě</t>
  </si>
  <si>
    <t>*</t>
  </si>
  <si>
    <t>Je připravena varianta tohoto programu pro hru na "Dvě prohry" ve 3-4 členných skupinách (Turnaj2P.xls)</t>
  </si>
  <si>
    <t>Je připravena varianta tohoto programu pro hru "švýcarským způsobem" (losovaným v koších)</t>
  </si>
  <si>
    <t>Tímto systémem se povinně hraje  MČR žen a regionální kola MČR trojic</t>
  </si>
  <si>
    <t>Údaje se vyplňují do listů: Start.listina, Sk.A až ...Sk.AF, KO.., Dohrávka_5-8 a Dohrávka_9-16</t>
  </si>
  <si>
    <t>Vyplňují se</t>
  </si>
  <si>
    <t>Žlutá pole</t>
  </si>
  <si>
    <t xml:space="preserve">Obsah ostatních polí a listů (včetně skrytých) je automaticky aktualizován programem a pro uživatele je uzamčen !  </t>
  </si>
  <si>
    <t>Využití programu, pokud chcete pouze předat výsledky (turnaj je veden ručně):</t>
  </si>
  <si>
    <t>1)</t>
  </si>
  <si>
    <r>
      <rPr>
        <sz val="8"/>
        <rFont val="Comic Sans MS"/>
        <family val="4"/>
        <charset val="1"/>
      </rPr>
      <t xml:space="preserve">pracuje se jen s listem </t>
    </r>
    <r>
      <rPr>
        <b/>
        <sz val="8"/>
        <rFont val="Comic Sans MS"/>
        <family val="4"/>
        <charset val="238"/>
      </rPr>
      <t>Start.listina</t>
    </r>
    <r>
      <rPr>
        <sz val="8"/>
        <rFont val="Comic Sans MS"/>
        <family val="4"/>
        <charset val="1"/>
      </rPr>
      <t>. Startovní listina je zároveň Výsledkovou listinou</t>
    </r>
  </si>
  <si>
    <t>2)</t>
  </si>
  <si>
    <t>musí se vyplnit Start.listina - pokyny jsou uvedeny níže (musí zde být uvedeny všechny týmy, přihlášené do turnaje)</t>
  </si>
  <si>
    <t xml:space="preserve">3) </t>
  </si>
  <si>
    <t xml:space="preserve">výsledné pořadí jednotlivých týmů se zapíše do listu Start.listina do kolonky Konečné pořadí (je vpravo na konci) </t>
  </si>
  <si>
    <t>(přepíše se vzoreček číslem, vyjadřujícím výsledné pořadí, neuvádí se tečky za číslicí !!!)</t>
  </si>
  <si>
    <t>i) předání výsledků turnaje se provádí nahráním tohoto vyplněného souboru na internet na www stránkách ČAPEK</t>
  </si>
  <si>
    <t>(viz tlačítko Žebříčky hráčů a volba Předávání výsledků turnaje)</t>
  </si>
  <si>
    <t>soubor s výsledky je třeba pojmenovat vysledkyxxxxx.XLS (xxxxx je číslo turnaje), jinak nelze výsledky automaticky zpracovat (nerozpozná se)</t>
  </si>
  <si>
    <t>Prosíme zasílejte soubor pokud možno v komprimované podobě (z důvodu velikosti)!</t>
  </si>
  <si>
    <t xml:space="preserve">Chronologický postup práce při vedení celého turnaje je následující: </t>
  </si>
  <si>
    <r>
      <rPr>
        <sz val="8"/>
        <rFont val="Comic Sans MS"/>
        <family val="4"/>
        <charset val="1"/>
      </rPr>
      <t xml:space="preserve">a) vyplnění </t>
    </r>
    <r>
      <rPr>
        <b/>
        <sz val="8"/>
        <rFont val="Comic Sans MS"/>
        <family val="4"/>
        <charset val="238"/>
      </rPr>
      <t>Start.listiny přímo</t>
    </r>
    <r>
      <rPr>
        <sz val="8"/>
        <rFont val="Comic Sans MS"/>
        <family val="4"/>
        <charset val="1"/>
      </rPr>
      <t xml:space="preserve"> z přihlášek na </t>
    </r>
    <r>
      <rPr>
        <b/>
        <sz val="8"/>
        <rFont val="Comic Sans MS"/>
        <family val="4"/>
        <charset val="238"/>
      </rPr>
      <t>internetu</t>
    </r>
  </si>
  <si>
    <t xml:space="preserve"> - </t>
  </si>
  <si>
    <t>Týmy přihlášené přes internet lze do tohoto souboru před turnajem přenést.   Stačí provést následující:</t>
  </si>
  <si>
    <r>
      <rPr>
        <sz val="8"/>
        <rFont val="Comic Sans MS"/>
        <family val="4"/>
        <charset val="1"/>
      </rPr>
      <t xml:space="preserve">1) v seznamu nahlášených družstev </t>
    </r>
    <r>
      <rPr>
        <b/>
        <sz val="8"/>
        <rFont val="Comic Sans MS"/>
        <family val="4"/>
        <charset val="238"/>
      </rPr>
      <t>na internetu</t>
    </r>
    <r>
      <rPr>
        <sz val="8"/>
        <rFont val="Comic Sans MS"/>
        <family val="4"/>
        <charset val="1"/>
      </rPr>
      <t xml:space="preserve"> zvolit </t>
    </r>
    <r>
      <rPr>
        <b/>
        <sz val="8"/>
        <rFont val="Comic Sans MS"/>
        <family val="4"/>
        <charset val="238"/>
      </rPr>
      <t>Úpravy: - Vybrat vše</t>
    </r>
    <r>
      <rPr>
        <sz val="8"/>
        <rFont val="Comic Sans MS"/>
        <family val="4"/>
        <charset val="1"/>
      </rPr>
      <t xml:space="preserve"> (klávesová zkratka Ctrl-A)</t>
    </r>
  </si>
  <si>
    <r>
      <rPr>
        <sz val="8"/>
        <rFont val="Comic Sans MS"/>
        <family val="4"/>
        <charset val="1"/>
      </rPr>
      <t xml:space="preserve">2) v seznamu nahlášených družstev </t>
    </r>
    <r>
      <rPr>
        <b/>
        <sz val="8"/>
        <rFont val="Comic Sans MS"/>
        <family val="4"/>
        <charset val="238"/>
      </rPr>
      <t>na internetu</t>
    </r>
    <r>
      <rPr>
        <sz val="8"/>
        <rFont val="Comic Sans MS"/>
        <family val="4"/>
        <charset val="1"/>
      </rPr>
      <t xml:space="preserve"> zvolit </t>
    </r>
    <r>
      <rPr>
        <b/>
        <sz val="8"/>
        <rFont val="Comic Sans MS"/>
        <family val="4"/>
        <charset val="238"/>
      </rPr>
      <t>Úpravy: - Kopírovat</t>
    </r>
    <r>
      <rPr>
        <sz val="8"/>
        <rFont val="Comic Sans MS"/>
        <family val="4"/>
        <charset val="1"/>
      </rPr>
      <t xml:space="preserve"> (klávesová zkratka Ctrl-C)</t>
    </r>
  </si>
  <si>
    <r>
      <rPr>
        <sz val="8"/>
        <rFont val="Comic Sans MS"/>
        <family val="4"/>
        <charset val="1"/>
      </rPr>
      <t xml:space="preserve">3) v tomto programu myší kliknout na list Internet a zde kliknout na první buňku vlevo nahoře (označená </t>
    </r>
    <r>
      <rPr>
        <b/>
        <sz val="8"/>
        <rFont val="Comic Sans MS"/>
        <family val="4"/>
        <charset val="238"/>
      </rPr>
      <t>A1</t>
    </r>
    <r>
      <rPr>
        <sz val="8"/>
        <rFont val="Comic Sans MS"/>
        <family val="4"/>
        <charset val="1"/>
      </rPr>
      <t>)</t>
    </r>
  </si>
  <si>
    <r>
      <rPr>
        <sz val="8"/>
        <rFont val="Comic Sans MS"/>
        <family val="4"/>
        <charset val="1"/>
      </rPr>
      <t xml:space="preserve">4) zvolit </t>
    </r>
    <r>
      <rPr>
        <b/>
        <sz val="8"/>
        <rFont val="Comic Sans MS"/>
        <family val="4"/>
        <charset val="238"/>
      </rPr>
      <t>Úpravy: - Vložit</t>
    </r>
    <r>
      <rPr>
        <sz val="8"/>
        <rFont val="Comic Sans MS"/>
        <family val="4"/>
        <charset val="1"/>
      </rPr>
      <t xml:space="preserve"> (klávesová zkratka Ctrl-V)</t>
    </r>
  </si>
  <si>
    <t>Tímto budou přenesena data z internetu do Startovní listiny (zároveň bude nastaveno i číslo turnaje)</t>
  </si>
  <si>
    <r>
      <rPr>
        <b/>
        <sz val="8"/>
        <color rgb="FFFF0000"/>
        <rFont val="Comic Sans MS"/>
        <family val="4"/>
        <charset val="238"/>
      </rPr>
      <t>Úpravy Startovní listiny</t>
    </r>
    <r>
      <rPr>
        <sz val="8"/>
        <rFont val="Comic Sans MS"/>
        <family val="4"/>
        <charset val="1"/>
      </rPr>
      <t xml:space="preserve"> pak lze provádět postupem uvedeným níže nebo také </t>
    </r>
    <r>
      <rPr>
        <b/>
        <sz val="8"/>
        <color rgb="FFFF0000"/>
        <rFont val="Comic Sans MS"/>
        <family val="4"/>
        <charset val="238"/>
      </rPr>
      <t>přímo na listu Internet (doporučeno)</t>
    </r>
  </si>
  <si>
    <t>Po nasazení turnaje (viz tlačítko "Nasadit týmy do turnaje" už lze opravovat jen přímo ve Startovní listině)</t>
  </si>
  <si>
    <r>
      <rPr>
        <sz val="8"/>
        <rFont val="Comic Sans MS"/>
        <family val="4"/>
        <charset val="1"/>
      </rPr>
      <t xml:space="preserve">b) vyplnění </t>
    </r>
    <r>
      <rPr>
        <b/>
        <sz val="8"/>
        <rFont val="Comic Sans MS"/>
        <family val="4"/>
        <charset val="238"/>
      </rPr>
      <t>Start.listiny ručně</t>
    </r>
    <r>
      <rPr>
        <sz val="8"/>
        <rFont val="Comic Sans MS"/>
        <family val="4"/>
        <charset val="1"/>
      </rPr>
      <t xml:space="preserve"> zápisem do Startovní listiny</t>
    </r>
  </si>
  <si>
    <t>na listu Start.listina se vyplní číslo turnaje podle Termínové listiny (to lze nalézt na listu Turnaje)</t>
  </si>
  <si>
    <t>automaticky se podle Termínové listiny doplní informace o turnaji</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</si>
  <si>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</si>
  <si>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</si>
  <si>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pokud hráč nemá českou licenci, zapíše se jeho jméno</t>
  </si>
  <si>
    <t>tým musí být kompletní, jinak se červeně rozsvítí kontrola - viz sloupeček OK</t>
  </si>
  <si>
    <t>(nekompletní tým je  při nasazení vyřazen; červeně  ve sloupečku OK jsou vyznačeny také duplicity licencí hráčů)</t>
  </si>
  <si>
    <t>zrušení zapsaného týmu ze startovní listiny se provede vymazáním licencí  (nesmí se odstranit celý řádek nebo smazat vzorečky - program by potom nefungoval !!!)</t>
  </si>
  <si>
    <t>po prezentaci všech týmů je na listu Start.listina zřejmé, kolik je týmů celkem</t>
  </si>
  <si>
    <t>program navrhuje počet a velikost skupin podle parametru Plný pavouk , pokud se uvede ANO, povede to na plného pavouka, NE (nebo nic) povede na děravého pavouka</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</si>
  <si>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</si>
  <si>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</si>
  <si>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na listu Start.listina lze přestavit i vypočtenou třídu turnaje (P-Prestige, S-Superprestige, M-MČR) pro účely výpočtu bodů za umístění</t>
  </si>
  <si>
    <t>pokud je potřeba, aby ze skupin postupoval jiný počet týmů než 2 (obvyklý počet), lze to ovlivnit číslem v buňce U7</t>
  </si>
  <si>
    <r>
      <rPr>
        <sz val="8"/>
        <rFont val="Comic Sans MS"/>
        <family val="4"/>
        <charset val="1"/>
      </rPr>
      <t xml:space="preserve">c) po ukončení prezentace se na listu Start.listina stiskne tlačítko </t>
    </r>
    <r>
      <rPr>
        <b/>
        <sz val="8"/>
        <rFont val="Comic Sans MS"/>
        <family val="4"/>
        <charset val="238"/>
      </rPr>
      <t>Nasadit týmy do turnaje</t>
    </r>
    <r>
      <rPr>
        <sz val="8"/>
        <rFont val="Comic Sans MS"/>
        <family val="4"/>
        <charset val="1"/>
      </rPr>
      <t xml:space="preserve"> </t>
    </r>
  </si>
  <si>
    <t>týmy se zařadí do skupin a  zároveň je vypočtena Kvalita turnaje a jestli jde o turnaj Prestige (všechny týmy jsou nasazeny až do konce)</t>
  </si>
  <si>
    <r>
      <rPr>
        <sz val="8"/>
        <rFont val="Comic Sans MS"/>
        <family val="4"/>
        <charset val="1"/>
      </rP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charset val="1"/>
      </rPr>
      <t xml:space="preserve"> (losování využívá generátor náh.čísel)</t>
    </r>
  </si>
  <si>
    <t>(při účasti více zahraničních týmů se doporučuje ponechat týmy nasazené až do konce, protože tak dojde k rovnoměrnému rozvrstvení zahr. účastníků)</t>
  </si>
  <si>
    <r>
      <rPr>
        <sz val="8"/>
        <rFont val="Comic Sans MS"/>
        <family val="4"/>
        <charset val="1"/>
      </rPr>
      <t xml:space="preserve">pro hru je vždy nutné vytisknout každou skupinu na zvláštní papír, k tomu slouží list </t>
    </r>
    <r>
      <rPr>
        <b/>
        <sz val="8"/>
        <rFont val="Comic Sans MS"/>
        <family val="4"/>
        <charset val="238"/>
      </rPr>
      <t>Tisk_skupin</t>
    </r>
  </si>
  <si>
    <t>(do políčka C1 uvedeme označení skupiny, list vytiskneme - a to provedeme pro všechny skupiny)</t>
  </si>
  <si>
    <r>
      <rPr>
        <sz val="8"/>
        <rFont val="Comic Sans MS"/>
        <family val="4"/>
        <charset val="1"/>
      </rPr>
      <t xml:space="preserve">list </t>
    </r>
    <r>
      <rPr>
        <b/>
        <sz val="8"/>
        <rFont val="Comic Sans MS"/>
        <family val="4"/>
        <charset val="238"/>
      </rPr>
      <t>Skupiny</t>
    </r>
    <r>
      <rPr>
        <sz val="8"/>
        <rFont val="Comic Sans MS"/>
        <family val="4"/>
        <charset val="1"/>
      </rPr>
      <t xml:space="preserve"> je vhodné na začátku turnaje rovněž vytisknout, protože se vytiskne rychle a dává dobrý přehled kdo je v jaké skupině</t>
    </r>
  </si>
  <si>
    <t xml:space="preserve">pro zápis výsledků hry v jednotlivých skupinách slouží jednotlivé listy skupin </t>
  </si>
  <si>
    <t>d) do jednotlivých listů Skupin se postupně do žlutých polí zapisují výsledky jednotlivých zápasů</t>
  </si>
  <si>
    <t>výsledek zápasu se zapisuje jako přesné skóre (skóre hraje roli při počítání pořadí ve skupině)</t>
  </si>
  <si>
    <t>pořadí zápasu (o které kolo zápasů ve skupině jde) a hřiště, na kterém se má hrát je zobrazeno přímo v herní tabulce skupiny</t>
  </si>
  <si>
    <t>konečné výsledky základních skupin se automaticky promítají zařazením do pavouka KO</t>
  </si>
  <si>
    <t>aby se nepotkaly týmy ze základní skupiny ve stejné větvi pavouka, může se změnit pořadí týmů v druhé polovině start.pole, postupujícího ze základních skupin</t>
  </si>
  <si>
    <t>(pro sudý počet skupin se ve druhé polovině postupujících obrací sudý s lichým)</t>
  </si>
  <si>
    <t>přechod do pavouka KO lze udělat i ručně - zapsáním týmů do nultého kola pavouka příslušného KO (např. když je turnaj hrán Švýcarem)</t>
  </si>
  <si>
    <t>(pozor v tomto případě na název týmu - měl by být přesně ten, jako ve skupinách, doporučujeme kopírovat hodnotou)</t>
  </si>
  <si>
    <t xml:space="preserve">e) na listu KO se postupně do žlutých polí vyplňují výsledky jednotlivých zápasů v pavouku příslušného KO.  </t>
  </si>
  <si>
    <t>výsledek zápasu se zapisuje jako skóre (stačí sice zadat jen jedničku pro vítěze a nulu pro poraženého, ale lepší informace je vyplňovat přesné skóre)</t>
  </si>
  <si>
    <t>automaticky podle výsledku tým buď postupuje nebo nepostupuje do dalšího kola KO nebo úplně vypadává, případně postupuje do dohrávky</t>
  </si>
  <si>
    <t>f) na listu Dohrávka_5-8 se postupně do žlutých polí vyplňují výsledky jednotlivých zápasů (pokud se dohrává o 5-8)</t>
  </si>
  <si>
    <t>g) na listu Dohrávka_9-16 se postupně do žlutých polí vyplňují výsledky jednotlivých zápasů  (pokud se dohrává o 9-16)</t>
  </si>
  <si>
    <r>
      <rPr>
        <sz val="8"/>
        <rFont val="Comic Sans MS"/>
        <family val="4"/>
        <charset val="1"/>
      </rPr>
      <t xml:space="preserve">h) po skončení všech zápasů a po jejich zapsání je na listu </t>
    </r>
    <r>
      <rPr>
        <b/>
        <sz val="8"/>
        <rFont val="Comic Sans MS"/>
        <family val="4"/>
        <charset val="238"/>
      </rPr>
      <t>Konečné pořadí_1_16</t>
    </r>
    <r>
      <rPr>
        <sz val="8"/>
        <rFont val="Comic Sans MS"/>
        <family val="4"/>
        <charset val="1"/>
      </rPr>
      <t xml:space="preserve"> zobrazeno pořadí prvních 16-ti týmů </t>
    </r>
  </si>
  <si>
    <t>aby Pořadí_1_16 bylo kompletní, je třeba mít vyplněné všechny výsledky v některém pavouku KO</t>
  </si>
  <si>
    <t>výsledky zápasů KO lze zapisovat do libovolného vhodného listu KO (údaje se přenášejí do navazujících KO a jsou propojeny až do konečných výsledků)</t>
  </si>
  <si>
    <t xml:space="preserve">zároveň je třeba mít vyplněné dohrávky o 5-8 a 9-16 místo !  </t>
  </si>
  <si>
    <t xml:space="preserve">výsledky týmů, včetně bodového hodnocení, se počítají průběžně (jsou ve Start. listině vpravo za posledním hráčem) </t>
  </si>
  <si>
    <t>i) předání výsledků turnaje bylo popsáno výše</t>
  </si>
  <si>
    <t>POZOR: nerušte žádné listy tohoto programu, např. z důvodu snížení velikosti tohoto souboru (mohli by jste totiž o svoji práci a vložená data přijít)</t>
  </si>
  <si>
    <t xml:space="preserve">Dobré rady: </t>
  </si>
  <si>
    <t xml:space="preserve">povolit makra (jinak nebudou makra fungovat) - je to pod volbou Nástroje - Makro - Zabezpečení </t>
  </si>
  <si>
    <t>červený trojúhelníček značí, že na buňce je komentář / vysvětlivka     (zastavením myši na buňce se zobrazí)</t>
  </si>
  <si>
    <t>příklad komentáře</t>
  </si>
  <si>
    <t>pokud není do turnaje zavedeno alespoň 12 týmů tak nelze používat parametr Plný pavouk</t>
  </si>
  <si>
    <t>nepřepisovat žádné vzorečky s výjimkou těch, které jsou ve žlutých polích</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</si>
  <si>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</si>
  <si>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</si>
  <si>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</si>
  <si>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</si>
  <si>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pozor v případě, že by jste ručně psali do pavouka název týmu - měl by být přesně ten, jako ve skupinách (doporučujeme kopírovat hodnotou)</t>
  </si>
  <si>
    <t>jakmile jednou nalosujete turnaj a máte vytisknuté skupiny, rozhodně se již tlačítka na losování nedotýkejte!</t>
  </si>
  <si>
    <t>v důležitých a vhodných okamžicích uložte soubor (nejlépe pod jiným jménem), aby jste se měli k čemu vrátit v případě potřeby</t>
  </si>
  <si>
    <t>akce provedené makry (přes tlačítka) většinou nejdou vrátit zpět !</t>
  </si>
  <si>
    <t>#N/A znamená, že nastala chyba a je nutno ji odstranit (k číslu licence nenalezen hráč apod.)</t>
  </si>
  <si>
    <t>V případě dotazů se obracejte na autora: Pavel Vlk, tel. 602-692-489</t>
  </si>
  <si>
    <t>Seznam turnajů z Termínové listiny ČAPEK</t>
  </si>
  <si>
    <t>cislo</t>
  </si>
  <si>
    <t>nazev</t>
  </si>
  <si>
    <t>datum</t>
  </si>
  <si>
    <t>misto</t>
  </si>
  <si>
    <t>poradatel</t>
  </si>
  <si>
    <t>system</t>
  </si>
  <si>
    <t>Zimní Kolovský turnaj III. Ročník</t>
  </si>
  <si>
    <t>08.02.2020</t>
  </si>
  <si>
    <t>Kolová</t>
  </si>
  <si>
    <t>PC Kolová</t>
  </si>
  <si>
    <t>2. Bitva o Terezín - Cena kladrubského vraníka</t>
  </si>
  <si>
    <t>22.02.2020</t>
  </si>
  <si>
    <t>Terezín</t>
  </si>
  <si>
    <t>SK SAHARA Vědomice</t>
  </si>
  <si>
    <t>Starostovo jarní koulení</t>
  </si>
  <si>
    <t>16.05.2020</t>
  </si>
  <si>
    <t>Cheb</t>
  </si>
  <si>
    <t>PC Ergensis</t>
  </si>
  <si>
    <t>MČR klubů 1.kolo</t>
  </si>
  <si>
    <t>30.05.2020</t>
  </si>
  <si>
    <t>Kvalifikace 2x2 Mix - ME 2020</t>
  </si>
  <si>
    <t>06.06.2020</t>
  </si>
  <si>
    <t>Loděnice</t>
  </si>
  <si>
    <t>CdP Loděnice</t>
  </si>
  <si>
    <t>Albrechtický kahan</t>
  </si>
  <si>
    <t>Albrechtice</t>
  </si>
  <si>
    <t>PAK Albrechtice</t>
  </si>
  <si>
    <t>MČR klubů 2.kolo</t>
  </si>
  <si>
    <t>13.06.2020</t>
  </si>
  <si>
    <t>Na Výsluní</t>
  </si>
  <si>
    <t>Medlešický pivovar</t>
  </si>
  <si>
    <t>CHRUPEK Chrudim</t>
  </si>
  <si>
    <t>MČR 3x3 muži - kvalifikace na ME 2021</t>
  </si>
  <si>
    <t>20.06.2020</t>
  </si>
  <si>
    <t>Lipník</t>
  </si>
  <si>
    <t>PC Sokol Lipník</t>
  </si>
  <si>
    <t>MČR 3x3 ženy - kvalifikace na MS 2021</t>
  </si>
  <si>
    <t>21.06.2020</t>
  </si>
  <si>
    <t>Turnaj generací</t>
  </si>
  <si>
    <t>27.06.2020</t>
  </si>
  <si>
    <t>Vrchlabí</t>
  </si>
  <si>
    <t>1. KPK Vrchlabí</t>
  </si>
  <si>
    <t>Vo Jarinovy koule, 24. ročník</t>
  </si>
  <si>
    <t>Hartvíkovice</t>
  </si>
  <si>
    <t>HP Třebíč</t>
  </si>
  <si>
    <t>O Kořist z Mordové rokle</t>
  </si>
  <si>
    <t>PCP Lipník</t>
  </si>
  <si>
    <t>O brněnskou kouli - XXV. ročník</t>
  </si>
  <si>
    <t>04.07.2020</t>
  </si>
  <si>
    <t>Ratišovice</t>
  </si>
  <si>
    <t>FŇÁKY BRNO</t>
  </si>
  <si>
    <t>Krumsínská HRODA XXI. ročník</t>
  </si>
  <si>
    <t>Krumsín</t>
  </si>
  <si>
    <t>HRODE Krumsín</t>
  </si>
  <si>
    <t>XXIV. Kolovská koule</t>
  </si>
  <si>
    <t>Memoriál CdP Loděnice</t>
  </si>
  <si>
    <t>12.07.2020</t>
  </si>
  <si>
    <t>MČR klubů 3.kolo</t>
  </si>
  <si>
    <t>17.07.2020</t>
  </si>
  <si>
    <t>Krakonošovy koule</t>
  </si>
  <si>
    <t>18.07.2020</t>
  </si>
  <si>
    <t>Grand prix Mariánských lázní</t>
  </si>
  <si>
    <t>Mariánské Lázně</t>
  </si>
  <si>
    <t>PK Mariánské Lázně</t>
  </si>
  <si>
    <t>Valšovický pohár</t>
  </si>
  <si>
    <t>Valšovice</t>
  </si>
  <si>
    <t>SKP Hranice VI. - Valšovice</t>
  </si>
  <si>
    <t>Château Hrochův Týnec</t>
  </si>
  <si>
    <t>25.07.2020</t>
  </si>
  <si>
    <t>Hrochův Týnec</t>
  </si>
  <si>
    <t>Kvalifikace 2x2 - MS 2021</t>
  </si>
  <si>
    <t>26.07.2020</t>
  </si>
  <si>
    <t>GEKON "O křišťálovou tašku"</t>
  </si>
  <si>
    <t>01.08.2020</t>
  </si>
  <si>
    <t>MČR 55 PLUS</t>
  </si>
  <si>
    <t>MČR 2x2 MIX</t>
  </si>
  <si>
    <t>08.08.2020</t>
  </si>
  <si>
    <t>Mozartovy koule</t>
  </si>
  <si>
    <t>15.08.2020</t>
  </si>
  <si>
    <t>Olomouc</t>
  </si>
  <si>
    <t>Kulový blesk</t>
  </si>
  <si>
    <t>MČR Juniorů</t>
  </si>
  <si>
    <t>22.08.2020</t>
  </si>
  <si>
    <t>Rapotín</t>
  </si>
  <si>
    <t>KM</t>
  </si>
  <si>
    <t>Grand prix Labe</t>
  </si>
  <si>
    <t>Vědomice</t>
  </si>
  <si>
    <t>MČR 3x3</t>
  </si>
  <si>
    <t>29.08.2020</t>
  </si>
  <si>
    <t>Stolínský křečák - memoriál Jaroslava Smoly</t>
  </si>
  <si>
    <t>Stolín</t>
  </si>
  <si>
    <t>PEK Stolín</t>
  </si>
  <si>
    <t>24. Prvomájové koule Barona Prášila</t>
  </si>
  <si>
    <t>05.09.2020</t>
  </si>
  <si>
    <t>Ořech</t>
  </si>
  <si>
    <t>C.T.P. CLUB OŘECH</t>
  </si>
  <si>
    <t>O pohár města Brna - VARS Cup</t>
  </si>
  <si>
    <t>Hrad Veveří</t>
  </si>
  <si>
    <t>Carreau Brno</t>
  </si>
  <si>
    <t>Přístavní turnaj Piráta Morgana</t>
  </si>
  <si>
    <t>06.09.2020</t>
  </si>
  <si>
    <t>MČR 1x1</t>
  </si>
  <si>
    <t>12.09.2020</t>
  </si>
  <si>
    <t>MČR ve střelbě na přesnost</t>
  </si>
  <si>
    <t>13.09.2020</t>
  </si>
  <si>
    <t>Grand Prix Egrensis</t>
  </si>
  <si>
    <t>19.09.2020</t>
  </si>
  <si>
    <t>Lipnické dukáty</t>
  </si>
  <si>
    <t>Lipník-fotblové hřiště</t>
  </si>
  <si>
    <t>Orlovský kahan</t>
  </si>
  <si>
    <t>Orlová</t>
  </si>
  <si>
    <t>TOP Orlová</t>
  </si>
  <si>
    <t>MČR 2x2</t>
  </si>
  <si>
    <t>26.09.2020</t>
  </si>
  <si>
    <t>Svatováclavské koulení</t>
  </si>
  <si>
    <t>O pohár CdP Loděnice</t>
  </si>
  <si>
    <t>03.10.2020</t>
  </si>
  <si>
    <t>Albrechtický pohár</t>
  </si>
  <si>
    <t>10.10.2020</t>
  </si>
  <si>
    <t>MČR klubů - FINÁLE</t>
  </si>
  <si>
    <t>MEVA Cup</t>
  </si>
  <si>
    <t>11.10.2020</t>
  </si>
  <si>
    <t>Koule Elišky Přemyslovny</t>
  </si>
  <si>
    <t>17.10.2020</t>
  </si>
  <si>
    <t>Nymburk</t>
  </si>
  <si>
    <t>Mimo Done Nymburk</t>
  </si>
  <si>
    <t>Nymburská nula</t>
  </si>
  <si>
    <t>Podzimní lipnické koule</t>
  </si>
  <si>
    <t>24.10.2020</t>
  </si>
  <si>
    <t>Kapucínova koule</t>
  </si>
  <si>
    <t>28.10.2020</t>
  </si>
  <si>
    <t>Chrudim </t>
  </si>
  <si>
    <t>XX. Přebor KV a PLZ kraje - memoriál Mirka Valenty</t>
  </si>
  <si>
    <t>31.10.2020</t>
  </si>
  <si>
    <t>Svatomartinská husa - rozloučení se sezónou</t>
  </si>
  <si>
    <t>07.11.2020</t>
  </si>
  <si>
    <t>Koule z Aurory</t>
  </si>
  <si>
    <t>25. Přimrzlé koule</t>
  </si>
  <si>
    <t>05.12.2020</t>
  </si>
  <si>
    <t>Polouveský májový turnaj</t>
  </si>
  <si>
    <t>20.06.2020Polouvsí</t>
  </si>
  <si>
    <t>PK Polouvsí</t>
  </si>
  <si>
    <t>Seznam klubů ČAPEK</t>
  </si>
  <si>
    <t>(výpis z matriky)</t>
  </si>
  <si>
    <t>Číslo</t>
  </si>
  <si>
    <t>Název klubu</t>
  </si>
  <si>
    <t>Region</t>
  </si>
  <si>
    <t>klubu</t>
  </si>
  <si>
    <t>001</t>
  </si>
  <si>
    <t>1. KPK VRCHLABÍ</t>
  </si>
  <si>
    <t>S</t>
  </si>
  <si>
    <t>002</t>
  </si>
  <si>
    <t>1.STAROBRNĚNSKÝ PK</t>
  </si>
  <si>
    <t>V</t>
  </si>
  <si>
    <t>005</t>
  </si>
  <si>
    <t>Z</t>
  </si>
  <si>
    <t>006</t>
  </si>
  <si>
    <t>CP VARY</t>
  </si>
  <si>
    <t>007</t>
  </si>
  <si>
    <t>PODĚBRADY</t>
  </si>
  <si>
    <t>008</t>
  </si>
  <si>
    <t>DPS</t>
  </si>
  <si>
    <t>010</t>
  </si>
  <si>
    <t>SOP FŇÁKY BRNO</t>
  </si>
  <si>
    <t>011</t>
  </si>
  <si>
    <t>HEJ RUP</t>
  </si>
  <si>
    <t>013</t>
  </si>
  <si>
    <t>HP TŘEBÍČ</t>
  </si>
  <si>
    <t>014</t>
  </si>
  <si>
    <t>HRODE KRUMSÍN</t>
  </si>
  <si>
    <t>015</t>
  </si>
  <si>
    <t>KULOVÝ BLESK</t>
  </si>
  <si>
    <t>016</t>
  </si>
  <si>
    <t>PCBD</t>
  </si>
  <si>
    <t>017</t>
  </si>
  <si>
    <t>019</t>
  </si>
  <si>
    <t>020</t>
  </si>
  <si>
    <t>PC Sokol LIPNÍK</t>
  </si>
  <si>
    <t>021</t>
  </si>
  <si>
    <t>PEK  STOLÍN</t>
  </si>
  <si>
    <t>022</t>
  </si>
  <si>
    <t>PEPEK</t>
  </si>
  <si>
    <t>023</t>
  </si>
  <si>
    <t>ČESKÝ RÁJ</t>
  </si>
  <si>
    <t>024</t>
  </si>
  <si>
    <t>POP PRAHA</t>
  </si>
  <si>
    <t>027</t>
  </si>
  <si>
    <t>SLOPE BRNO</t>
  </si>
  <si>
    <t>028</t>
  </si>
  <si>
    <t>SOKOL STAŘÍČ</t>
  </si>
  <si>
    <t>029</t>
  </si>
  <si>
    <t>TJ SOKOL SLAVKOV</t>
  </si>
  <si>
    <t>030</t>
  </si>
  <si>
    <t>TOP - ORLOVÁ</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</si>
  <si>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</si>
  <si>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</si>
  <si>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</si>
  <si>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</si>
  <si>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</si>
  <si>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</si>
  <si>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</si>
  <si>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</si>
  <si>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</si>
  <si>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</si>
  <si>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</si>
  <si>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</si>
  <si>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</si>
  <si>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</si>
  <si>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</si>
  <si>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</si>
  <si>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</si>
  <si>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</si>
  <si>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</si>
  <si>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PETANQUE NIŽBOR</t>
  </si>
  <si>
    <t>042</t>
  </si>
  <si>
    <t>PCP LIPNÍK</t>
  </si>
  <si>
    <t>043</t>
  </si>
  <si>
    <t>FRAPECO</t>
  </si>
  <si>
    <t>044</t>
  </si>
  <si>
    <t>Vojnův Městec</t>
  </si>
  <si>
    <t>045</t>
  </si>
  <si>
    <t>FENYX</t>
  </si>
  <si>
    <t>046</t>
  </si>
  <si>
    <t>LES BOULLES HOSTIVAŘ</t>
  </si>
  <si>
    <t>047</t>
  </si>
  <si>
    <t>TJ AGRO CHEB</t>
  </si>
  <si>
    <t>048</t>
  </si>
  <si>
    <t>AURA Havlíčkův Brod</t>
  </si>
  <si>
    <t>049</t>
  </si>
  <si>
    <t>PEKLUBO Bohnice</t>
  </si>
  <si>
    <t>050</t>
  </si>
  <si>
    <t>HODICE</t>
  </si>
  <si>
    <t>051</t>
  </si>
  <si>
    <t>UBU - United Balls of Únětice</t>
  </si>
  <si>
    <t>052</t>
  </si>
  <si>
    <t>PC Sokol Velim</t>
  </si>
  <si>
    <t>053</t>
  </si>
  <si>
    <t>TJ SOKOL Jabkenice</t>
  </si>
  <si>
    <t>054</t>
  </si>
  <si>
    <t>055</t>
  </si>
  <si>
    <t>PK OSIKA</t>
  </si>
  <si>
    <t>056</t>
  </si>
  <si>
    <t>HRANICE VI.-VALŠOVICE</t>
  </si>
  <si>
    <t>Seznam licencovaných hráčů ČAPEK</t>
  </si>
  <si>
    <t>(výpis z matriky, doplněný výsledky ze žebříčku)</t>
  </si>
  <si>
    <t>č.</t>
  </si>
  <si>
    <t>licence</t>
  </si>
  <si>
    <t>prijmeni</t>
  </si>
  <si>
    <t>jmeno</t>
  </si>
  <si>
    <t>kat</t>
  </si>
  <si>
    <t>klub</t>
  </si>
  <si>
    <t>rocnik</t>
  </si>
  <si>
    <t>cz</t>
  </si>
  <si>
    <t>sila</t>
  </si>
  <si>
    <t>body</t>
  </si>
  <si>
    <t>bonusy</t>
  </si>
  <si>
    <t>Adamec</t>
  </si>
  <si>
    <t>Ladislav</t>
  </si>
  <si>
    <t>PC Mimo Done</t>
  </si>
  <si>
    <t>Almaghrebi</t>
  </si>
  <si>
    <t>Alice</t>
  </si>
  <si>
    <t>PK Sezemice</t>
  </si>
  <si>
    <t>Anton</t>
  </si>
  <si>
    <t>Lubomír</t>
  </si>
  <si>
    <t>Balík</t>
  </si>
  <si>
    <t>Martin</t>
  </si>
  <si>
    <t>Petank Club Praha</t>
  </si>
  <si>
    <t>Bambous</t>
  </si>
  <si>
    <t>Jiří</t>
  </si>
  <si>
    <t>SENIOR TÝM Praha 1</t>
  </si>
  <si>
    <t>Barešová</t>
  </si>
  <si>
    <t>Hana</t>
  </si>
  <si>
    <t>PK 1293 Vojnův Městec</t>
  </si>
  <si>
    <t>Bartejs</t>
  </si>
  <si>
    <t>Lukáš</t>
  </si>
  <si>
    <t>PKK Třebíč</t>
  </si>
  <si>
    <t>Bartoš</t>
  </si>
  <si>
    <t>Josef</t>
  </si>
  <si>
    <t>Bartošová</t>
  </si>
  <si>
    <t>Helena</t>
  </si>
  <si>
    <t>Kristýna</t>
  </si>
  <si>
    <t>Zuzana</t>
  </si>
  <si>
    <t>Basař</t>
  </si>
  <si>
    <t>Bayer</t>
  </si>
  <si>
    <t>Milan</t>
  </si>
  <si>
    <t>UBU Únětice</t>
  </si>
  <si>
    <t>PC AUSTERLITZ 1805</t>
  </si>
  <si>
    <t>Miroslav</t>
  </si>
  <si>
    <t>Tomáš</t>
  </si>
  <si>
    <t>Šimon</t>
  </si>
  <si>
    <t>J</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</si>
  <si>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</si>
  <si>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</si>
  <si>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</si>
  <si>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</si>
  <si>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</si>
  <si>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</si>
  <si>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</si>
  <si>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</si>
  <si>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</si>
  <si>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</si>
  <si>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</si>
  <si>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</si>
  <si>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</si>
  <si>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</si>
  <si>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</si>
  <si>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</si>
  <si>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</si>
  <si>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Benčík</t>
  </si>
  <si>
    <t>Pavel</t>
  </si>
  <si>
    <t>PC Egrensis</t>
  </si>
  <si>
    <t>Beranová</t>
  </si>
  <si>
    <t>Pavla</t>
  </si>
  <si>
    <t>Bernát</t>
  </si>
  <si>
    <t>Bernátová</t>
  </si>
  <si>
    <t>Zdenka</t>
  </si>
  <si>
    <t>Beránek</t>
  </si>
  <si>
    <t>Beránek ml.</t>
  </si>
  <si>
    <t>Beránek st.</t>
  </si>
  <si>
    <t>Beseda</t>
  </si>
  <si>
    <t>Daniel</t>
  </si>
  <si>
    <t>Club Rodamiento</t>
  </si>
  <si>
    <t>Blaschková</t>
  </si>
  <si>
    <t>Dagmar</t>
  </si>
  <si>
    <t>Blažej</t>
  </si>
  <si>
    <t>1. Starobrněnský PK</t>
  </si>
  <si>
    <t>Blažejová</t>
  </si>
  <si>
    <t>Eva</t>
  </si>
  <si>
    <t>Blažková</t>
  </si>
  <si>
    <t>Blieková</t>
  </si>
  <si>
    <t>Alena</t>
  </si>
  <si>
    <t>Borovička</t>
  </si>
  <si>
    <t>Oldřich</t>
  </si>
  <si>
    <t>SKP Kulová osma</t>
  </si>
  <si>
    <t>Borovičková</t>
  </si>
  <si>
    <t>Eliška</t>
  </si>
  <si>
    <t>Botek</t>
  </si>
  <si>
    <t>Jan</t>
  </si>
  <si>
    <t>Boubínová</t>
  </si>
  <si>
    <t>Vendula</t>
  </si>
  <si>
    <t>Boušová</t>
  </si>
  <si>
    <t>Ludmila</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</si>
  <si>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</si>
  <si>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</si>
  <si>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</si>
  <si>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</si>
  <si>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</si>
  <si>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</si>
  <si>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</si>
  <si>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</si>
  <si>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</si>
  <si>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</si>
  <si>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</si>
  <si>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</si>
  <si>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</si>
  <si>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</si>
  <si>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</si>
  <si>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</si>
  <si>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</si>
  <si>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</si>
  <si>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</si>
  <si>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</si>
  <si>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</si>
  <si>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</si>
  <si>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</si>
  <si>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</si>
  <si>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</si>
  <si>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</si>
  <si>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</si>
  <si>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</si>
  <si>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</si>
  <si>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</si>
  <si>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</si>
  <si>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</si>
  <si>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</si>
  <si>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</si>
  <si>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</si>
  <si>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</si>
  <si>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</si>
  <si>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</si>
  <si>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Bury</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</si>
  <si>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</si>
  <si>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</si>
  <si>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</si>
  <si>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</si>
  <si>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</si>
  <si>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</si>
  <si>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</si>
  <si>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</si>
  <si>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</si>
  <si>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</si>
  <si>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</si>
  <si>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</si>
  <si>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</si>
  <si>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</si>
  <si>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</si>
  <si>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</si>
  <si>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</si>
  <si>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Chaloupek</t>
  </si>
  <si>
    <t>Chalupa</t>
  </si>
  <si>
    <t>Charvát</t>
  </si>
  <si>
    <t>Jiří ml.</t>
  </si>
  <si>
    <t>Charvátová</t>
  </si>
  <si>
    <t>Šárka</t>
  </si>
  <si>
    <t>JZ</t>
  </si>
  <si>
    <t>Chludilová</t>
  </si>
  <si>
    <t>Chmelař</t>
  </si>
  <si>
    <t>Ivo</t>
  </si>
  <si>
    <t>Chmelařová</t>
  </si>
  <si>
    <t>Yvetta</t>
  </si>
  <si>
    <t>Chocholouš</t>
  </si>
  <si>
    <t>Ondřej</t>
  </si>
  <si>
    <t>Chodůr</t>
  </si>
  <si>
    <t>Peter</t>
  </si>
  <si>
    <t>Chovan</t>
  </si>
  <si>
    <t>Christov</t>
  </si>
  <si>
    <t>Christo</t>
  </si>
  <si>
    <t>SK Pétanque Řepy</t>
  </si>
  <si>
    <t>Christovová</t>
  </si>
  <si>
    <t>Irena</t>
  </si>
  <si>
    <t>Chval</t>
  </si>
  <si>
    <t>Chvátalová</t>
  </si>
  <si>
    <t>Chňoupek</t>
  </si>
  <si>
    <t>Cibulková</t>
  </si>
  <si>
    <t>Cimala</t>
  </si>
  <si>
    <t>Jakub</t>
  </si>
  <si>
    <t>Vít</t>
  </si>
  <si>
    <t>Cimrman Formánková</t>
  </si>
  <si>
    <t>Colin</t>
  </si>
  <si>
    <t>Cyril</t>
  </si>
  <si>
    <t>Csibrei</t>
  </si>
  <si>
    <t>Daňková</t>
  </si>
  <si>
    <t>Defer</t>
  </si>
  <si>
    <t>Thierry</t>
  </si>
  <si>
    <t>Demčík</t>
  </si>
  <si>
    <t>Milan St.</t>
  </si>
  <si>
    <t>SK Sahara Vědomice</t>
  </si>
  <si>
    <t>Demčíková</t>
  </si>
  <si>
    <t>Jiřina</t>
  </si>
  <si>
    <t>Dimitrovová</t>
  </si>
  <si>
    <t>Dlouhá</t>
  </si>
  <si>
    <t>Dobeš</t>
  </si>
  <si>
    <t>BePeC 2016</t>
  </si>
  <si>
    <t>Dohnal</t>
  </si>
  <si>
    <t>Dolan</t>
  </si>
  <si>
    <t>Dostál</t>
  </si>
  <si>
    <t>Jaromír</t>
  </si>
  <si>
    <t>Doubrava</t>
  </si>
  <si>
    <t>Antonín</t>
  </si>
  <si>
    <t>Douděrová</t>
  </si>
  <si>
    <t>Bohuslava</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</si>
  <si>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</si>
  <si>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</si>
  <si>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</si>
  <si>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</si>
  <si>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</si>
  <si>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</si>
  <si>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</si>
  <si>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</si>
  <si>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</si>
  <si>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</si>
  <si>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</si>
  <si>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</si>
  <si>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</si>
  <si>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</si>
  <si>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</si>
  <si>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</si>
  <si>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</si>
  <si>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</si>
  <si>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</si>
  <si>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</si>
  <si>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Dvořáková</t>
  </si>
  <si>
    <t>Barbora</t>
  </si>
  <si>
    <t>Jarmila</t>
  </si>
  <si>
    <t>Tatiana</t>
  </si>
  <si>
    <t>Děcká</t>
  </si>
  <si>
    <t>Klára</t>
  </si>
  <si>
    <t>Děcký</t>
  </si>
  <si>
    <t>Dědina</t>
  </si>
  <si>
    <t>Děrgl</t>
  </si>
  <si>
    <t>Dřevojan</t>
  </si>
  <si>
    <t>Faber</t>
  </si>
  <si>
    <t>Fabík</t>
  </si>
  <si>
    <t>Arnošt</t>
  </si>
  <si>
    <t>Fabíková</t>
  </si>
  <si>
    <t>Andrea</t>
  </si>
  <si>
    <t>Silvie</t>
  </si>
  <si>
    <t>Fafek</t>
  </si>
  <si>
    <t>Fafková</t>
  </si>
  <si>
    <t>Fajmon</t>
  </si>
  <si>
    <t>František</t>
  </si>
  <si>
    <t>Faltýnek</t>
  </si>
  <si>
    <t>Faust</t>
  </si>
  <si>
    <t>PCFT Sokoleč</t>
  </si>
  <si>
    <t>Fedor</t>
  </si>
  <si>
    <t>Felger</t>
  </si>
  <si>
    <t>PC Sokol PP Hr. Králové</t>
  </si>
  <si>
    <t>Felčárek</t>
  </si>
  <si>
    <t>Fereš</t>
  </si>
  <si>
    <t>Ferlay</t>
  </si>
  <si>
    <t>Frank</t>
  </si>
  <si>
    <t>Matyáš</t>
  </si>
  <si>
    <t>Fila</t>
  </si>
  <si>
    <t>Fischer</t>
  </si>
  <si>
    <t>Zbyněk</t>
  </si>
  <si>
    <t>Fleischer</t>
  </si>
  <si>
    <t>Axel</t>
  </si>
  <si>
    <t>Sandra</t>
  </si>
  <si>
    <t>Friedel</t>
  </si>
  <si>
    <t>Froněk</t>
  </si>
  <si>
    <t>Froňková</t>
  </si>
  <si>
    <t>Kateřina</t>
  </si>
  <si>
    <t>Fryš</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</si>
  <si>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</si>
  <si>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</si>
  <si>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</si>
  <si>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</si>
  <si>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</si>
  <si>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</si>
  <si>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</si>
  <si>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</si>
  <si>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</si>
  <si>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</si>
  <si>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</si>
  <si>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</si>
  <si>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</si>
  <si>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</si>
  <si>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</si>
  <si>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</si>
  <si>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</si>
  <si>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</si>
  <si>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</si>
  <si>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</si>
  <si>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</si>
  <si>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</si>
  <si>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</si>
  <si>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</si>
  <si>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</si>
  <si>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</si>
  <si>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</si>
  <si>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</si>
  <si>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</si>
  <si>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</si>
  <si>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</si>
  <si>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</si>
  <si>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</si>
  <si>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</si>
  <si>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</si>
  <si>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</si>
  <si>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</si>
  <si>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</si>
  <si>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</si>
  <si>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</si>
  <si>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</si>
  <si>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</si>
  <si>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</si>
  <si>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</si>
  <si>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</si>
  <si>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</si>
  <si>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</si>
  <si>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</si>
  <si>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</si>
  <si>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</si>
  <si>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</si>
  <si>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</si>
  <si>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</si>
  <si>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</si>
  <si>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</si>
  <si>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</si>
  <si>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</si>
  <si>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</si>
  <si>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</si>
  <si>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</si>
  <si>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</si>
  <si>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</si>
  <si>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</si>
  <si>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</si>
  <si>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</si>
  <si>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</si>
  <si>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</si>
  <si>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Hejmalová</t>
  </si>
  <si>
    <t>Lucie</t>
  </si>
  <si>
    <t>Hendrych</t>
  </si>
  <si>
    <t>Hercoková</t>
  </si>
  <si>
    <t>Milena</t>
  </si>
  <si>
    <t>Sokol Kostomlaty</t>
  </si>
  <si>
    <t>Hess</t>
  </si>
  <si>
    <t>Larissa</t>
  </si>
  <si>
    <t>Markus</t>
  </si>
  <si>
    <t>Hildenbrand</t>
  </si>
  <si>
    <t>Benjamin</t>
  </si>
  <si>
    <t>Hladký</t>
  </si>
  <si>
    <t>Hladík</t>
  </si>
  <si>
    <t>Hlaváček</t>
  </si>
  <si>
    <t>Filip</t>
  </si>
  <si>
    <t>Hledík</t>
  </si>
  <si>
    <t>Hložková</t>
  </si>
  <si>
    <t>Hnilica</t>
  </si>
  <si>
    <t>Hobža</t>
  </si>
  <si>
    <t>Hochmann</t>
  </si>
  <si>
    <t>Hocková</t>
  </si>
  <si>
    <t>Hodboď</t>
  </si>
  <si>
    <t>Hodboďová</t>
  </si>
  <si>
    <t>Adéla</t>
  </si>
  <si>
    <t>Romana</t>
  </si>
  <si>
    <t>Hokešová</t>
  </si>
  <si>
    <t>Holec</t>
  </si>
  <si>
    <t>Libor</t>
  </si>
  <si>
    <t>Holenda</t>
  </si>
  <si>
    <t>Holický</t>
  </si>
  <si>
    <t>Holoubek</t>
  </si>
  <si>
    <t>Homolková-Pavlasová</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</si>
  <si>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</si>
  <si>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</si>
  <si>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</si>
  <si>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</si>
  <si>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</si>
  <si>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</si>
  <si>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</si>
  <si>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</si>
  <si>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</si>
  <si>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</si>
  <si>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</si>
  <si>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</si>
  <si>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</si>
  <si>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</si>
  <si>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</si>
  <si>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</si>
  <si>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</si>
  <si>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</si>
  <si>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</si>
  <si>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</si>
  <si>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</si>
  <si>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</si>
  <si>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</si>
  <si>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</si>
  <si>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</si>
  <si>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</si>
  <si>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</si>
  <si>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</si>
  <si>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</si>
  <si>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Hubáček</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</si>
  <si>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</si>
  <si>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</si>
  <si>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</si>
  <si>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</si>
  <si>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</si>
  <si>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</si>
  <si>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</si>
  <si>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</si>
  <si>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</si>
  <si>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</si>
  <si>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</si>
  <si>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</si>
  <si>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</si>
  <si>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</si>
  <si>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</si>
  <si>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</si>
  <si>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</si>
  <si>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</si>
  <si>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</si>
  <si>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</si>
  <si>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Václav</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</si>
  <si>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</si>
  <si>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</si>
  <si>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</si>
  <si>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</si>
  <si>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</si>
  <si>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</si>
  <si>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</si>
  <si>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</si>
  <si>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</si>
  <si>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</si>
  <si>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</si>
  <si>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</si>
  <si>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</si>
  <si>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</si>
  <si>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</si>
  <si>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</si>
  <si>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</si>
  <si>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</si>
  <si>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</si>
  <si>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</si>
  <si>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Jarošová</t>
  </si>
  <si>
    <t>Jarůšek</t>
  </si>
  <si>
    <t>Javůrková</t>
  </si>
  <si>
    <t>Jaworková</t>
  </si>
  <si>
    <t>Jedlička</t>
  </si>
  <si>
    <t>Rostislav</t>
  </si>
  <si>
    <t>Jedličková</t>
  </si>
  <si>
    <t>Jelínek</t>
  </si>
  <si>
    <t>Jelínková</t>
  </si>
  <si>
    <t>Olga</t>
  </si>
  <si>
    <t>Ježek</t>
  </si>
  <si>
    <t>Jiří st.</t>
  </si>
  <si>
    <t>Vladislav st.</t>
  </si>
  <si>
    <t>Ježková</t>
  </si>
  <si>
    <t>Ježíšek</t>
  </si>
  <si>
    <t>Ježíšková</t>
  </si>
  <si>
    <t>Božena</t>
  </si>
  <si>
    <t>Jeřala</t>
  </si>
  <si>
    <t>Jeřábková</t>
  </si>
  <si>
    <t>Jirkovský</t>
  </si>
  <si>
    <t>Johnová</t>
  </si>
  <si>
    <t>Jonášová</t>
  </si>
  <si>
    <t>Joslová</t>
  </si>
  <si>
    <t>Inka</t>
  </si>
  <si>
    <t>Josífková</t>
  </si>
  <si>
    <t>Jurišta</t>
  </si>
  <si>
    <t>Kamil</t>
  </si>
  <si>
    <t>Juráň</t>
  </si>
  <si>
    <t>Jurč</t>
  </si>
  <si>
    <t>Jílek</t>
  </si>
  <si>
    <t>Kacerovský</t>
  </si>
  <si>
    <t>Kadavá</t>
  </si>
  <si>
    <t>Kalianko</t>
  </si>
  <si>
    <t>Kallus</t>
  </si>
  <si>
    <t>Kalvoda</t>
  </si>
  <si>
    <t>Kalábová</t>
  </si>
  <si>
    <t>Kamaryt</t>
  </si>
  <si>
    <t>Kapeš</t>
  </si>
  <si>
    <t>Kaplánek</t>
  </si>
  <si>
    <t>Karban</t>
  </si>
  <si>
    <t>Karbulka</t>
  </si>
  <si>
    <t>Karásek</t>
  </si>
  <si>
    <t>Karásková</t>
  </si>
  <si>
    <t>Františka</t>
  </si>
  <si>
    <t>Soňa</t>
  </si>
  <si>
    <t>Kauca</t>
  </si>
  <si>
    <t>Kauer</t>
  </si>
  <si>
    <t>Helmut</t>
  </si>
  <si>
    <t>Kašparová</t>
  </si>
  <si>
    <t>Kejíková</t>
  </si>
  <si>
    <t>Tereska</t>
  </si>
  <si>
    <t>Kernerová</t>
  </si>
  <si>
    <t>Michala</t>
  </si>
  <si>
    <t>Kholová</t>
  </si>
  <si>
    <t>Zdeňka</t>
  </si>
  <si>
    <t>Kirschner</t>
  </si>
  <si>
    <t>Michel</t>
  </si>
  <si>
    <t>Klazarová</t>
  </si>
  <si>
    <t>Klouda</t>
  </si>
  <si>
    <t>Aleš</t>
  </si>
  <si>
    <t>Kloudová</t>
  </si>
  <si>
    <t>Klír</t>
  </si>
  <si>
    <t>Kmoch</t>
  </si>
  <si>
    <t>Knespl</t>
  </si>
  <si>
    <t>Kobr</t>
  </si>
  <si>
    <t>Štěpán</t>
  </si>
  <si>
    <t>Kobrová</t>
  </si>
  <si>
    <t>Kobza</t>
  </si>
  <si>
    <t>Kocián</t>
  </si>
  <si>
    <t>Kocourek</t>
  </si>
  <si>
    <t>Kohoutek</t>
  </si>
  <si>
    <t>Kohutová</t>
  </si>
  <si>
    <t>Kolaříková</t>
  </si>
  <si>
    <t>Josefína</t>
  </si>
  <si>
    <t>Konečná</t>
  </si>
  <si>
    <t>Mariana</t>
  </si>
  <si>
    <t>Konečný</t>
  </si>
  <si>
    <t>Jonáš</t>
  </si>
  <si>
    <t>Konopásek</t>
  </si>
  <si>
    <t>Konšel</t>
  </si>
  <si>
    <t>Robin</t>
  </si>
  <si>
    <t>Konšelová</t>
  </si>
  <si>
    <t>Lenka</t>
  </si>
  <si>
    <t>Končeková</t>
  </si>
  <si>
    <t>Zdena</t>
  </si>
  <si>
    <t>Končel</t>
  </si>
  <si>
    <t>Koreš</t>
  </si>
  <si>
    <t>Korešová</t>
  </si>
  <si>
    <t>Korselt</t>
  </si>
  <si>
    <t>Kot</t>
  </si>
  <si>
    <t>Kotas</t>
  </si>
  <si>
    <t>Kotová</t>
  </si>
  <si>
    <t>Kotúčová</t>
  </si>
  <si>
    <t>Koudelka</t>
  </si>
  <si>
    <t>Koudelková</t>
  </si>
  <si>
    <t>Ema</t>
  </si>
  <si>
    <t>Magdaléna</t>
  </si>
  <si>
    <t>Kousal</t>
  </si>
  <si>
    <t>Kousalová</t>
  </si>
  <si>
    <t>Kovářová</t>
  </si>
  <si>
    <t>Kozelský</t>
  </si>
  <si>
    <t>Koželský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</si>
  <si>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</si>
  <si>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</si>
  <si>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</si>
  <si>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</si>
  <si>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</si>
  <si>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</si>
  <si>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</si>
  <si>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</si>
  <si>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</si>
  <si>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</si>
  <si>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</si>
  <si>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</si>
  <si>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</si>
  <si>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</si>
  <si>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</si>
  <si>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</si>
  <si>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</si>
  <si>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</si>
  <si>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</si>
  <si>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</si>
  <si>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</si>
  <si>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</si>
  <si>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</si>
  <si>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</si>
  <si>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</si>
  <si>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</si>
  <si>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</si>
  <si>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</si>
  <si>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</si>
  <si>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</si>
  <si>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</si>
  <si>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Krůlová</t>
  </si>
  <si>
    <t>Kubeš</t>
  </si>
  <si>
    <t>Kubista</t>
  </si>
  <si>
    <t>Kubánek</t>
  </si>
  <si>
    <t>Kubát</t>
  </si>
  <si>
    <t>Kuchař</t>
  </si>
  <si>
    <t>Kuchler</t>
  </si>
  <si>
    <t>Kuchyňka</t>
  </si>
  <si>
    <t>Jan st.</t>
  </si>
  <si>
    <t>Kudláčková</t>
  </si>
  <si>
    <t>Kula</t>
  </si>
  <si>
    <t>Kulhavá</t>
  </si>
  <si>
    <t>Kulhánek</t>
  </si>
  <si>
    <t>Kuman</t>
  </si>
  <si>
    <t>Kunc</t>
  </si>
  <si>
    <t>Kuncová</t>
  </si>
  <si>
    <t>Kunert</t>
  </si>
  <si>
    <t>Kutá</t>
  </si>
  <si>
    <t>Miloslava</t>
  </si>
  <si>
    <t>Kutý</t>
  </si>
  <si>
    <t>Kučera</t>
  </si>
  <si>
    <t>Bohumil</t>
  </si>
  <si>
    <t>Kučerova-Habásková</t>
  </si>
  <si>
    <t>Miroslava</t>
  </si>
  <si>
    <t>Kučerová</t>
  </si>
  <si>
    <t>Kvítek</t>
  </si>
  <si>
    <t>Franjo</t>
  </si>
  <si>
    <t>Kyzivát</t>
  </si>
  <si>
    <t>Kára</t>
  </si>
  <si>
    <t>König</t>
  </si>
  <si>
    <t>Drahomír</t>
  </si>
  <si>
    <t>Křešťáková</t>
  </si>
  <si>
    <t>Křížek</t>
  </si>
  <si>
    <t>Evžen</t>
  </si>
  <si>
    <t>Kúřil</t>
  </si>
  <si>
    <t>Lacko</t>
  </si>
  <si>
    <t>Matúš</t>
  </si>
  <si>
    <t>Lapihuska</t>
  </si>
  <si>
    <t>Milan ml.</t>
  </si>
  <si>
    <t>Milan st.</t>
  </si>
  <si>
    <t>Lazarová</t>
  </si>
  <si>
    <t>Leiský</t>
  </si>
  <si>
    <t>Leander</t>
  </si>
  <si>
    <t>Lelek</t>
  </si>
  <si>
    <t>Bohuslav</t>
  </si>
  <si>
    <t>Lengál</t>
  </si>
  <si>
    <t>Lhoták</t>
  </si>
  <si>
    <t>Linková</t>
  </si>
  <si>
    <t>Lochman</t>
  </si>
  <si>
    <t>Lopočová</t>
  </si>
  <si>
    <t>Louda</t>
  </si>
  <si>
    <t>Lukaševič</t>
  </si>
  <si>
    <t>Lukeš</t>
  </si>
  <si>
    <t>PLUK Jablonec</t>
  </si>
  <si>
    <t>Lukášová</t>
  </si>
  <si>
    <t>Lux-Šatrová</t>
  </si>
  <si>
    <t>Veronika</t>
  </si>
  <si>
    <t>Lébl</t>
  </si>
  <si>
    <t>Vratislav</t>
  </si>
  <si>
    <t>Macek</t>
  </si>
  <si>
    <t>Mach</t>
  </si>
  <si>
    <t>Machovec</t>
  </si>
  <si>
    <t>Macháčková</t>
  </si>
  <si>
    <t>Maglia</t>
  </si>
  <si>
    <t>Majer</t>
  </si>
  <si>
    <t>Majerová</t>
  </si>
  <si>
    <t>Malina</t>
  </si>
  <si>
    <t>Malinská</t>
  </si>
  <si>
    <t>Malivánek</t>
  </si>
  <si>
    <t>Mališ</t>
  </si>
  <si>
    <t>Mallat</t>
  </si>
  <si>
    <t>Mallatová</t>
  </si>
  <si>
    <t>Malá</t>
  </si>
  <si>
    <t>Margita</t>
  </si>
  <si>
    <t>Malý</t>
  </si>
  <si>
    <t>Mandíková</t>
  </si>
  <si>
    <t>Sylva</t>
  </si>
  <si>
    <t>Marcián</t>
  </si>
  <si>
    <t>Marek</t>
  </si>
  <si>
    <t>Kryštof</t>
  </si>
  <si>
    <t>Mareš</t>
  </si>
  <si>
    <t>Marešová</t>
  </si>
  <si>
    <t>Marečková</t>
  </si>
  <si>
    <t>Yvonne</t>
  </si>
  <si>
    <t>Marhoul</t>
  </si>
  <si>
    <t>Marková</t>
  </si>
  <si>
    <t>Johana</t>
  </si>
  <si>
    <t>Maršík</t>
  </si>
  <si>
    <t>Matoušek</t>
  </si>
  <si>
    <t>Matuška</t>
  </si>
  <si>
    <t>Mazúr</t>
  </si>
  <si>
    <t>Mašek</t>
  </si>
  <si>
    <t>Mašková</t>
  </si>
  <si>
    <t>Markéta</t>
  </si>
  <si>
    <t>Maňák</t>
  </si>
  <si>
    <t>Meduna</t>
  </si>
  <si>
    <t>Vilém</t>
  </si>
  <si>
    <t>Medunová</t>
  </si>
  <si>
    <t>Melen</t>
  </si>
  <si>
    <t>Melgr</t>
  </si>
  <si>
    <t>Menšík</t>
  </si>
  <si>
    <t>Kryštov</t>
  </si>
  <si>
    <t>Merta</t>
  </si>
  <si>
    <t>Jáchym</t>
  </si>
  <si>
    <t>Mertová</t>
  </si>
  <si>
    <t>Anežka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</si>
  <si>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</si>
  <si>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</si>
  <si>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</si>
  <si>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</si>
  <si>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</si>
  <si>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</si>
  <si>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</si>
  <si>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</si>
  <si>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</si>
  <si>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</si>
  <si>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</si>
  <si>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</si>
  <si>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</si>
  <si>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</si>
  <si>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</si>
  <si>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</si>
  <si>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</si>
  <si>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</si>
  <si>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</si>
  <si>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</si>
  <si>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</si>
  <si>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</si>
  <si>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</si>
  <si>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Mrowiec</t>
  </si>
  <si>
    <t>Mráz</t>
  </si>
  <si>
    <t>Mrázek</t>
  </si>
  <si>
    <t>Mrázková</t>
  </si>
  <si>
    <t>Mrázová</t>
  </si>
  <si>
    <t>Musil</t>
  </si>
  <si>
    <t>Musilová</t>
  </si>
  <si>
    <t>Muzikant</t>
  </si>
  <si>
    <t>Muzikantová</t>
  </si>
  <si>
    <t>Naděžda</t>
  </si>
  <si>
    <t>Mužík</t>
  </si>
  <si>
    <t>VARAN</t>
  </si>
  <si>
    <t>Míček</t>
  </si>
  <si>
    <t>Míčková</t>
  </si>
  <si>
    <t>Adriana</t>
  </si>
  <si>
    <t>Müller</t>
  </si>
  <si>
    <t>Nacu</t>
  </si>
  <si>
    <t>Romain</t>
  </si>
  <si>
    <t>Nagy</t>
  </si>
  <si>
    <t>Navalaný</t>
  </si>
  <si>
    <t>Navrátil</t>
  </si>
  <si>
    <t>Navrátilová</t>
  </si>
  <si>
    <t>Nepomucký</t>
  </si>
  <si>
    <t>Netušil</t>
  </si>
  <si>
    <t>Radek</t>
  </si>
  <si>
    <t>Netíková</t>
  </si>
  <si>
    <t>Novotný</t>
  </si>
  <si>
    <t>Samuel</t>
  </si>
  <si>
    <t>Novák</t>
  </si>
  <si>
    <t>Boris</t>
  </si>
  <si>
    <t>Nováková</t>
  </si>
  <si>
    <t>Mária</t>
  </si>
  <si>
    <t>Němcová</t>
  </si>
  <si>
    <t>Němec</t>
  </si>
  <si>
    <t>Němečková</t>
  </si>
  <si>
    <t>Radomíra</t>
  </si>
  <si>
    <t>Nývlt</t>
  </si>
  <si>
    <t>Olbort</t>
  </si>
  <si>
    <t>Olšár</t>
  </si>
  <si>
    <t>Ondruška</t>
  </si>
  <si>
    <t>Patrik</t>
  </si>
  <si>
    <t>Ondryhal</t>
  </si>
  <si>
    <t>Ondryáš</t>
  </si>
  <si>
    <t>Orság</t>
  </si>
  <si>
    <t>Oskar St.</t>
  </si>
  <si>
    <t>Orságová</t>
  </si>
  <si>
    <t>Alexandra</t>
  </si>
  <si>
    <t>Pachla</t>
  </si>
  <si>
    <t>Pacák</t>
  </si>
  <si>
    <t>Palas</t>
  </si>
  <si>
    <t>Palicová</t>
  </si>
  <si>
    <t>Palička</t>
  </si>
  <si>
    <t>Dominik</t>
  </si>
  <si>
    <t>Pastorek</t>
  </si>
  <si>
    <t>Pastorková</t>
  </si>
  <si>
    <t>Patala</t>
  </si>
  <si>
    <t>Patalová</t>
  </si>
  <si>
    <t>Paterová</t>
  </si>
  <si>
    <t>Paták</t>
  </si>
  <si>
    <t>Pavlas</t>
  </si>
  <si>
    <t>Pavlů</t>
  </si>
  <si>
    <t>Pavýza</t>
  </si>
  <si>
    <t>Pažout</t>
  </si>
  <si>
    <t>Pechr</t>
  </si>
  <si>
    <t>Pejsar</t>
  </si>
  <si>
    <t>Peprníček</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</si>
  <si>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</si>
  <si>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</si>
  <si>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</si>
  <si>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</si>
  <si>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</si>
  <si>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</si>
  <si>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</si>
  <si>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</si>
  <si>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</si>
  <si>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</si>
  <si>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</si>
  <si>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</si>
  <si>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</si>
  <si>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</si>
  <si>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</si>
  <si>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</si>
  <si>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</si>
  <si>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</si>
  <si>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</si>
  <si>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</si>
  <si>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</si>
  <si>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</si>
  <si>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</si>
  <si>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</si>
  <si>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</si>
  <si>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</si>
  <si>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</si>
  <si>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</si>
  <si>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</si>
  <si>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</si>
  <si>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</si>
  <si>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</si>
  <si>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</si>
  <si>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</si>
  <si>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Prajer</t>
  </si>
  <si>
    <t>Pražáková</t>
  </si>
  <si>
    <t>Preuss</t>
  </si>
  <si>
    <t>Procházka</t>
  </si>
  <si>
    <t>Proroková</t>
  </si>
  <si>
    <t>Proseč</t>
  </si>
  <si>
    <t>Provazníková</t>
  </si>
  <si>
    <t>Ptáček</t>
  </si>
  <si>
    <t>Puhr</t>
  </si>
  <si>
    <t>Pulda</t>
  </si>
  <si>
    <t>Miroš</t>
  </si>
  <si>
    <t>Puldová</t>
  </si>
  <si>
    <t>Pánek</t>
  </si>
  <si>
    <t>Pírek</t>
  </si>
  <si>
    <t>Přibyl</t>
  </si>
  <si>
    <t>Přibylová</t>
  </si>
  <si>
    <t>Přikryl</t>
  </si>
  <si>
    <t>Přikrylová</t>
  </si>
  <si>
    <t>Regina</t>
  </si>
  <si>
    <t>Radechovský</t>
  </si>
  <si>
    <t>Radoušová</t>
  </si>
  <si>
    <t>Reinbergrová</t>
  </si>
  <si>
    <t>Rendek</t>
  </si>
  <si>
    <t>Rendeková</t>
  </si>
  <si>
    <t>Rendjambe</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</si>
  <si>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</si>
  <si>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</si>
  <si>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</si>
  <si>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</si>
  <si>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</si>
  <si>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</si>
  <si>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</si>
  <si>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</si>
  <si>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</si>
  <si>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</si>
  <si>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</si>
  <si>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</si>
  <si>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</si>
  <si>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</si>
  <si>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</si>
  <si>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</si>
  <si>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</si>
  <si>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</si>
  <si>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</si>
  <si>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Rybářová</t>
  </si>
  <si>
    <t>Valerija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</si>
  <si>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</si>
  <si>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</si>
  <si>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</si>
  <si>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</si>
  <si>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</si>
  <si>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</si>
  <si>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</si>
  <si>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</si>
  <si>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</si>
  <si>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</si>
  <si>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</si>
  <si>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</si>
  <si>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</si>
  <si>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</si>
  <si>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</si>
  <si>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</si>
  <si>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Sedláčková</t>
  </si>
  <si>
    <t>Semotam</t>
  </si>
  <si>
    <t>Semrád</t>
  </si>
  <si>
    <t>Shon</t>
  </si>
  <si>
    <t>Shonová</t>
  </si>
  <si>
    <t>Sjögren</t>
  </si>
  <si>
    <t>Skala</t>
  </si>
  <si>
    <t>Skokan</t>
  </si>
  <si>
    <t>Skopal</t>
  </si>
  <si>
    <t>Skřivan</t>
  </si>
  <si>
    <t>Slaný</t>
  </si>
  <si>
    <t>Slavíčková</t>
  </si>
  <si>
    <t>Slezák</t>
  </si>
  <si>
    <t>Slobodová</t>
  </si>
  <si>
    <t>Sládková</t>
  </si>
  <si>
    <t>Smitek</t>
  </si>
  <si>
    <t>Smitková</t>
  </si>
  <si>
    <t>Smola</t>
  </si>
  <si>
    <t>Jaroslav st.</t>
  </si>
  <si>
    <t>Soldán</t>
  </si>
  <si>
    <t>Soukup</t>
  </si>
  <si>
    <t>Spilka</t>
  </si>
  <si>
    <t>Srnská</t>
  </si>
  <si>
    <t>Srnský</t>
  </si>
  <si>
    <t>Stacke</t>
  </si>
  <si>
    <t>Staněk</t>
  </si>
  <si>
    <t>Steiger</t>
  </si>
  <si>
    <t>Bohumír</t>
  </si>
  <si>
    <t>Stejskal</t>
  </si>
  <si>
    <t>Stephan</t>
  </si>
  <si>
    <t>Stloukal</t>
  </si>
  <si>
    <t>Stoklásek</t>
  </si>
  <si>
    <t>Stoklásková</t>
  </si>
  <si>
    <t>Straková</t>
  </si>
  <si>
    <t>Strouhal</t>
  </si>
  <si>
    <t>Strouhalová</t>
  </si>
  <si>
    <t>Terezie</t>
  </si>
  <si>
    <t>Strych</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</si>
  <si>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</si>
  <si>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</si>
  <si>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</si>
  <si>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</si>
  <si>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</si>
  <si>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</si>
  <si>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</si>
  <si>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</si>
  <si>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</si>
  <si>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</si>
  <si>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</si>
  <si>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</si>
  <si>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</si>
  <si>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</si>
  <si>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</si>
  <si>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</si>
  <si>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</si>
  <si>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</si>
  <si>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</si>
  <si>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</si>
  <si>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</si>
  <si>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</si>
  <si>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</si>
  <si>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</si>
  <si>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</si>
  <si>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</si>
  <si>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</si>
  <si>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</si>
  <si>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Vais</t>
  </si>
  <si>
    <t>Vajová</t>
  </si>
  <si>
    <t>Vajčovec</t>
  </si>
  <si>
    <t>Valenta</t>
  </si>
  <si>
    <t>Valentová</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</si>
  <si>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</si>
  <si>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</si>
  <si>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</si>
  <si>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</si>
  <si>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</si>
  <si>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</si>
  <si>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</si>
  <si>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</si>
  <si>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</si>
  <si>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</si>
  <si>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</si>
  <si>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</si>
  <si>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</si>
  <si>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</si>
  <si>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</si>
  <si>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</si>
  <si>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</si>
  <si>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</si>
  <si>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</si>
  <si>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</si>
  <si>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Zhi Jing</t>
  </si>
  <si>
    <t>Vedral</t>
  </si>
  <si>
    <t>Vedralová</t>
  </si>
  <si>
    <t>Vejrek</t>
  </si>
  <si>
    <t>Velek</t>
  </si>
  <si>
    <t>Vencl</t>
  </si>
  <si>
    <t>Aleš ml.</t>
  </si>
  <si>
    <t>Venclová</t>
  </si>
  <si>
    <t>Vilímová</t>
  </si>
  <si>
    <t>Vinopalová</t>
  </si>
  <si>
    <t>Vinter</t>
  </si>
  <si>
    <t>Visingerová</t>
  </si>
  <si>
    <t>Vlach</t>
  </si>
  <si>
    <t>Vlk</t>
  </si>
  <si>
    <t>Vochoč</t>
  </si>
  <si>
    <t>Vokrouhlíková</t>
  </si>
  <si>
    <t>Volenec</t>
  </si>
  <si>
    <t>Vondrouš</t>
  </si>
  <si>
    <t>Vondrová</t>
  </si>
  <si>
    <t>Vorel</t>
  </si>
  <si>
    <t>Vostradovský</t>
  </si>
  <si>
    <t>Vozka</t>
  </si>
  <si>
    <t>Voňka</t>
  </si>
  <si>
    <t>Voříšková</t>
  </si>
  <si>
    <t>Vrbová</t>
  </si>
  <si>
    <t>Vrzal</t>
  </si>
  <si>
    <t>Radomír</t>
  </si>
  <si>
    <t>Vyoral</t>
  </si>
  <si>
    <t>Hynek</t>
  </si>
  <si>
    <t>Vápeníková</t>
  </si>
  <si>
    <t>Růženka</t>
  </si>
  <si>
    <t>Váňová</t>
  </si>
  <si>
    <t>Vérosta</t>
  </si>
  <si>
    <t>Víchová</t>
  </si>
  <si>
    <t>Vítovcová</t>
  </si>
  <si>
    <t>Karolína</t>
  </si>
  <si>
    <t>Waclawiková</t>
  </si>
  <si>
    <t>Agáta</t>
  </si>
  <si>
    <t>Weinberger</t>
  </si>
  <si>
    <t>Wilhelm</t>
  </si>
  <si>
    <t>Zajdák</t>
  </si>
  <si>
    <t>Zapletalová</t>
  </si>
  <si>
    <t>Zbořilová</t>
  </si>
  <si>
    <t>Zdobinská</t>
  </si>
  <si>
    <t>Zdobinský</t>
  </si>
  <si>
    <t>Michal ml.</t>
  </si>
  <si>
    <t>Zenklová</t>
  </si>
  <si>
    <t>Zibura</t>
  </si>
  <si>
    <t>Ziegler</t>
  </si>
  <si>
    <t>Jochen</t>
  </si>
  <si>
    <t>Zikmunda</t>
  </si>
  <si>
    <t>Znamínko</t>
  </si>
  <si>
    <t>Zoubek</t>
  </si>
  <si>
    <t>Zábojník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</si>
  <si>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</si>
  <si>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</si>
  <si>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</si>
  <si>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</si>
  <si>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</si>
  <si>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</si>
  <si>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</si>
  <si>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</si>
  <si>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</si>
  <si>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</si>
  <si>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</si>
  <si>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</si>
  <si>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</si>
  <si>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</si>
  <si>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</si>
  <si>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</si>
  <si>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</si>
  <si>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</si>
  <si>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</si>
  <si>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Škarda</t>
  </si>
  <si>
    <t>Škarvada</t>
  </si>
  <si>
    <t>Šklíba</t>
  </si>
  <si>
    <t>Škobrtal</t>
  </si>
  <si>
    <t>Škopek</t>
  </si>
  <si>
    <t>Škorničková</t>
  </si>
  <si>
    <t>Šlapanský</t>
  </si>
  <si>
    <t>Luboš St.</t>
  </si>
  <si>
    <t>Šlezarová</t>
  </si>
  <si>
    <t>Šmic</t>
  </si>
  <si>
    <t>Šnajdrová</t>
  </si>
  <si>
    <t>Šorm</t>
  </si>
  <si>
    <t>Šormová</t>
  </si>
  <si>
    <t>Španerová</t>
  </si>
  <si>
    <t>Špitálský</t>
  </si>
  <si>
    <t>Šplechtová</t>
  </si>
  <si>
    <t>Šplíchal</t>
  </si>
  <si>
    <t>Šponer</t>
  </si>
  <si>
    <t>Šrubař</t>
  </si>
  <si>
    <t>Šrubařová</t>
  </si>
  <si>
    <t>Šternberg</t>
  </si>
  <si>
    <t>Šternbergová</t>
  </si>
  <si>
    <t>Štol</t>
  </si>
  <si>
    <t>Štolová</t>
  </si>
  <si>
    <t>Jasmína</t>
  </si>
  <si>
    <t>Štverková</t>
  </si>
  <si>
    <t>Štěpánek</t>
  </si>
  <si>
    <t>Štěpánková</t>
  </si>
  <si>
    <t>Zdeńka</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</si>
  <si>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</si>
  <si>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</si>
  <si>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</si>
  <si>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</si>
  <si>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</si>
  <si>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</si>
  <si>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</si>
  <si>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</si>
  <si>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</si>
  <si>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</si>
  <si>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</si>
  <si>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</si>
  <si>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</si>
  <si>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</si>
  <si>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</si>
  <si>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</si>
  <si>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</si>
  <si>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</si>
  <si>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</si>
  <si>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</si>
  <si>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</si>
  <si>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Čermák</t>
  </si>
  <si>
    <t>Čermáková</t>
  </si>
  <si>
    <t>Černá</t>
  </si>
  <si>
    <t>Černý</t>
  </si>
  <si>
    <t>Červenková</t>
  </si>
  <si>
    <t>Čihák</t>
  </si>
  <si>
    <t>Čížek</t>
  </si>
  <si>
    <t>Řehoř</t>
  </si>
  <si>
    <t>Řezníková</t>
  </si>
  <si>
    <t>Řezníček</t>
  </si>
  <si>
    <t>Řezníčková</t>
  </si>
  <si>
    <t>Řezáčová</t>
  </si>
  <si>
    <t>Svatava</t>
  </si>
  <si>
    <t>Řeřucha</t>
  </si>
  <si>
    <t>Říha</t>
  </si>
  <si>
    <t>Říhová</t>
  </si>
  <si>
    <t xml:space="preserve"> Sem se zkopírují přihlášky z internetu</t>
  </si>
  <si>
    <t>Počet přihlášených týmů: 16</t>
  </si>
  <si>
    <t>regionál</t>
  </si>
  <si>
    <t>Pořádá PK Polouvsí</t>
  </si>
  <si>
    <t> </t>
  </si>
  <si>
    <t xml:space="preserve">••• trojice </t>
  </si>
  <si>
    <t xml:space="preserve"> Odtud jdou údaje do Startovní listiny</t>
  </si>
  <si>
    <t xml:space="preserve"> tady se opravují, dokud není ve </t>
  </si>
  <si>
    <t xml:space="preserve"> Startovní listině vše v pořádku</t>
  </si>
  <si>
    <t>Č. licence</t>
  </si>
  <si>
    <t>Příjmení a jméno Odhlásit tým</t>
  </si>
  <si>
    <t>Klub</t>
  </si>
  <si>
    <t>CŽ</t>
  </si>
  <si>
    <t>Síla: 80.689</t>
  </si>
  <si>
    <t xml:space="preserve">Ivo Chmelař </t>
  </si>
  <si>
    <t>28.313</t>
  </si>
  <si>
    <t xml:space="preserve">název týmu se odvozuje </t>
  </si>
  <si>
    <t xml:space="preserve">Yvetta Chmelařová </t>
  </si>
  <si>
    <t>28.125</t>
  </si>
  <si>
    <t>od názvu klubu prvního hráče</t>
  </si>
  <si>
    <t xml:space="preserve">Vladimír Vašíček </t>
  </si>
  <si>
    <t>24.251</t>
  </si>
  <si>
    <t>Síla: 78.972</t>
  </si>
  <si>
    <t xml:space="preserve">Pavel Bureš St. </t>
  </si>
  <si>
    <t>31.375</t>
  </si>
  <si>
    <t xml:space="preserve">Lenka Svobodová </t>
  </si>
  <si>
    <t>SKP Hranice VI.-Valšovice</t>
  </si>
  <si>
    <t>25.314</t>
  </si>
  <si>
    <t xml:space="preserve">Jiří Gratcl </t>
  </si>
  <si>
    <t>22.283</t>
  </si>
  <si>
    <t>Síla: 77.344</t>
  </si>
  <si>
    <t xml:space="preserve">Jiří Ulmann </t>
  </si>
  <si>
    <t>32.625</t>
  </si>
  <si>
    <t xml:space="preserve">Marek Olšár </t>
  </si>
  <si>
    <t>18.844</t>
  </si>
  <si>
    <t xml:space="preserve">Kamil Jurišta </t>
  </si>
  <si>
    <t>25.875</t>
  </si>
  <si>
    <t>Síla: 69.877</t>
  </si>
  <si>
    <t xml:space="preserve">František Krpec </t>
  </si>
  <si>
    <t>28.751</t>
  </si>
  <si>
    <t xml:space="preserve">Robin Konšel "J" </t>
  </si>
  <si>
    <t>31.313</t>
  </si>
  <si>
    <t xml:space="preserve">Lenka Konšelová </t>
  </si>
  <si>
    <t>9.813</t>
  </si>
  <si>
    <t>Síla: 54.909</t>
  </si>
  <si>
    <t xml:space="preserve">Jiří Karásek </t>
  </si>
  <si>
    <t>22.001</t>
  </si>
  <si>
    <t xml:space="preserve">Františka Karásková </t>
  </si>
  <si>
    <t>18.876</t>
  </si>
  <si>
    <t xml:space="preserve">Bronislava Urbanová </t>
  </si>
  <si>
    <t>14.032</t>
  </si>
  <si>
    <t>Síla: 53.407</t>
  </si>
  <si>
    <t xml:space="preserve">Karel Mrlina </t>
  </si>
  <si>
    <t>26.250</t>
  </si>
  <si>
    <t xml:space="preserve">Jana Mrlinová </t>
  </si>
  <si>
    <t>11.344</t>
  </si>
  <si>
    <t xml:space="preserve">Jiří Němec </t>
  </si>
  <si>
    <t>15.813</t>
  </si>
  <si>
    <t>Síla: 52.19</t>
  </si>
  <si>
    <t xml:space="preserve">Magda Sjögren </t>
  </si>
  <si>
    <t>19.002</t>
  </si>
  <si>
    <t xml:space="preserve">Jiřina Kotová </t>
  </si>
  <si>
    <t>16.594</t>
  </si>
  <si>
    <t xml:space="preserve">Pavel Kot </t>
  </si>
  <si>
    <t>Síla: 43.128</t>
  </si>
  <si>
    <t xml:space="preserve">Jan Bukovčík </t>
  </si>
  <si>
    <t>9.001</t>
  </si>
  <si>
    <t xml:space="preserve">Jaroslav Ševčík </t>
  </si>
  <si>
    <t>17.689</t>
  </si>
  <si>
    <t xml:space="preserve">Kamil Vajčovec </t>
  </si>
  <si>
    <t>16.438</t>
  </si>
  <si>
    <t>Síla: 40.969</t>
  </si>
  <si>
    <t xml:space="preserve">Petr Bejšovec "J" </t>
  </si>
  <si>
    <t>29.438</t>
  </si>
  <si>
    <t xml:space="preserve">Jan Buchta </t>
  </si>
  <si>
    <t>10.750</t>
  </si>
  <si>
    <t xml:space="preserve">Jan Botek "J" </t>
  </si>
  <si>
    <t>0.781</t>
  </si>
  <si>
    <t>Síla: 39.912</t>
  </si>
  <si>
    <t xml:space="preserve">Vladimír Ilgner </t>
  </si>
  <si>
    <t>15.315</t>
  </si>
  <si>
    <t xml:space="preserve">Petr Blažej </t>
  </si>
  <si>
    <t>16.877</t>
  </si>
  <si>
    <t xml:space="preserve">Jiří Krtička </t>
  </si>
  <si>
    <t>7.720</t>
  </si>
  <si>
    <t>Síla: 32.504</t>
  </si>
  <si>
    <t xml:space="preserve">Josef Koudelka </t>
  </si>
  <si>
    <t>9.501</t>
  </si>
  <si>
    <t xml:space="preserve">Magdaléna Koudelková </t>
  </si>
  <si>
    <t>10.126</t>
  </si>
  <si>
    <t xml:space="preserve">Yvonne Marečková </t>
  </si>
  <si>
    <t>12.877</t>
  </si>
  <si>
    <t>Síla: 31.096</t>
  </si>
  <si>
    <t xml:space="preserve">Sára Valošková "J" </t>
  </si>
  <si>
    <t>11.501</t>
  </si>
  <si>
    <t xml:space="preserve">Lukáš Ondryhal "J" </t>
  </si>
  <si>
    <t>14.813</t>
  </si>
  <si>
    <t xml:space="preserve">Hugo Valošek "J" </t>
  </si>
  <si>
    <t>4.782</t>
  </si>
  <si>
    <t>Síla: 18.66</t>
  </si>
  <si>
    <t xml:space="preserve">Petr Navrátil </t>
  </si>
  <si>
    <t>3.126</t>
  </si>
  <si>
    <t xml:space="preserve">Luboš Ptáček </t>
  </si>
  <si>
    <t>0.000</t>
  </si>
  <si>
    <t xml:space="preserve">Eva Blažejová </t>
  </si>
  <si>
    <t>15.534</t>
  </si>
  <si>
    <t>Síla: 13.313</t>
  </si>
  <si>
    <t xml:space="preserve">Miroslav Suk </t>
  </si>
  <si>
    <t>6.594</t>
  </si>
  <si>
    <t xml:space="preserve">Pavel Ondruška </t>
  </si>
  <si>
    <t>2.875</t>
  </si>
  <si>
    <t xml:space="preserve">Jan Ježíšek </t>
  </si>
  <si>
    <t>3.844</t>
  </si>
  <si>
    <t>Síla: 8.377</t>
  </si>
  <si>
    <t xml:space="preserve">Eva Suková </t>
  </si>
  <si>
    <t>6.251</t>
  </si>
  <si>
    <t xml:space="preserve">Božena Ježíšková </t>
  </si>
  <si>
    <t>2.126</t>
  </si>
  <si>
    <t xml:space="preserve">Monika Jahnová </t>
  </si>
  <si>
    <t>Síla: 3</t>
  </si>
  <si>
    <t xml:space="preserve">Radomír Vrzal </t>
  </si>
  <si>
    <t>3.000</t>
  </si>
  <si>
    <t xml:space="preserve">Jiří Gráfik </t>
  </si>
  <si>
    <t>Jarda Knápek</t>
  </si>
  <si>
    <t>  </t>
  </si>
  <si>
    <t>KK</t>
  </si>
  <si>
    <t>Startovní / výsledková listina turnaje</t>
  </si>
  <si>
    <t xml:space="preserve">Kvalita turnaje: </t>
  </si>
  <si>
    <t>Poř.č. turnaje</t>
  </si>
  <si>
    <t xml:space="preserve">Třída turnaje: </t>
  </si>
  <si>
    <t xml:space="preserve">Bonusové body: </t>
  </si>
  <si>
    <t>Datum</t>
  </si>
  <si>
    <t xml:space="preserve">Plný pavouk: </t>
  </si>
  <si>
    <t>Ano</t>
  </si>
  <si>
    <t xml:space="preserve">Paušální body: </t>
  </si>
  <si>
    <t>Název</t>
  </si>
  <si>
    <t xml:space="preserve">Kola: </t>
  </si>
  <si>
    <t>Místo</t>
  </si>
  <si>
    <t xml:space="preserve">Časový odhad zákl. sk.: </t>
  </si>
  <si>
    <t>hod.</t>
  </si>
  <si>
    <t xml:space="preserve"> minut / zápas</t>
  </si>
  <si>
    <t>Počet hráčů / tým</t>
  </si>
  <si>
    <t>Počet skupin po :</t>
  </si>
  <si>
    <t xml:space="preserve">Časový odhad KO: </t>
  </si>
  <si>
    <t xml:space="preserve"> číslo prvního hřiště</t>
  </si>
  <si>
    <t>Počet týmů</t>
  </si>
  <si>
    <t>Max. počet týmů ve sk.:</t>
  </si>
  <si>
    <t xml:space="preserve"> skupin celkem</t>
  </si>
  <si>
    <t xml:space="preserve">Do KO postupuje: </t>
  </si>
  <si>
    <t>týmů</t>
  </si>
  <si>
    <t xml:space="preserve">  týmů ze skupiny do KO</t>
  </si>
  <si>
    <t xml:space="preserve">Počet hřišť: </t>
  </si>
  <si>
    <t xml:space="preserve"> uvést číslo nasazení v názvu týmu</t>
  </si>
  <si>
    <t>Hráč č. 1</t>
  </si>
  <si>
    <t xml:space="preserve">      Týmy (hráči)  se vkládají nejlépe přes list Internet</t>
  </si>
  <si>
    <t>Hráč č. 2</t>
  </si>
  <si>
    <t>Hráč č. 3</t>
  </si>
  <si>
    <t>Hráč č. 4</t>
  </si>
  <si>
    <t>náhradník</t>
  </si>
  <si>
    <t>Počet hráčů</t>
  </si>
  <si>
    <t>OK Tým</t>
  </si>
  <si>
    <t>Celkem Síla</t>
  </si>
  <si>
    <t>Celkem CŽ</t>
  </si>
  <si>
    <t>Min. CŽ hráče</t>
  </si>
  <si>
    <t>Klíč nasazení</t>
  </si>
  <si>
    <t>OK</t>
  </si>
  <si>
    <t>Nasazení týmu</t>
  </si>
  <si>
    <t>Licence</t>
  </si>
  <si>
    <t>Příjmení</t>
  </si>
  <si>
    <t>Jméno</t>
  </si>
  <si>
    <t>Síla</t>
  </si>
  <si>
    <t>Jmeno</t>
  </si>
  <si>
    <t>Konečné pořadí</t>
  </si>
  <si>
    <t>Body</t>
  </si>
  <si>
    <t>Bonus</t>
  </si>
  <si>
    <t>Postupové body</t>
  </si>
  <si>
    <t>Název týmu</t>
  </si>
  <si>
    <t>Síla týmu</t>
  </si>
  <si>
    <t>Duplicity H1</t>
  </si>
  <si>
    <t>Duplicity H2</t>
  </si>
  <si>
    <t>Duplicity H3</t>
  </si>
  <si>
    <t>Duplicity H4</t>
  </si>
  <si>
    <t>Duplicita v týmu</t>
  </si>
  <si>
    <t>KVALITA turnaje</t>
  </si>
  <si>
    <t>Součet síly=</t>
  </si>
  <si>
    <t>Prijmeni</t>
  </si>
  <si>
    <t>Zařazení do základních skupin</t>
  </si>
  <si>
    <t>Skupina</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</si>
  <si>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</si>
  <si>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</si>
  <si>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</si>
  <si>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</si>
  <si>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</si>
  <si>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</si>
  <si>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</si>
  <si>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</si>
  <si>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</si>
  <si>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</si>
  <si>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</si>
  <si>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</si>
  <si>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</si>
  <si>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</si>
  <si>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</si>
  <si>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</si>
  <si>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</si>
  <si>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Jaké bylo počasí</t>
  </si>
  <si>
    <t>Protesty podané na turnaji</t>
  </si>
  <si>
    <t>Negativní signály na turnaji</t>
  </si>
  <si>
    <t>Vyjádření delegáta</t>
  </si>
  <si>
    <t>Vyjádření hl.rozhodčího</t>
  </si>
  <si>
    <t>Vyjádření ředitele turnaje</t>
  </si>
  <si>
    <t>SKUPINA</t>
  </si>
  <si>
    <t>a</t>
  </si>
  <si>
    <t xml:space="preserve">Hra "Každý s každým"        </t>
  </si>
  <si>
    <t>Hřiště</t>
  </si>
  <si>
    <t>Počet hřišť</t>
  </si>
  <si>
    <t>Kriteria pro pořadí</t>
  </si>
  <si>
    <t>Pomocné výpočty</t>
  </si>
  <si>
    <t>při počtu výher</t>
  </si>
  <si>
    <t>Ozn.</t>
  </si>
  <si>
    <t>Kolo</t>
  </si>
  <si>
    <t xml:space="preserve"> Výsledek</t>
  </si>
  <si>
    <t>Hrál</t>
  </si>
  <si>
    <t xml:space="preserve">Výher celkem </t>
  </si>
  <si>
    <t>Výher vzáj.</t>
  </si>
  <si>
    <t>Rozdíl skóre vzáj.</t>
  </si>
  <si>
    <t>Rozdíl skóre celkem</t>
  </si>
  <si>
    <t>Pozit. Body celkem</t>
  </si>
  <si>
    <t>nový zápas</t>
  </si>
  <si>
    <t>Klíč třídění pro pořadí</t>
  </si>
  <si>
    <t>Pořadí</t>
  </si>
  <si>
    <t>Zjištění počtu týmů</t>
  </si>
  <si>
    <t>Počty výher</t>
  </si>
  <si>
    <t>Celkový rozdíl skóre ze všech utkání</t>
  </si>
  <si>
    <t>Celkový počet pozitivních boů</t>
  </si>
  <si>
    <t>Třídění pořadí</t>
  </si>
  <si>
    <t>Výsledek zápasu se zapisuje jako poměr toho kdo je na řádku k tomu kdo je ve sloupci</t>
  </si>
  <si>
    <t>Pořadí pro postup</t>
  </si>
  <si>
    <t>Označení</t>
  </si>
  <si>
    <t>1º</t>
  </si>
  <si>
    <t>2º</t>
  </si>
  <si>
    <t>3º</t>
  </si>
  <si>
    <t>4º</t>
  </si>
  <si>
    <t>Skupina se 4 výhrami</t>
  </si>
  <si>
    <t>uplatnit</t>
  </si>
  <si>
    <t>Skupina se 3 výhrami</t>
  </si>
  <si>
    <t>Skupina se 2 výhrami</t>
  </si>
  <si>
    <t>Skupina s 1 výhrou</t>
  </si>
  <si>
    <t>A</t>
  </si>
  <si>
    <t>B</t>
  </si>
  <si>
    <t>C</t>
  </si>
  <si>
    <t>D</t>
  </si>
  <si>
    <t>E</t>
  </si>
  <si>
    <t>F</t>
  </si>
  <si>
    <t>G</t>
  </si>
  <si>
    <t>H</t>
  </si>
  <si>
    <t>I</t>
  </si>
  <si>
    <t>K</t>
  </si>
  <si>
    <t>L</t>
  </si>
  <si>
    <t>M</t>
  </si>
  <si>
    <t>N</t>
  </si>
  <si>
    <t>O</t>
  </si>
  <si>
    <t>P</t>
  </si>
  <si>
    <t>Q</t>
  </si>
  <si>
    <t>R</t>
  </si>
  <si>
    <t>T</t>
  </si>
  <si>
    <t>U</t>
  </si>
  <si>
    <t>W</t>
  </si>
  <si>
    <t>X</t>
  </si>
  <si>
    <t>Y</t>
  </si>
  <si>
    <t>AA</t>
  </si>
  <si>
    <t>AB</t>
  </si>
  <si>
    <t>AC</t>
  </si>
  <si>
    <t>AD</t>
  </si>
  <si>
    <t>AE</t>
  </si>
  <si>
    <t>AF</t>
  </si>
  <si>
    <t>Výsledky základních skupin</t>
  </si>
  <si>
    <t>Ve    skupině</t>
  </si>
  <si>
    <t>Postupuje</t>
  </si>
  <si>
    <t>Tým</t>
  </si>
  <si>
    <t>Postup do pavouka KO</t>
  </si>
  <si>
    <t>skupin</t>
  </si>
  <si>
    <t>obrátit</t>
  </si>
  <si>
    <t>Pořadí v turnaji</t>
  </si>
  <si>
    <t>Po skupinách postupuje</t>
  </si>
  <si>
    <t>Pořadí ve skupině</t>
  </si>
  <si>
    <t xml:space="preserve"> Po skupinách</t>
  </si>
  <si>
    <t>Obsadil tým</t>
  </si>
  <si>
    <t>KO4</t>
  </si>
  <si>
    <t>3 - 4</t>
  </si>
  <si>
    <t>Dohra 5-8</t>
  </si>
  <si>
    <t>KO8</t>
  </si>
  <si>
    <t>Dohra 9-16</t>
  </si>
  <si>
    <t>KO16</t>
  </si>
  <si>
    <t>KO32</t>
  </si>
  <si>
    <t>KO64</t>
  </si>
  <si>
    <t>první hřiště</t>
  </si>
  <si>
    <t>Losování pro KO</t>
  </si>
  <si>
    <t>skupina</t>
  </si>
  <si>
    <t>pořadí</t>
  </si>
  <si>
    <t>PAVOUK KO</t>
  </si>
  <si>
    <t>SEMIFINÁLE</t>
  </si>
  <si>
    <t>FINÁLE</t>
  </si>
  <si>
    <t>VÍTĚZ</t>
  </si>
  <si>
    <t xml:space="preserve">Hřiště </t>
  </si>
  <si>
    <t xml:space="preserve"> </t>
  </si>
  <si>
    <t>Dohrávka</t>
  </si>
  <si>
    <t>o 3 - 4. Místo</t>
  </si>
  <si>
    <t>Dohrávka 9-16</t>
  </si>
  <si>
    <t>o 9. - 10. místo</t>
  </si>
  <si>
    <t>o 11. - 12. místo</t>
  </si>
  <si>
    <t>o 13. - 16. místo</t>
  </si>
  <si>
    <t>o 13. - 14. místo</t>
  </si>
  <si>
    <t>o 15. - 16. místo</t>
  </si>
  <si>
    <t>Dohrávka 5-8</t>
  </si>
  <si>
    <t>o 5. - 6. místo</t>
  </si>
  <si>
    <t>o 7. - 8. místo</t>
  </si>
  <si>
    <t>Pomocné výpočty pro zjištění pořadí</t>
  </si>
  <si>
    <t>Pořadí nasazení v turnaji</t>
  </si>
  <si>
    <t>Nasazení ve skupině</t>
  </si>
  <si>
    <t>Výsledné pořadí</t>
  </si>
  <si>
    <t>Pořadí 1-16</t>
  </si>
  <si>
    <t>Celkem</t>
  </si>
  <si>
    <t>Rozpis hry do plného pavouka (podle počtu týmů)</t>
  </si>
  <si>
    <t xml:space="preserve">    pro 1. kolo</t>
  </si>
  <si>
    <t>Týmů na turnaji</t>
  </si>
  <si>
    <t>Skupin</t>
  </si>
  <si>
    <t>SkupinyMAX po  (týmů)</t>
  </si>
  <si>
    <t>Skupin MAX obsazených</t>
  </si>
  <si>
    <t>Zbylých skupin</t>
  </si>
  <si>
    <t>Kontrola</t>
  </si>
  <si>
    <t>Do KO postupuje (týmů)</t>
  </si>
  <si>
    <t>Tabulky pro hru „každý s každým“ s rozpisem hřišť</t>
  </si>
  <si>
    <t>Klíč</t>
  </si>
  <si>
    <t>Soupeři</t>
  </si>
  <si>
    <t>Pro 3 týmy</t>
  </si>
  <si>
    <t>hř.1</t>
  </si>
  <si>
    <t>1.kolo</t>
  </si>
  <si>
    <t>-</t>
  </si>
  <si>
    <t>2.kolo</t>
  </si>
  <si>
    <t>3.kolo</t>
  </si>
  <si>
    <t>Pro 4 týmy</t>
  </si>
  <si>
    <t>hř.2</t>
  </si>
  <si>
    <t>Pro 5 týmů</t>
  </si>
  <si>
    <t>4.kolo</t>
  </si>
  <si>
    <t>5.kolo</t>
  </si>
  <si>
    <t>Pro 6 týmů</t>
  </si>
  <si>
    <t>hř.3</t>
  </si>
  <si>
    <t>BODY za umístění v turnaji</t>
  </si>
  <si>
    <t>Počet kol turnaje</t>
  </si>
  <si>
    <t xml:space="preserve">  Počet týmů</t>
  </si>
  <si>
    <t>Postupové Body</t>
  </si>
  <si>
    <t>minus [kola]</t>
  </si>
  <si>
    <t>plus [zlomek]</t>
  </si>
  <si>
    <t>Body za turnaj</t>
  </si>
  <si>
    <t>PK =</t>
  </si>
  <si>
    <t>Tabulka BONUSOVÝCH BODŮ</t>
  </si>
  <si>
    <t>Třída turnaje</t>
  </si>
  <si>
    <t>Tabulka PAUŠÁLNÍCH BODŮ</t>
  </si>
  <si>
    <t>Paušální body</t>
  </si>
  <si>
    <t>Tabulka POČTU KOL (PK) turnaje podle počtu týmů v turnaji</t>
  </si>
  <si>
    <t>Počet týmů od</t>
  </si>
  <si>
    <t>Počet týmů do (včetně)</t>
  </si>
  <si>
    <t>Počet kol</t>
  </si>
  <si>
    <t>Počet týmů =</t>
  </si>
  <si>
    <t>Výsledková listina turnaje</t>
  </si>
  <si>
    <t xml:space="preserve">  Kvalita</t>
  </si>
  <si>
    <t>Poradi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</si>
</sst>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yy"/>
    <numFmt numFmtId="165" formatCode="0.000"/>
    <numFmt numFmtId="166" formatCode="0.0"/>
    <numFmt numFmtId="167" formatCode="d/m/yyyy;@"/>
  </numFmts>
  <fonts count="85">
    <font>
      <sz val="8"/>
      <name val="Comic Sans MS"/>
      <family val="4"/>
      <charset val="1"/>
    </font>
    <font>
      <b/>
      <u/>
      <sz val="10"/>
      <name val="Comic Sans MS"/>
      <family val="4"/>
      <charset val="1"/>
    </font>
    <font>
      <sz val="16"/>
      <name val="Comic Sans MS"/>
      <family val="4"/>
      <charset val="1"/>
    </font>
    <font>
      <b/>
      <sz val="8"/>
      <name val="Comic Sans MS"/>
      <family val="4"/>
      <charset val="238"/>
    </font>
    <font>
      <b/>
      <sz val="8"/>
      <color rgb="FFFF0000"/>
      <name val="Comic Sans MS"/>
      <family val="4"/>
      <charset val="238"/>
    </font>
    <font>
      <u/>
      <sz val="14"/>
      <color rgb="FF0066CC"/>
      <name val="Comic Sans MS"/>
      <family val="4"/>
      <charset val="238"/>
    </font>
    <font>
      <sz val="8"/>
      <color rgb="FFFF0000"/>
      <name val="Comic Sans MS"/>
      <family val="4"/>
      <charset val="238"/>
    </font>
    <font>
      <b/>
      <u/>
      <sz val="8"/>
      <name val="Comic Sans MS"/>
      <family val="4"/>
      <charset val="1"/>
    </font>
    <font>
      <sz val="8"/>
      <name val="Comic Sans MS"/>
      <family val="4"/>
      <charset val="238"/>
    </font>
    <font>
      <b/>
      <u/>
      <sz val="8"/>
      <name val="Comic Sans MS"/>
      <family val="4"/>
      <charset val="238"/>
    </font>
    <font>
      <b/>
      <sz val="8"/>
      <name val="Arial Narrow"/>
      <family val="2"/>
      <charset val="1"/>
    </font>
    <font>
      <b/>
      <sz val="8"/>
      <name val="Comic Sans MS"/>
      <family val="4"/>
      <charset val="1"/>
    </font>
    <font>
      <sz val="7"/>
      <name val="Comic Sans MS"/>
      <family val="4"/>
      <charset val="1"/>
    </font>
    <font>
      <b/>
      <sz val="8"/>
      <color rgb="FF000000"/>
      <name val="Tahoma"/>
      <family val="2"/>
      <charset val="238"/>
    </font>
    <font>
      <b/>
      <sz val="24"/>
      <name val="Arial CE"/>
      <family val="2"/>
      <charset val="238"/>
    </font>
    <font>
      <b/>
      <sz val="10"/>
      <name val="Arial CE"/>
      <family val="2"/>
      <charset val="238"/>
    </font>
    <font>
      <sz val="10"/>
      <name val="Arial CE"/>
      <family val="2"/>
      <charset val="238"/>
    </font>
    <font>
      <b/>
      <sz val="10"/>
      <name val="Arial"/>
      <family val="2"/>
      <charset val="238"/>
    </font>
    <font>
      <b/>
      <sz val="12"/>
      <name val="Arial CE"/>
      <family val="2"/>
      <charset val="238"/>
    </font>
    <font>
      <b/>
      <sz val="10"/>
      <color rgb="FF000000"/>
      <name val="Tahoma"/>
      <family val="2"/>
      <charset val="1"/>
    </font>
    <font>
      <b/>
      <sz val="16"/>
      <name val="Comic Sans MS"/>
      <family val="4"/>
      <charset val="1"/>
    </font>
    <font>
      <sz val="8"/>
      <color rgb="FFFFFFFF"/>
      <name val="Comic Sans MS"/>
      <family val="4"/>
      <charset val="1"/>
    </font>
    <font>
      <b/>
      <sz val="10"/>
      <color rgb="FFFF0000"/>
      <name val="Comic Sans MS"/>
      <family val="4"/>
      <charset val="1"/>
    </font>
    <font>
      <u/>
      <sz val="8"/>
      <color rgb="FF0000FF"/>
      <name val="Comic Sans MS"/>
      <family val="4"/>
      <charset val="1"/>
    </font>
    <font>
      <b/>
      <sz val="10"/>
      <name val="Verdana"/>
      <family val="2"/>
      <charset val="238"/>
    </font>
    <font>
      <b/>
      <sz val="10"/>
      <color rgb="FFFFFFFF"/>
      <name val="Verdana"/>
      <family val="2"/>
      <charset val="238"/>
    </font>
    <font>
      <b/>
      <sz val="10"/>
      <name val="Verdana"/>
      <family val="2"/>
      <charset val="1"/>
    </font>
    <font>
      <sz val="20"/>
      <name val="Comic Sans MS"/>
      <family val="4"/>
      <charset val="1"/>
    </font>
    <font>
      <b/>
      <sz val="14"/>
      <name val="Arial CE"/>
      <family val="2"/>
      <charset val="238"/>
    </font>
    <font>
      <sz val="8"/>
      <name val="Arial"/>
      <family val="2"/>
      <charset val="1"/>
    </font>
    <font>
      <i/>
      <sz val="8"/>
      <name val="Comic Sans MS"/>
      <family val="4"/>
      <charset val="238"/>
    </font>
    <font>
      <i/>
      <sz val="7"/>
      <name val="Comic Sans MS"/>
      <family val="4"/>
      <charset val="238"/>
    </font>
    <font>
      <b/>
      <sz val="8"/>
      <name val="Arial CE"/>
      <family val="2"/>
      <charset val="238"/>
    </font>
    <font>
      <b/>
      <sz val="8"/>
      <color rgb="FFFF0000"/>
      <name val="Comic Sans MS"/>
      <family val="4"/>
      <charset val="1"/>
    </font>
    <font>
      <b/>
      <sz val="7"/>
      <name val="Arial CE"/>
      <family val="2"/>
      <charset val="238"/>
    </font>
    <font>
      <sz val="8"/>
      <color rgb="FF000000"/>
      <name val="Tahoma"/>
      <family val="2"/>
      <charset val="238"/>
    </font>
    <font>
      <sz val="10"/>
      <color rgb="FF000000"/>
      <name val="Tahoma"/>
      <family val="2"/>
      <charset val="1"/>
    </font>
    <font>
      <b/>
      <u/>
      <sz val="10"/>
      <color rgb="FF000000"/>
      <name val="Tahoma"/>
      <family val="2"/>
      <charset val="1"/>
    </font>
    <font>
      <i/>
      <sz val="10"/>
      <color rgb="FF000000"/>
      <name val="Tahoma"/>
      <family val="2"/>
      <charset val="1"/>
    </font>
    <font>
      <b/>
      <i/>
      <sz val="8"/>
      <color rgb="FF000000"/>
      <name val="Tahoma"/>
      <family val="2"/>
      <charset val="238"/>
    </font>
    <font>
      <b/>
      <i/>
      <sz val="8"/>
      <color rgb="FFFF0000"/>
      <name val="Tahoma"/>
      <family val="2"/>
      <charset val="238"/>
    </font>
    <font>
      <b/>
      <sz val="8"/>
      <color rgb="FFFF0000"/>
      <name val="Tahoma"/>
      <family val="2"/>
      <charset val="238"/>
    </font>
    <font>
      <b/>
      <sz val="12"/>
      <name val="Comic Sans MS"/>
      <family val="4"/>
      <charset val="1"/>
    </font>
    <font>
      <sz val="14"/>
      <color rgb="FFFF00FF"/>
      <name val="Comic Sans MS"/>
      <family val="4"/>
      <charset val="1"/>
    </font>
    <font>
      <sz val="10"/>
      <name val="Comic Sans MS"/>
      <family val="4"/>
      <charset val="1"/>
    </font>
    <font>
      <b/>
      <sz val="20"/>
      <name val="Arial CE"/>
      <charset val="238"/>
    </font>
    <font>
      <b/>
      <u/>
      <sz val="12"/>
      <name val="Arial CE"/>
      <charset val="238"/>
    </font>
    <font>
      <b/>
      <sz val="12"/>
      <name val="Arial CE"/>
      <charset val="238"/>
    </font>
    <font>
      <sz val="12"/>
      <name val="Arial CE"/>
      <charset val="238"/>
    </font>
    <font>
      <b/>
      <sz val="26"/>
      <name val="Arial CE"/>
      <family val="2"/>
      <charset val="238"/>
    </font>
    <font>
      <sz val="18"/>
      <name val="Comic Sans MS"/>
      <family val="4"/>
      <charset val="1"/>
    </font>
    <font>
      <sz val="14"/>
      <name val="Comic Sans MS"/>
      <family val="4"/>
      <charset val="1"/>
    </font>
    <font>
      <sz val="10"/>
      <color rgb="FFFFFFFF"/>
      <name val="Comic Sans MS"/>
      <family val="4"/>
      <charset val="1"/>
    </font>
    <font>
      <sz val="8"/>
      <name val="Arial CE"/>
      <family val="2"/>
      <charset val="238"/>
    </font>
    <font>
      <sz val="7"/>
      <name val="Arial CE"/>
      <family val="2"/>
      <charset val="238"/>
    </font>
    <font>
      <b/>
      <sz val="12"/>
      <color rgb="FFFFFFFF"/>
      <name val="Comic Sans MS"/>
      <family val="4"/>
      <charset val="238"/>
    </font>
    <font>
      <b/>
      <sz val="14"/>
      <name val="Comic Sans MS"/>
      <family val="4"/>
      <charset val="1"/>
    </font>
    <font>
      <b/>
      <sz val="14"/>
      <name val="Comic Sans MS"/>
      <family val="4"/>
      <charset val="238"/>
    </font>
    <font>
      <sz val="12"/>
      <name val="Comic Sans MS"/>
      <family val="4"/>
      <charset val="1"/>
    </font>
    <font>
      <u/>
      <sz val="12"/>
      <name val="Comic Sans MS"/>
      <family val="4"/>
      <charset val="1"/>
    </font>
    <font>
      <u/>
      <sz val="10"/>
      <name val="Comic Sans MS"/>
      <family val="4"/>
      <charset val="1"/>
    </font>
    <font>
      <b/>
      <u/>
      <sz val="14"/>
      <name val="Arial CE"/>
      <family val="2"/>
      <charset val="238"/>
    </font>
    <font>
      <b/>
      <sz val="12"/>
      <name val="Comic Sans MS"/>
      <family val="4"/>
      <charset val="238"/>
    </font>
    <font>
      <b/>
      <sz val="11"/>
      <name val="Comic Sans MS"/>
      <family val="4"/>
      <charset val="238"/>
    </font>
    <font>
      <b/>
      <sz val="10"/>
      <color rgb="FFFF0000"/>
      <name val="Tahoma"/>
      <family val="2"/>
      <charset val="238"/>
    </font>
    <font>
      <sz val="18"/>
      <color rgb="FFFFFFFF"/>
      <name val="Comic Sans MS"/>
      <family val="4"/>
      <charset val="1"/>
    </font>
    <font>
      <sz val="6"/>
      <name val="Comic Sans MS"/>
      <family val="4"/>
      <charset val="1"/>
    </font>
    <font>
      <b/>
      <sz val="7"/>
      <name val="Comic Sans MS"/>
      <family val="4"/>
      <charset val="238"/>
    </font>
    <font>
      <sz val="6"/>
      <name val="Arial CE"/>
      <family val="2"/>
      <charset val="238"/>
    </font>
    <font>
      <i/>
      <sz val="7"/>
      <name val="Arial CE"/>
      <charset val="238"/>
    </font>
    <font>
      <sz val="9"/>
      <name val="Comic Sans MS"/>
      <family val="4"/>
      <charset val="1"/>
    </font>
    <font>
      <b/>
      <i/>
      <sz val="9"/>
      <name val="Comic Sans MS"/>
      <family val="4"/>
      <charset val="1"/>
    </font>
    <font>
      <i/>
      <sz val="9"/>
      <name val="Comic Sans MS"/>
      <family val="4"/>
      <charset val="1"/>
    </font>
    <font>
      <b/>
      <sz val="9"/>
      <name val="Arial CE"/>
      <family val="2"/>
      <charset val="238"/>
    </font>
    <font>
      <sz val="5"/>
      <name val="Arial CE"/>
      <family val="2"/>
      <charset val="238"/>
    </font>
    <font>
      <sz val="9"/>
      <name val="Arial CE"/>
      <family val="2"/>
      <charset val="238"/>
    </font>
    <font>
      <b/>
      <sz val="10"/>
      <name val="Comic Sans MS"/>
      <family val="4"/>
      <charset val="1"/>
    </font>
    <font>
      <sz val="6"/>
      <color rgb="FFFFFFFF"/>
      <name val="Arial CE"/>
      <family val="2"/>
      <charset val="238"/>
    </font>
    <font>
      <b/>
      <sz val="9"/>
      <name val="Comic Sans MS"/>
      <family val="4"/>
      <charset val="1"/>
    </font>
    <font>
      <b/>
      <sz val="20"/>
      <name val="Arial CE"/>
      <family val="2"/>
      <charset val="238"/>
    </font>
    <font>
      <b/>
      <sz val="16"/>
      <name val="Geneva CE"/>
      <charset val="238"/>
    </font>
    <font>
      <i/>
      <sz val="8"/>
      <name val="Geneva CE"/>
      <charset val="238"/>
    </font>
    <font>
      <sz val="8"/>
      <name val="Geneva CE"/>
      <charset val="1"/>
    </font>
    <font>
      <b/>
      <sz val="10"/>
      <name val="Geneva CE"/>
      <charset val="238"/>
    </font>
    <font>
      <b/>
      <sz val="14"/>
      <name val="Times New Roman"/>
      <family val="1"/>
      <charset val="1"/>
    </font>
  </fonts>
  <fills count="18">
    <fill>
      <patternFill patternType="none"/>
    </fill>
    <fill>
      <patternFill patternType="gray125"/>
    </fill>
    <fill>
      <patternFill patternType="solid">
        <fgColor rgb="FF00FFFF"/>
        <bgColor rgb="FF00FFFF"/>
      </patternFill>
    </fill>
    <fill>
      <patternFill patternType="solid">
        <fgColor rgb="FFC0C0C0"/>
        <bgColor rgb="FFCCCCFF"/>
      </patternFill>
    </fill>
    <fill>
      <patternFill patternType="solid">
        <fgColor rgb="FFFFFF00"/>
        <bgColor rgb="FFFFFF00"/>
      </patternFill>
    </fill>
    <fill>
      <patternFill patternType="solid">
        <fgColor rgb="FF00FF00"/>
        <bgColor rgb="FF33CCCC"/>
      </patternFill>
    </fill>
    <fill>
      <patternFill patternType="solid">
        <fgColor rgb="FFCCFFFF"/>
        <bgColor rgb="FFCCFFFF"/>
      </patternFill>
    </fill>
    <fill>
      <patternFill patternType="solid">
        <fgColor rgb="FFFFFFFF"/>
        <bgColor rgb="FFFFFFCC"/>
      </patternFill>
    </fill>
    <fill>
      <patternFill patternType="solid">
        <fgColor rgb="FF969696"/>
        <bgColor rgb="FF808080"/>
      </patternFill>
    </fill>
    <fill>
      <patternFill patternType="solid">
        <fgColor rgb="FFFFFF99"/>
        <bgColor rgb="FFFFFFCC"/>
      </patternFill>
    </fill>
    <fill>
      <patternFill patternType="solid">
        <fgColor rgb="FFFFCC99"/>
        <bgColor rgb="FFC0C0C0"/>
      </patternFill>
    </fill>
    <fill>
      <patternFill patternType="solid">
        <fgColor rgb="FFFFCC00"/>
        <bgColor rgb="FFFFFF00"/>
      </patternFill>
    </fill>
    <fill>
      <patternFill patternType="solid">
        <fgColor rgb="FFFF00FF"/>
        <bgColor rgb="FFFF00FF"/>
      </patternFill>
    </fill>
    <fill>
      <patternFill patternType="solid">
        <fgColor rgb="FF000000"/>
        <bgColor rgb="FF003300"/>
      </patternFill>
    </fill>
    <fill>
      <patternFill patternType="solid">
        <fgColor rgb="FF808080"/>
        <bgColor rgb="FF969696"/>
      </patternFill>
    </fill>
    <fill>
      <patternFill patternType="solid">
        <fgColor rgb="FFFF9900"/>
        <bgColor rgb="FFFFCC00"/>
      </patternFill>
    </fill>
    <fill>
      <patternFill patternType="solid">
        <fgColor rgb="FFFF99CC"/>
        <bgColor rgb="FFFF8080"/>
      </patternFill>
    </fill>
    <fill>
      <patternFill patternType="solid">
        <fgColor rgb="FFCCFFCC"/>
        <bgColor rgb="FFCCFFFF"/>
      </patternFill>
    </fill>
  </fills>
  <borders count="134">
    <border>
      <left/>
      <right/>
      <top/>
      <bottom/>
      <diagonal/>
    </border>
    <border>
      <left style="medium">
        <color auto="1"/>
      </left>
      <right style="medium">
        <color auto="1"/>
      </right>
      <top style="medium">
        <color auto="1"/>
      </top>
      <bottom style="medium">
        <color auto="1"/>
      </bottom>
      <diagonal/>
    </border>
    <border>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double">
        <color auto="1"/>
      </top>
      <bottom style="double">
        <color auto="1"/>
      </bottom>
      <diagonal/>
    </border>
    <border>
      <left/>
      <right style="thin">
        <color auto="1"/>
      </right>
      <top style="medium">
        <color auto="1"/>
      </top>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double">
        <color auto="1"/>
      </right>
      <top style="medium">
        <color auto="1"/>
      </top>
      <bottom/>
      <diagonal/>
    </border>
    <border>
      <left/>
      <right style="thin">
        <color auto="1"/>
      </right>
      <top style="thin">
        <color auto="1"/>
      </top>
      <bottom/>
      <diagonal/>
    </border>
    <border>
      <left style="double">
        <color auto="1"/>
      </left>
      <right/>
      <top/>
      <bottom/>
      <diagonal/>
    </border>
    <border>
      <left style="thin">
        <color auto="1"/>
      </left>
      <right style="thin">
        <color auto="1"/>
      </right>
      <top style="medium">
        <color auto="1"/>
      </top>
      <bottom style="medium">
        <color auto="1"/>
      </bottom>
      <diagonal/>
    </border>
    <border>
      <left/>
      <right/>
      <top style="double">
        <color auto="1"/>
      </top>
      <bottom/>
      <diagonal/>
    </border>
    <border>
      <left style="thin">
        <color auto="1"/>
      </left>
      <right style="double">
        <color auto="1"/>
      </right>
      <top style="thin">
        <color auto="1"/>
      </top>
      <bottom style="thin">
        <color auto="1"/>
      </bottom>
      <diagonal/>
    </border>
    <border>
      <left style="double">
        <color auto="1"/>
      </left>
      <right style="double">
        <color auto="1"/>
      </right>
      <top style="thin">
        <color auto="1"/>
      </top>
      <bottom style="thin">
        <color auto="1"/>
      </bottom>
      <diagonal/>
    </border>
    <border>
      <left style="thick">
        <color auto="1"/>
      </left>
      <right/>
      <top style="thick">
        <color auto="1"/>
      </top>
      <bottom style="thick">
        <color auto="1"/>
      </bottom>
      <diagonal/>
    </border>
    <border>
      <left style="dotted">
        <color auto="1"/>
      </left>
      <right style="dotted">
        <color auto="1"/>
      </right>
      <top style="dotted">
        <color auto="1"/>
      </top>
      <bottom style="thick">
        <color auto="1"/>
      </bottom>
      <diagonal/>
    </border>
    <border>
      <left style="medium">
        <color auto="1"/>
      </left>
      <right style="medium">
        <color auto="1"/>
      </right>
      <top style="medium">
        <color auto="1"/>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ck">
        <color auto="1"/>
      </right>
      <top style="thick">
        <color auto="1"/>
      </top>
      <bottom style="double">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ck">
        <color auto="1"/>
      </left>
      <right style="medium">
        <color auto="1"/>
      </right>
      <top style="medium">
        <color auto="1"/>
      </top>
      <bottom style="medium">
        <color auto="1"/>
      </bottom>
      <diagonal/>
    </border>
    <border>
      <left/>
      <right/>
      <top style="double">
        <color auto="1"/>
      </top>
      <bottom style="double">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ck">
        <color auto="1"/>
      </left>
      <right/>
      <top/>
      <bottom/>
      <diagonal/>
    </border>
    <border>
      <left style="dotted">
        <color auto="1"/>
      </left>
      <right style="dotted">
        <color auto="1"/>
      </right>
      <top/>
      <bottom style="dotted">
        <color auto="1"/>
      </bottom>
      <diagonal/>
    </border>
    <border>
      <left/>
      <right/>
      <top/>
      <bottom style="thin">
        <color auto="1"/>
      </bottom>
      <diagonal/>
    </border>
    <border>
      <left style="double">
        <color auto="1"/>
      </left>
      <right style="double">
        <color auto="1"/>
      </right>
      <top style="double">
        <color auto="1"/>
      </top>
      <bottom style="thin">
        <color auto="1"/>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n">
        <color auto="1"/>
      </left>
      <right style="dotted">
        <color auto="1"/>
      </right>
      <top/>
      <bottom/>
      <diagonal/>
    </border>
    <border>
      <left/>
      <right style="thick">
        <color auto="1"/>
      </right>
      <top/>
      <bottom style="thin">
        <color auto="1"/>
      </bottom>
      <diagonal/>
    </border>
    <border>
      <left style="thick">
        <color auto="1"/>
      </left>
      <right/>
      <top/>
      <bottom style="thin">
        <color auto="1"/>
      </bottom>
      <diagonal/>
    </border>
    <border>
      <left style="dotted">
        <color auto="1"/>
      </left>
      <right style="dotted">
        <color auto="1"/>
      </right>
      <top style="dotted">
        <color auto="1"/>
      </top>
      <bottom style="dotted">
        <color auto="1"/>
      </bottom>
      <diagonal/>
    </border>
    <border>
      <left style="thin">
        <color auto="1"/>
      </left>
      <right style="dotted">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medium">
        <color auto="1"/>
      </bottom>
      <diagonal/>
    </border>
    <border>
      <left style="double">
        <color auto="1"/>
      </left>
      <right style="double">
        <color auto="1"/>
      </right>
      <top style="thin">
        <color auto="1"/>
      </top>
      <bottom style="medium">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dotted">
        <color auto="1"/>
      </right>
      <top style="thin">
        <color auto="1"/>
      </top>
      <bottom style="thick">
        <color auto="1"/>
      </bottom>
      <diagonal/>
    </border>
    <border>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style="thin">
        <color auto="1"/>
      </left>
      <right/>
      <top style="thin">
        <color auto="1"/>
      </top>
      <bottom style="thick">
        <color auto="1"/>
      </bottom>
      <diagonal/>
    </border>
    <border>
      <left style="thick">
        <color auto="1"/>
      </left>
      <right/>
      <top style="thin">
        <color auto="1"/>
      </top>
      <bottom style="thick">
        <color auto="1"/>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n">
        <color auto="1"/>
      </left>
      <right style="thick">
        <color auto="1"/>
      </right>
      <top style="thick">
        <color auto="1"/>
      </top>
      <bottom style="double">
        <color auto="1"/>
      </bottom>
      <diagonal/>
    </border>
    <border>
      <left style="thin">
        <color rgb="FFFFFFFF"/>
      </left>
      <right style="thin">
        <color rgb="FFFFFFFF"/>
      </right>
      <top/>
      <bottom/>
      <diagonal/>
    </border>
    <border>
      <left/>
      <right/>
      <top/>
      <bottom style="thin">
        <color rgb="FFFFFFFF"/>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style="thin">
        <color rgb="FFFFFFFF"/>
      </bottom>
      <diagonal/>
    </border>
    <border>
      <left style="thin">
        <color rgb="FFFFFFFF"/>
      </left>
      <right/>
      <top style="thin">
        <color rgb="FFFFFFFF"/>
      </top>
      <bottom style="thin">
        <color rgb="FFFFFFFF"/>
      </bottom>
      <diagonal/>
    </border>
    <border>
      <left/>
      <right style="thick">
        <color auto="1"/>
      </right>
      <top style="thin">
        <color rgb="FFFFFFFF"/>
      </top>
      <bottom style="thin">
        <color rgb="FFFFFFFF"/>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rgb="FFFFFFFF"/>
      </right>
      <top style="thin">
        <color rgb="FFFFFFFF"/>
      </top>
      <bottom style="thick">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ck">
        <color auto="1"/>
      </top>
      <bottom/>
      <diagonal/>
    </border>
    <border>
      <left style="thick">
        <color auto="1"/>
      </left>
      <right style="thin">
        <color rgb="FFFFFFFF"/>
      </right>
      <top style="thin">
        <color rgb="FFFFFFFF"/>
      </top>
      <bottom style="thick">
        <color auto="1"/>
      </bottom>
      <diagonal/>
    </border>
    <border>
      <left/>
      <right style="thin">
        <color rgb="FFFFFFFF"/>
      </right>
      <top/>
      <bottom style="thin">
        <color rgb="FFFFFFFF"/>
      </bottom>
      <diagonal/>
    </border>
    <border>
      <left style="thin">
        <color rgb="FFFFFFFF"/>
      </left>
      <right style="thick">
        <color auto="1"/>
      </right>
      <top style="thin">
        <color rgb="FFFFFFFF"/>
      </top>
      <bottom style="thin">
        <color rgb="FFFFFFFF"/>
      </bottom>
      <diagonal/>
    </border>
    <border>
      <left style="thick">
        <color auto="1"/>
      </left>
      <right style="thin">
        <color rgb="FFFFFFFF"/>
      </right>
      <top style="thin">
        <color rgb="FFFFFFFF"/>
      </top>
      <bottom style="thin">
        <color rgb="FFFFFFFF"/>
      </bottom>
      <diagonal/>
    </border>
    <border>
      <left style="thick">
        <color auto="1"/>
      </left>
      <right style="thick">
        <color auto="1"/>
      </right>
      <top style="thin">
        <color rgb="FFFFFFFF"/>
      </top>
      <bottom style="thick">
        <color auto="1"/>
      </bottom>
      <diagonal/>
    </border>
    <border>
      <left style="thick">
        <color auto="1"/>
      </left>
      <right style="thin">
        <color rgb="FFFFFFFF"/>
      </right>
      <top style="thick">
        <color auto="1"/>
      </top>
      <bottom style="thin">
        <color rgb="FFFFFFFF"/>
      </bottom>
      <diagonal/>
    </border>
    <border>
      <left style="thin">
        <color rgb="FFFFFFFF"/>
      </left>
      <right style="thin">
        <color rgb="FFFFFFFF"/>
      </right>
      <top style="thick">
        <color auto="1"/>
      </top>
      <bottom style="thin">
        <color rgb="FFFFFFFF"/>
      </bottom>
      <diagonal/>
    </border>
    <border>
      <left style="thick">
        <color auto="1"/>
      </left>
      <right/>
      <top style="thick">
        <color rgb="FFFFFFFF"/>
      </top>
      <bottom/>
      <diagonal/>
    </border>
    <border>
      <left/>
      <right/>
      <top style="thin">
        <color rgb="FFFFFFFF"/>
      </top>
      <bottom/>
      <diagonal/>
    </border>
    <border>
      <left style="thick">
        <color auto="1"/>
      </left>
      <right style="thin">
        <color rgb="FFFFFFFF"/>
      </right>
      <top style="thick">
        <color rgb="FFFFFFFF"/>
      </top>
      <bottom style="thick">
        <color rgb="FFFFFFFF"/>
      </bottom>
      <diagonal/>
    </border>
    <border>
      <left/>
      <right style="thin">
        <color rgb="FFFFFFFF"/>
      </right>
      <top style="thin">
        <color rgb="FFFFFFFF"/>
      </top>
      <bottom/>
      <diagonal/>
    </border>
    <border>
      <left style="thick">
        <color auto="1"/>
      </left>
      <right/>
      <top style="thick">
        <color auto="1"/>
      </top>
      <bottom/>
      <diagonal/>
    </border>
    <border>
      <left style="thin">
        <color rgb="FFFFFFFF"/>
      </left>
      <right style="thick">
        <color auto="1"/>
      </right>
      <top style="thin">
        <color rgb="FFFFFFFF"/>
      </top>
      <bottom/>
      <diagonal/>
    </border>
    <border>
      <left style="thin">
        <color rgb="FFFFFFFF"/>
      </left>
      <right style="thin">
        <color rgb="FFFFFFFF"/>
      </right>
      <top/>
      <bottom style="double">
        <color auto="1"/>
      </bottom>
      <diagonal/>
    </border>
    <border>
      <left/>
      <right style="thin">
        <color rgb="FFFFFFFF"/>
      </right>
      <top/>
      <bottom style="double">
        <color auto="1"/>
      </bottom>
      <diagonal/>
    </border>
    <border>
      <left/>
      <right style="thin">
        <color rgb="FFFFFFFF"/>
      </right>
      <top style="thin">
        <color rgb="FFFFFFFF"/>
      </top>
      <bottom style="double">
        <color auto="1"/>
      </bottom>
      <diagonal/>
    </border>
    <border>
      <left style="thin">
        <color rgb="FFFFFFFF"/>
      </left>
      <right style="thin">
        <color rgb="FFFFFFFF"/>
      </right>
      <top style="thin">
        <color rgb="FFFFFFFF"/>
      </top>
      <bottom style="double">
        <color auto="1"/>
      </bottom>
      <diagonal/>
    </border>
    <border>
      <left style="thick">
        <color rgb="FFFF0000"/>
      </left>
      <right style="thick">
        <color rgb="FFFF0000"/>
      </right>
      <top style="thick">
        <color rgb="FFFF0000"/>
      </top>
      <bottom style="thick">
        <color rgb="FFFF0000"/>
      </bottom>
      <diagonal/>
    </border>
    <border>
      <left/>
      <right style="thick">
        <color auto="1"/>
      </right>
      <top style="thick">
        <color auto="1"/>
      </top>
      <bottom style="thick">
        <color auto="1"/>
      </bottom>
      <diagonal/>
    </border>
    <border>
      <left style="thick">
        <color auto="1"/>
      </left>
      <right/>
      <top style="thin">
        <color rgb="FFFFFFFF"/>
      </top>
      <bottom style="thick">
        <color auto="1"/>
      </bottom>
      <diagonal/>
    </border>
    <border>
      <left style="thin">
        <color auto="1"/>
      </left>
      <right style="thin">
        <color auto="1"/>
      </right>
      <top style="thin">
        <color auto="1"/>
      </top>
      <bottom style="thin">
        <color rgb="FFFFFFFF"/>
      </bottom>
      <diagonal/>
    </border>
    <border>
      <left style="thin">
        <color auto="1"/>
      </left>
      <right style="thin">
        <color auto="1"/>
      </right>
      <top style="thin">
        <color rgb="FFFFFFFF"/>
      </top>
      <bottom style="thin">
        <color auto="1"/>
      </bottom>
      <diagonal/>
    </border>
    <border>
      <left style="thin">
        <color rgb="FFFFFFFF"/>
      </left>
      <right style="thick">
        <color auto="1"/>
      </right>
      <top style="thin">
        <color rgb="FFFFFFFF"/>
      </top>
      <bottom style="double">
        <color auto="1"/>
      </bottom>
      <diagonal/>
    </border>
    <border>
      <left style="thin">
        <color rgb="FFFFFFFF"/>
      </left>
      <right/>
      <top/>
      <bottom style="thin">
        <color rgb="FFFFFFFF"/>
      </bottom>
      <diagonal/>
    </border>
    <border>
      <left style="thick">
        <color rgb="FFFFFFFF"/>
      </left>
      <right style="thin">
        <color rgb="FFFFFFFF"/>
      </right>
      <top style="thin">
        <color rgb="FFFFFFFF"/>
      </top>
      <bottom style="thin">
        <color rgb="FFFFFFFF"/>
      </bottom>
      <diagonal/>
    </border>
    <border>
      <left style="thick">
        <color auto="1"/>
      </left>
      <right style="thin">
        <color rgb="FFFFFFFF"/>
      </right>
      <top style="thick">
        <color rgb="FFFFFFFF"/>
      </top>
      <bottom/>
      <diagonal/>
    </border>
    <border>
      <left style="thick">
        <color rgb="FFFFFFFF"/>
      </left>
      <right style="thin">
        <color rgb="FFFFFFFF"/>
      </right>
      <top style="thick">
        <color auto="1"/>
      </top>
      <bottom style="thin">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n">
        <color rgb="FFFFFFFF"/>
      </right>
      <top/>
      <bottom style="thin">
        <color rgb="FFFFFFFF"/>
      </bottom>
      <diagonal/>
    </border>
    <border>
      <left style="thick">
        <color auto="1"/>
      </left>
      <right style="thick">
        <color auto="1"/>
      </right>
      <top style="thick">
        <color auto="1"/>
      </top>
      <bottom style="thick">
        <color auto="1"/>
      </bottom>
      <diagonal/>
    </border>
    <border>
      <left style="medium">
        <color auto="1"/>
      </left>
      <right style="double">
        <color auto="1"/>
      </right>
      <top style="medium">
        <color auto="1"/>
      </top>
      <bottom style="thin">
        <color rgb="FFFFFFFF"/>
      </bottom>
      <diagonal/>
    </border>
    <border>
      <left/>
      <right style="medium">
        <color auto="1"/>
      </right>
      <top style="medium">
        <color auto="1"/>
      </top>
      <bottom style="thin">
        <color rgb="FFFFFFFF"/>
      </bottom>
      <diagonal/>
    </border>
    <border>
      <left style="medium">
        <color auto="1"/>
      </left>
      <right style="double">
        <color auto="1"/>
      </right>
      <top style="thin">
        <color rgb="FFFFFFFF"/>
      </top>
      <bottom style="thin">
        <color rgb="FFFFFFFF"/>
      </bottom>
      <diagonal/>
    </border>
    <border>
      <left/>
      <right style="medium">
        <color auto="1"/>
      </right>
      <top style="thin">
        <color rgb="FFFFFFFF"/>
      </top>
      <bottom style="thin">
        <color rgb="FFFFFFFF"/>
      </bottom>
      <diagonal/>
    </border>
    <border>
      <left style="medium">
        <color auto="1"/>
      </left>
      <right style="double">
        <color auto="1"/>
      </right>
      <top style="thin">
        <color rgb="FFFFFFFF"/>
      </top>
      <bottom style="medium">
        <color auto="1"/>
      </bottom>
      <diagonal/>
    </border>
    <border>
      <left/>
      <right style="medium">
        <color auto="1"/>
      </right>
      <top style="thin">
        <color rgb="FFFFFFFF"/>
      </top>
      <bottom style="medium">
        <color auto="1"/>
      </bottom>
      <diagonal/>
    </border>
    <border>
      <left style="medium">
        <color auto="1"/>
      </left>
      <right style="thin">
        <color rgb="FFFFFFFF"/>
      </right>
      <top style="medium">
        <color auto="1"/>
      </top>
      <bottom style="medium">
        <color auto="1"/>
      </bottom>
      <diagonal/>
    </border>
    <border>
      <left style="medium">
        <color auto="1"/>
      </left>
      <right style="medium">
        <color auto="1"/>
      </right>
      <top style="medium">
        <color auto="1"/>
      </top>
      <bottom style="thin">
        <color rgb="FFFFFFFF"/>
      </bottom>
      <diagonal/>
    </border>
    <border>
      <left style="medium">
        <color auto="1"/>
      </left>
      <right style="medium">
        <color auto="1"/>
      </right>
      <top style="thin">
        <color rgb="FFFFFFFF"/>
      </top>
      <bottom style="thin">
        <color rgb="FFFFFFFF"/>
      </bottom>
      <diagonal/>
    </border>
    <border>
      <left style="medium">
        <color auto="1"/>
      </left>
      <right style="medium">
        <color auto="1"/>
      </right>
      <top style="thin">
        <color rgb="FFFFFFFF"/>
      </top>
      <bottom style="medium">
        <color auto="1"/>
      </bottom>
      <diagonal/>
    </border>
    <border>
      <left style="thin">
        <color rgb="FFFFFFFF"/>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style="medium">
        <color auto="1"/>
      </bottom>
      <diagonal/>
    </border>
  </borders>
  <cellStyleXfs count="2">
    <xf numFmtId="0" fontId="0" fillId="0" borderId="0"/>
    <xf numFmtId="0" fontId="23" fillId="0" borderId="0" applyBorder="0" applyProtection="0"/>
  </cellStyleXfs>
  <cellXfs count="550">
    <xf numFmtId="0" fontId="0" fillId="0" borderId="0" xfId="0"/>
    <xf numFmtId="0" fontId="3" fillId="3" borderId="0" xfId="0" applyFont="1" applyFill="1"/>
    <xf numFmtId="0" fontId="0" fillId="3" borderId="0" xfId="0" applyFill="1"/>
    <xf numFmtId="0" fontId="4" fillId="3" borderId="0" xfId="0" applyFont="1" applyFill="1"/>
    <xf numFmtId="0" fontId="6" fillId="3" borderId="0" xfId="0" applyFont="1" applyFill="1"/>
    <xf numFmtId="0" fontId="0" fillId="0" borderId="0" xfId="0" applyFont="1" applyAlignment="1">
      <alignment horizontal="right"/>
    </xf>
    <xf numFmtId="0" fontId="0" fillId="4" borderId="0" xfId="0" applyFont="1" applyFill="1"/>
    <xf numFmtId="0" fontId="7" fillId="4" borderId="0" xfId="0" applyFont="1" applyFill="1"/>
    <xf numFmtId="0" fontId="8" fillId="3" borderId="0" xfId="0" applyFont="1" applyFill="1"/>
    <xf numFmtId="0" fontId="9" fillId="2" borderId="0" xfId="0" applyFont="1" applyFill="1"/>
    <xf numFmtId="0" fontId="3" fillId="2" borderId="0" xfId="0" applyFont="1" applyFill="1"/>
    <xf numFmtId="0" fontId="3" fillId="0" borderId="0" xfId="0" applyFont="1"/>
    <xf numFmtId="0" fontId="4" fillId="0" borderId="0" xfId="0" applyFont="1"/>
    <xf numFmtId="0" fontId="0" fillId="5" borderId="0" xfId="0" applyFont="1" applyFill="1"/>
    <xf numFmtId="0" fontId="4" fillId="5" borderId="0" xfId="0" applyFont="1" applyFill="1"/>
    <xf numFmtId="0" fontId="3" fillId="5" borderId="0" xfId="0" applyFont="1" applyFill="1"/>
    <xf numFmtId="0" fontId="0" fillId="0" borderId="0" xfId="0" applyFont="1" applyAlignment="1"/>
    <xf numFmtId="0" fontId="10" fillId="0" borderId="0" xfId="0" applyFont="1"/>
    <xf numFmtId="0" fontId="8" fillId="3" borderId="0" xfId="0" applyFont="1" applyFill="1" applyAlignment="1"/>
    <xf numFmtId="0" fontId="11" fillId="3" borderId="0" xfId="0" applyFont="1" applyFill="1"/>
    <xf numFmtId="0" fontId="0" fillId="3" borderId="0" xfId="0" applyFont="1" applyFill="1" applyAlignment="1"/>
    <xf numFmtId="0" fontId="8" fillId="0" borderId="0" xfId="0" applyFont="1"/>
    <xf numFmtId="0" fontId="9" fillId="0" borderId="0" xfId="0" applyFont="1"/>
    <xf numFmtId="0" fontId="12" fillId="0" borderId="0" xfId="0" applyFont="1"/>
    <xf numFmtId="0" fontId="14" fillId="2" borderId="3" xfId="0" applyFont="1" applyFill="1" applyBorder="1" applyAlignment="1">
      <alignment horizontal="left" vertical="center"/>
    </xf>
    <xf numFmtId="0" fontId="0" fillId="2" borderId="4" xfId="0" applyFill="1" applyBorder="1" applyAlignment="1">
      <alignment horizontal="left" vertical="center"/>
    </xf>
    <xf numFmtId="0" fontId="0" fillId="2" borderId="5" xfId="0" applyFill="1" applyBorder="1" applyAlignment="1">
      <alignment horizontal="left" vertical="center"/>
    </xf>
    <xf numFmtId="14" fontId="15" fillId="2" borderId="5" xfId="0" applyNumberFormat="1" applyFont="1" applyFill="1" applyBorder="1" applyAlignment="1">
      <alignment horizontal="center" vertical="center"/>
    </xf>
    <xf numFmtId="0" fontId="15" fillId="0" borderId="0" xfId="0" applyFont="1"/>
    <xf numFmtId="0" fontId="16" fillId="0" borderId="0" xfId="0" applyFont="1" applyAlignment="1">
      <alignment horizontal="center"/>
    </xf>
    <xf numFmtId="14" fontId="0" fillId="0" borderId="0" xfId="0" applyNumberFormat="1" applyFont="1"/>
    <xf numFmtId="0" fontId="14" fillId="2" borderId="3" xfId="0" applyFont="1" applyFill="1" applyBorder="1"/>
    <xf numFmtId="0" fontId="0" fillId="2" borderId="4" xfId="0" applyFill="1" applyBorder="1"/>
    <xf numFmtId="0" fontId="0" fillId="2" borderId="5" xfId="0" applyFill="1" applyBorder="1"/>
    <xf numFmtId="0" fontId="0" fillId="6" borderId="6" xfId="0" applyFont="1" applyFill="1" applyBorder="1"/>
    <xf numFmtId="0" fontId="0" fillId="6" borderId="2" xfId="0" applyFont="1" applyFill="1" applyBorder="1" applyAlignment="1">
      <alignment horizontal="center"/>
    </xf>
    <xf numFmtId="0" fontId="0" fillId="6" borderId="7" xfId="0" applyFont="1" applyFill="1" applyBorder="1" applyAlignment="1">
      <alignment horizontal="center"/>
    </xf>
    <xf numFmtId="0" fontId="0" fillId="6" borderId="8" xfId="0" applyFont="1" applyFill="1" applyBorder="1"/>
    <xf numFmtId="0" fontId="0" fillId="6" borderId="9" xfId="0" applyFill="1" applyBorder="1" applyAlignment="1">
      <alignment horizontal="center"/>
    </xf>
    <xf numFmtId="0" fontId="0" fillId="6" borderId="10" xfId="0" applyFill="1" applyBorder="1"/>
    <xf numFmtId="49" fontId="17" fillId="0" borderId="11" xfId="0" applyNumberFormat="1" applyFont="1" applyBorder="1" applyAlignment="1">
      <alignment horizontal="center" vertical="center"/>
    </xf>
    <xf numFmtId="49" fontId="17" fillId="0" borderId="11" xfId="0" applyNumberFormat="1" applyFont="1" applyBorder="1" applyAlignment="1">
      <alignment horizontal="left" vertical="center"/>
    </xf>
    <xf numFmtId="0" fontId="18" fillId="0" borderId="0" xfId="0" applyFont="1" applyAlignment="1">
      <alignment horizontal="center"/>
    </xf>
    <xf numFmtId="49" fontId="17" fillId="0" borderId="12" xfId="0" applyNumberFormat="1" applyFont="1" applyBorder="1" applyAlignment="1">
      <alignment horizontal="center" vertical="center"/>
    </xf>
    <xf numFmtId="49" fontId="17" fillId="0" borderId="12" xfId="0" applyNumberFormat="1" applyFont="1" applyBorder="1" applyAlignment="1">
      <alignment horizontal="left" vertical="center"/>
    </xf>
    <xf numFmtId="49" fontId="15" fillId="0" borderId="12" xfId="0" applyNumberFormat="1" applyFont="1" applyBorder="1" applyAlignment="1">
      <alignment horizontal="left" vertical="center"/>
    </xf>
    <xf numFmtId="49" fontId="17" fillId="7" borderId="12" xfId="0" applyNumberFormat="1" applyFont="1" applyFill="1" applyBorder="1" applyAlignment="1">
      <alignment horizontal="center" vertical="center"/>
    </xf>
    <xf numFmtId="49" fontId="17" fillId="7" borderId="12" xfId="0" applyNumberFormat="1" applyFont="1" applyFill="1" applyBorder="1" applyAlignment="1">
      <alignment horizontal="left" vertical="center"/>
    </xf>
    <xf numFmtId="14" fontId="0" fillId="2" borderId="4" xfId="0" applyNumberFormat="1" applyFill="1" applyBorder="1"/>
    <xf numFmtId="14" fontId="11" fillId="2" borderId="4" xfId="0" applyNumberFormat="1" applyFont="1" applyFill="1" applyBorder="1" applyAlignment="1">
      <alignment horizontal="right" vertical="center"/>
    </xf>
    <xf numFmtId="0" fontId="0" fillId="2" borderId="4" xfId="0" applyFill="1" applyBorder="1"/>
    <xf numFmtId="0" fontId="0" fillId="2" borderId="0" xfId="0" applyFont="1" applyFill="1"/>
    <xf numFmtId="14" fontId="20" fillId="2" borderId="2" xfId="0" applyNumberFormat="1" applyFont="1" applyFill="1" applyBorder="1" applyAlignment="1">
      <alignment horizontal="center" vertical="center"/>
    </xf>
    <xf numFmtId="0" fontId="3" fillId="0" borderId="0" xfId="0" applyFont="1" applyAlignment="1">
      <alignment horizontal="center"/>
    </xf>
    <xf numFmtId="0" fontId="15" fillId="0" borderId="0" xfId="0" applyFont="1" applyAlignment="1">
      <alignment horizontal="center"/>
    </xf>
    <xf numFmtId="0" fontId="21" fillId="0" borderId="0" xfId="0" applyFont="1"/>
    <xf numFmtId="0" fontId="21" fillId="0" borderId="0" xfId="0" applyFont="1" applyAlignment="1">
      <alignment horizontal="right" wrapText="1"/>
    </xf>
    <xf numFmtId="0" fontId="22" fillId="0" borderId="0" xfId="0" applyFont="1" applyProtection="1">
      <protection locked="0"/>
    </xf>
    <xf numFmtId="0" fontId="0" fillId="0" borderId="0" xfId="0" applyProtection="1">
      <protection locked="0"/>
    </xf>
    <xf numFmtId="0" fontId="23" fillId="0" borderId="0" xfId="1" applyFont="1"/>
    <xf numFmtId="0" fontId="23" fillId="0" borderId="0" xfId="1" applyFont="1" applyAlignment="1">
      <alignment wrapText="1"/>
    </xf>
    <xf numFmtId="0" fontId="21" fillId="0" borderId="0" xfId="0" applyFont="1" applyAlignment="1">
      <alignment wrapText="1"/>
    </xf>
    <xf numFmtId="164" fontId="21" fillId="0" borderId="0" xfId="0" applyNumberFormat="1" applyFont="1" applyAlignment="1">
      <alignment wrapText="1"/>
    </xf>
    <xf numFmtId="0" fontId="11" fillId="0" borderId="0" xfId="0" applyFont="1" applyProtection="1">
      <protection locked="0"/>
    </xf>
    <xf numFmtId="0" fontId="23" fillId="0" borderId="0" xfId="1" applyFont="1" applyAlignment="1">
      <alignment horizontal="right" wrapText="1"/>
    </xf>
    <xf numFmtId="0" fontId="24" fillId="8" borderId="0" xfId="0" applyFont="1" applyFill="1" applyAlignment="1">
      <alignment wrapText="1"/>
    </xf>
    <xf numFmtId="0" fontId="25" fillId="8" borderId="0" xfId="0" applyFont="1" applyFill="1" applyAlignment="1">
      <alignment wrapText="1"/>
    </xf>
    <xf numFmtId="0" fontId="26" fillId="8" borderId="0" xfId="0" applyFont="1" applyFill="1" applyAlignment="1">
      <alignment horizontal="center" wrapText="1"/>
    </xf>
    <xf numFmtId="0" fontId="0" fillId="7" borderId="0" xfId="0" applyFill="1" applyAlignment="1">
      <alignment wrapText="1"/>
    </xf>
    <xf numFmtId="0" fontId="11" fillId="9" borderId="0" xfId="0" applyFont="1" applyFill="1" applyAlignment="1">
      <alignment wrapText="1"/>
    </xf>
    <xf numFmtId="0" fontId="23" fillId="7" borderId="0" xfId="1" applyFill="1" applyBorder="1" applyAlignment="1" applyProtection="1">
      <alignment wrapText="1"/>
    </xf>
    <xf numFmtId="0" fontId="0" fillId="7" borderId="0" xfId="1" applyFont="1" applyFill="1" applyBorder="1" applyAlignment="1" applyProtection="1">
      <alignment wrapText="1"/>
    </xf>
    <xf numFmtId="0" fontId="0" fillId="0" borderId="0" xfId="0" applyProtection="1">
      <protection hidden="1"/>
    </xf>
    <xf numFmtId="0" fontId="0" fillId="7" borderId="0" xfId="0" applyFill="1" applyProtection="1">
      <protection hidden="1"/>
    </xf>
    <xf numFmtId="0" fontId="27" fillId="0" borderId="0" xfId="0" applyFont="1" applyAlignment="1" applyProtection="1">
      <alignment horizontal="center" vertical="center"/>
      <protection hidden="1"/>
    </xf>
    <xf numFmtId="0" fontId="14" fillId="3" borderId="3" xfId="0" applyFont="1" applyFill="1" applyBorder="1" applyProtection="1">
      <protection hidden="1"/>
    </xf>
    <xf numFmtId="0" fontId="0" fillId="3" borderId="4" xfId="0" applyFill="1" applyBorder="1" applyProtection="1">
      <protection hidden="1"/>
    </xf>
    <xf numFmtId="0" fontId="14" fillId="3" borderId="4" xfId="0" applyFont="1" applyFill="1" applyBorder="1" applyProtection="1">
      <protection hidden="1"/>
    </xf>
    <xf numFmtId="0" fontId="0" fillId="7" borderId="0" xfId="0" applyFont="1" applyFill="1" applyAlignment="1" applyProtection="1">
      <alignment horizontal="right" vertical="center"/>
      <protection hidden="1"/>
    </xf>
    <xf numFmtId="165" fontId="0" fillId="7" borderId="0" xfId="0" applyNumberFormat="1" applyFill="1" applyAlignment="1" applyProtection="1">
      <alignment vertical="center"/>
      <protection hidden="1"/>
    </xf>
    <xf numFmtId="0" fontId="0" fillId="7" borderId="0" xfId="0" applyFill="1" applyAlignment="1" applyProtection="1">
      <alignment vertical="center"/>
      <protection hidden="1"/>
    </xf>
    <xf numFmtId="0" fontId="28" fillId="7" borderId="0" xfId="0" applyFont="1" applyFill="1" applyAlignment="1" applyProtection="1">
      <alignment horizontal="center"/>
      <protection hidden="1"/>
    </xf>
    <xf numFmtId="1" fontId="15" fillId="3" borderId="13" xfId="0" applyNumberFormat="1" applyFont="1" applyFill="1" applyBorder="1" applyAlignment="1" applyProtection="1">
      <alignment horizontal="left"/>
      <protection hidden="1"/>
    </xf>
    <xf numFmtId="14" fontId="15" fillId="3" borderId="14" xfId="0" applyNumberFormat="1" applyFont="1" applyFill="1" applyBorder="1" applyAlignment="1" applyProtection="1">
      <alignment horizontal="center"/>
      <protection hidden="1"/>
    </xf>
    <xf numFmtId="0" fontId="18" fillId="4" borderId="15" xfId="0" applyFont="1" applyFill="1" applyBorder="1" applyAlignment="1" applyProtection="1">
      <alignment horizontal="left"/>
      <protection locked="0" hidden="1"/>
    </xf>
    <xf numFmtId="0" fontId="0" fillId="7" borderId="0" xfId="0" applyFont="1" applyFill="1" applyAlignment="1" applyProtection="1">
      <alignment horizontal="right"/>
      <protection hidden="1"/>
    </xf>
    <xf numFmtId="0" fontId="18" fillId="4" borderId="15" xfId="0" applyFont="1" applyFill="1" applyBorder="1" applyAlignment="1" applyProtection="1">
      <alignment horizontal="center"/>
      <protection locked="0" hidden="1"/>
    </xf>
    <xf numFmtId="0" fontId="15" fillId="3" borderId="13" xfId="0" applyFont="1" applyFill="1" applyBorder="1" applyAlignment="1" applyProtection="1">
      <alignment horizontal="left"/>
      <protection hidden="1"/>
    </xf>
    <xf numFmtId="14" fontId="18" fillId="2" borderId="12" xfId="0" applyNumberFormat="1" applyFont="1" applyFill="1" applyBorder="1" applyAlignment="1" applyProtection="1">
      <alignment horizontal="left"/>
      <protection hidden="1"/>
    </xf>
    <xf numFmtId="0" fontId="15" fillId="3" borderId="16" xfId="0" applyFont="1" applyFill="1" applyBorder="1" applyAlignment="1" applyProtection="1">
      <alignment horizontal="left" vertical="center"/>
      <protection hidden="1"/>
    </xf>
    <xf numFmtId="14" fontId="15" fillId="3" borderId="17" xfId="0" applyNumberFormat="1" applyFont="1" applyFill="1" applyBorder="1" applyAlignment="1" applyProtection="1">
      <alignment horizontal="center" vertical="center"/>
      <protection hidden="1"/>
    </xf>
    <xf numFmtId="0" fontId="18" fillId="2" borderId="16" xfId="0" applyFont="1" applyFill="1" applyBorder="1" applyAlignment="1" applyProtection="1">
      <alignment vertical="center"/>
      <protection hidden="1"/>
    </xf>
    <xf numFmtId="0" fontId="0" fillId="2" borderId="18" xfId="0" applyFill="1" applyBorder="1" applyAlignment="1" applyProtection="1">
      <alignment vertical="center"/>
      <protection hidden="1"/>
    </xf>
    <xf numFmtId="0" fontId="0" fillId="2" borderId="14" xfId="0" applyFill="1" applyBorder="1" applyAlignment="1" applyProtection="1">
      <alignment vertical="center"/>
      <protection hidden="1"/>
    </xf>
    <xf numFmtId="0" fontId="3" fillId="7" borderId="0" xfId="0" applyFont="1" applyFill="1" applyAlignment="1" applyProtection="1">
      <alignment horizontal="center"/>
      <protection hidden="1"/>
    </xf>
    <xf numFmtId="0" fontId="0" fillId="7" borderId="0" xfId="0" applyFill="1" applyAlignment="1" applyProtection="1">
      <alignment horizontal="center" wrapText="1"/>
      <protection hidden="1"/>
    </xf>
    <xf numFmtId="4" fontId="15" fillId="3" borderId="14" xfId="0" applyNumberFormat="1" applyFont="1" applyFill="1" applyBorder="1" applyAlignment="1" applyProtection="1">
      <alignment horizontal="center"/>
      <protection hidden="1"/>
    </xf>
    <xf numFmtId="0" fontId="18" fillId="2" borderId="13" xfId="0" applyFont="1" applyFill="1" applyBorder="1" applyProtection="1">
      <protection hidden="1"/>
    </xf>
    <xf numFmtId="0" fontId="0" fillId="2" borderId="18" xfId="0" applyFill="1" applyBorder="1" applyProtection="1">
      <protection hidden="1"/>
    </xf>
    <xf numFmtId="0" fontId="0" fillId="2" borderId="19" xfId="0" applyFill="1" applyBorder="1" applyAlignment="1" applyProtection="1">
      <alignment vertical="center"/>
      <protection hidden="1"/>
    </xf>
    <xf numFmtId="0" fontId="0" fillId="7" borderId="0" xfId="0" applyFill="1" applyProtection="1">
      <protection locked="0"/>
    </xf>
    <xf numFmtId="166" fontId="0" fillId="7" borderId="0" xfId="0" applyNumberFormat="1" applyFill="1" applyAlignment="1" applyProtection="1">
      <alignment vertical="center"/>
      <protection hidden="1"/>
    </xf>
    <xf numFmtId="0" fontId="0" fillId="4" borderId="1" xfId="0" applyFill="1" applyBorder="1" applyAlignment="1" applyProtection="1">
      <alignment horizontal="center" vertical="center"/>
      <protection locked="0" hidden="1"/>
    </xf>
    <xf numFmtId="0" fontId="0" fillId="7" borderId="0" xfId="0" applyFill="1" applyBorder="1" applyProtection="1">
      <protection hidden="1"/>
    </xf>
    <xf numFmtId="0" fontId="29" fillId="7" borderId="0" xfId="0" applyFont="1" applyFill="1" applyBorder="1" applyProtection="1">
      <protection hidden="1"/>
    </xf>
    <xf numFmtId="0" fontId="18" fillId="2" borderId="12" xfId="0" applyFont="1" applyFill="1" applyBorder="1" applyAlignment="1" applyProtection="1">
      <alignment horizontal="center"/>
      <protection hidden="1"/>
    </xf>
    <xf numFmtId="0" fontId="30" fillId="7" borderId="0" xfId="0" applyFont="1" applyFill="1" applyAlignment="1" applyProtection="1">
      <alignment horizontal="right"/>
      <protection hidden="1"/>
    </xf>
    <xf numFmtId="0" fontId="30" fillId="2" borderId="20" xfId="0" applyFont="1" applyFill="1" applyBorder="1" applyAlignment="1" applyProtection="1">
      <alignment horizontal="left"/>
      <protection hidden="1"/>
    </xf>
    <xf numFmtId="0" fontId="18" fillId="2" borderId="14" xfId="0" applyFont="1" applyFill="1" applyBorder="1" applyAlignment="1" applyProtection="1">
      <alignment horizontal="center"/>
      <protection hidden="1"/>
    </xf>
    <xf numFmtId="0" fontId="31" fillId="7" borderId="0" xfId="0" applyFont="1" applyFill="1" applyAlignment="1" applyProtection="1">
      <alignment horizontal="right"/>
      <protection hidden="1"/>
    </xf>
    <xf numFmtId="0" fontId="30" fillId="4" borderId="21" xfId="0" applyFont="1" applyFill="1" applyBorder="1" applyAlignment="1" applyProtection="1">
      <alignment horizontal="left"/>
      <protection locked="0" hidden="1"/>
    </xf>
    <xf numFmtId="0" fontId="18" fillId="4" borderId="18" xfId="0" applyFont="1" applyFill="1" applyBorder="1" applyAlignment="1" applyProtection="1">
      <alignment horizontal="center"/>
      <protection locked="0" hidden="1"/>
    </xf>
    <xf numFmtId="0" fontId="18" fillId="2" borderId="22" xfId="0" applyFont="1" applyFill="1" applyBorder="1" applyAlignment="1" applyProtection="1">
      <alignment horizontal="center"/>
      <protection hidden="1"/>
    </xf>
    <xf numFmtId="4" fontId="30" fillId="7" borderId="0" xfId="0" applyNumberFormat="1" applyFont="1" applyFill="1" applyAlignment="1" applyProtection="1">
      <alignment horizontal="right"/>
      <protection hidden="1"/>
    </xf>
    <xf numFmtId="0" fontId="0" fillId="6" borderId="12" xfId="0" applyFont="1" applyFill="1" applyBorder="1" applyAlignment="1" applyProtection="1">
      <alignment horizontal="center"/>
      <protection hidden="1"/>
    </xf>
    <xf numFmtId="4" fontId="0" fillId="7" borderId="0" xfId="0" applyNumberFormat="1" applyFont="1" applyFill="1" applyAlignment="1" applyProtection="1">
      <protection hidden="1"/>
    </xf>
    <xf numFmtId="0" fontId="0" fillId="7" borderId="0" xfId="0" applyFill="1" applyAlignment="1" applyProtection="1">
      <alignment horizontal="center"/>
      <protection hidden="1"/>
    </xf>
    <xf numFmtId="0" fontId="0" fillId="10" borderId="12" xfId="0" applyFont="1" applyFill="1" applyBorder="1" applyAlignment="1" applyProtection="1">
      <alignment horizontal="center"/>
      <protection hidden="1"/>
    </xf>
    <xf numFmtId="0" fontId="0" fillId="11" borderId="12" xfId="0" applyFont="1" applyFill="1" applyBorder="1" applyAlignment="1" applyProtection="1">
      <alignment horizontal="center"/>
      <protection hidden="1"/>
    </xf>
    <xf numFmtId="0" fontId="0" fillId="5" borderId="12" xfId="0" applyFont="1" applyFill="1" applyBorder="1" applyAlignment="1" applyProtection="1">
      <alignment horizontal="center"/>
      <protection hidden="1"/>
    </xf>
    <xf numFmtId="0" fontId="32" fillId="8" borderId="23" xfId="0" applyFont="1" applyFill="1" applyBorder="1" applyAlignment="1" applyProtection="1">
      <alignment horizontal="center" vertical="center"/>
      <protection hidden="1"/>
    </xf>
    <xf numFmtId="0" fontId="32" fillId="8" borderId="6" xfId="0" applyFont="1" applyFill="1" applyBorder="1" applyAlignment="1" applyProtection="1">
      <alignment horizontal="center" vertical="center" wrapText="1"/>
      <protection hidden="1"/>
    </xf>
    <xf numFmtId="0" fontId="32" fillId="6" borderId="24" xfId="0" applyFont="1" applyFill="1" applyBorder="1" applyAlignment="1" applyProtection="1">
      <alignment horizontal="center" vertical="center" wrapText="1"/>
      <protection hidden="1"/>
    </xf>
    <xf numFmtId="4" fontId="32" fillId="6" borderId="23" xfId="0" applyNumberFormat="1" applyFont="1" applyFill="1" applyBorder="1" applyAlignment="1" applyProtection="1">
      <alignment horizontal="center" vertical="center"/>
      <protection hidden="1"/>
    </xf>
    <xf numFmtId="0" fontId="32" fillId="6" borderId="25" xfId="0" applyFont="1" applyFill="1" applyBorder="1" applyAlignment="1" applyProtection="1">
      <alignment horizontal="center" vertical="center"/>
      <protection hidden="1"/>
    </xf>
    <xf numFmtId="0" fontId="32" fillId="6" borderId="26" xfId="0" applyFont="1" applyFill="1" applyBorder="1" applyAlignment="1" applyProtection="1">
      <alignment horizontal="center" vertical="center"/>
      <protection hidden="1"/>
    </xf>
    <xf numFmtId="0" fontId="32" fillId="10" borderId="24" xfId="0" applyFont="1" applyFill="1" applyBorder="1" applyAlignment="1" applyProtection="1">
      <alignment horizontal="center" vertical="center"/>
      <protection hidden="1"/>
    </xf>
    <xf numFmtId="0" fontId="32" fillId="10" borderId="25" xfId="0" applyFont="1" applyFill="1" applyBorder="1" applyAlignment="1" applyProtection="1">
      <alignment horizontal="center" vertical="center"/>
      <protection hidden="1"/>
    </xf>
    <xf numFmtId="0" fontId="32" fillId="10" borderId="26" xfId="0" applyFont="1" applyFill="1" applyBorder="1" applyAlignment="1" applyProtection="1">
      <alignment horizontal="center" vertical="center"/>
      <protection hidden="1"/>
    </xf>
    <xf numFmtId="0" fontId="32" fillId="11" borderId="24" xfId="0" applyFont="1" applyFill="1" applyBorder="1" applyAlignment="1" applyProtection="1">
      <alignment horizontal="center" vertical="center"/>
      <protection hidden="1"/>
    </xf>
    <xf numFmtId="0" fontId="32" fillId="11" borderId="23" xfId="0" applyFont="1" applyFill="1" applyBorder="1" applyAlignment="1" applyProtection="1">
      <alignment horizontal="center" vertical="center"/>
      <protection hidden="1"/>
    </xf>
    <xf numFmtId="0" fontId="32" fillId="11" borderId="25" xfId="0" applyFont="1" applyFill="1" applyBorder="1" applyAlignment="1" applyProtection="1">
      <alignment horizontal="center" vertical="center"/>
      <protection hidden="1"/>
    </xf>
    <xf numFmtId="0" fontId="32" fillId="11" borderId="27" xfId="0" applyFont="1" applyFill="1" applyBorder="1" applyAlignment="1" applyProtection="1">
      <alignment horizontal="center" vertical="center"/>
      <protection hidden="1"/>
    </xf>
    <xf numFmtId="0" fontId="32" fillId="5" borderId="28" xfId="0" applyFont="1" applyFill="1" applyBorder="1" applyAlignment="1" applyProtection="1">
      <alignment horizontal="center" vertical="center"/>
      <protection hidden="1"/>
    </xf>
    <xf numFmtId="0" fontId="32" fillId="5" borderId="23" xfId="0" applyFont="1" applyFill="1" applyBorder="1" applyAlignment="1" applyProtection="1">
      <alignment horizontal="center" vertical="center"/>
      <protection hidden="1"/>
    </xf>
    <xf numFmtId="0" fontId="32" fillId="5" borderId="25" xfId="0" applyFont="1" applyFill="1" applyBorder="1" applyAlignment="1" applyProtection="1">
      <alignment horizontal="center" vertical="center"/>
      <protection hidden="1"/>
    </xf>
    <xf numFmtId="0" fontId="0" fillId="0" borderId="29" xfId="0" applyBorder="1" applyProtection="1">
      <protection hidden="1"/>
    </xf>
    <xf numFmtId="0" fontId="33" fillId="3" borderId="1" xfId="0" applyFont="1" applyFill="1" applyBorder="1" applyAlignment="1" applyProtection="1">
      <alignment horizontal="center" vertical="center" wrapText="1"/>
      <protection hidden="1"/>
    </xf>
    <xf numFmtId="0" fontId="32" fillId="3" borderId="30" xfId="0" applyFont="1" applyFill="1" applyBorder="1" applyAlignment="1" applyProtection="1">
      <alignment horizontal="center" vertical="center"/>
      <protection hidden="1"/>
    </xf>
    <xf numFmtId="0" fontId="34" fillId="3" borderId="30" xfId="0" applyFont="1" applyFill="1" applyBorder="1" applyAlignment="1" applyProtection="1">
      <alignment horizontal="center" vertical="center" wrapText="1"/>
      <protection hidden="1"/>
    </xf>
    <xf numFmtId="0" fontId="32" fillId="3" borderId="25" xfId="0" applyFont="1" applyFill="1" applyBorder="1" applyAlignment="1" applyProtection="1">
      <alignment horizontal="center" vertical="center"/>
      <protection hidden="1"/>
    </xf>
    <xf numFmtId="0" fontId="32" fillId="3" borderId="0" xfId="0" applyFont="1" applyFill="1" applyBorder="1" applyAlignment="1" applyProtection="1">
      <alignment horizontal="center" vertical="center"/>
      <protection hidden="1"/>
    </xf>
    <xf numFmtId="0" fontId="0" fillId="0" borderId="0" xfId="0" applyFont="1" applyAlignment="1" applyProtection="1">
      <alignment horizontal="center" wrapText="1"/>
      <protection hidden="1"/>
    </xf>
    <xf numFmtId="0" fontId="0" fillId="7" borderId="31" xfId="0" applyFill="1" applyBorder="1" applyProtection="1">
      <protection hidden="1"/>
    </xf>
    <xf numFmtId="165" fontId="0" fillId="7" borderId="31" xfId="0" applyNumberFormat="1" applyFill="1" applyBorder="1" applyProtection="1">
      <protection hidden="1"/>
    </xf>
    <xf numFmtId="0" fontId="0" fillId="7" borderId="0" xfId="0" applyFill="1" applyBorder="1" applyAlignment="1" applyProtection="1">
      <alignment shrinkToFit="1"/>
      <protection hidden="1"/>
    </xf>
    <xf numFmtId="0" fontId="0" fillId="0" borderId="32" xfId="0" applyBorder="1" applyProtection="1">
      <protection hidden="1"/>
    </xf>
    <xf numFmtId="0" fontId="0" fillId="0" borderId="29"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5" fontId="0" fillId="0" borderId="0" xfId="0" applyNumberFormat="1" applyBorder="1" applyProtection="1">
      <protection hidden="1"/>
    </xf>
    <xf numFmtId="0" fontId="11" fillId="12" borderId="33" xfId="0" applyFont="1" applyFill="1" applyBorder="1" applyAlignment="1" applyProtection="1">
      <alignment horizontal="center"/>
      <protection locked="0" hidden="1"/>
    </xf>
    <xf numFmtId="165" fontId="11" fillId="7" borderId="0" xfId="0" applyNumberFormat="1" applyFont="1" applyFill="1" applyBorder="1" applyAlignment="1" applyProtection="1">
      <alignment horizontal="center"/>
      <protection hidden="1"/>
    </xf>
    <xf numFmtId="1" fontId="11" fillId="7" borderId="0" xfId="0" applyNumberFormat="1" applyFont="1" applyFill="1" applyBorder="1" applyAlignment="1" applyProtection="1">
      <alignment horizontal="center"/>
      <protection hidden="1"/>
    </xf>
    <xf numFmtId="0" fontId="0" fillId="4" borderId="12" xfId="0" applyFill="1" applyBorder="1" applyProtection="1">
      <protection locked="0" hidden="1"/>
    </xf>
    <xf numFmtId="165" fontId="0" fillId="0" borderId="0" xfId="0" applyNumberFormat="1" applyProtection="1">
      <protection hidden="1"/>
    </xf>
    <xf numFmtId="165" fontId="0" fillId="7" borderId="0" xfId="0" applyNumberFormat="1" applyFill="1" applyBorder="1" applyProtection="1">
      <protection hidden="1"/>
    </xf>
    <xf numFmtId="165" fontId="0" fillId="7" borderId="0" xfId="0" applyNumberFormat="1" applyFill="1" applyProtection="1">
      <protection hidden="1"/>
    </xf>
    <xf numFmtId="0" fontId="14" fillId="3" borderId="3" xfId="0" applyFont="1" applyFill="1" applyBorder="1"/>
    <xf numFmtId="0" fontId="0" fillId="3" borderId="4" xfId="0" applyFill="1" applyBorder="1"/>
    <xf numFmtId="0" fontId="0" fillId="3" borderId="7" xfId="0" applyFill="1" applyBorder="1"/>
    <xf numFmtId="0" fontId="0" fillId="7" borderId="0" xfId="0" applyFill="1"/>
    <xf numFmtId="165" fontId="42" fillId="12" borderId="1" xfId="0" applyNumberFormat="1" applyFont="1" applyFill="1" applyBorder="1" applyAlignment="1">
      <alignment horizontal="center" vertical="center"/>
    </xf>
    <xf numFmtId="0" fontId="18" fillId="2" borderId="1" xfId="0" applyFont="1" applyFill="1" applyBorder="1" applyAlignment="1" applyProtection="1">
      <alignment horizontal="left" vertical="center" indent="1"/>
    </xf>
    <xf numFmtId="0" fontId="18" fillId="2" borderId="3" xfId="0" applyFont="1" applyFill="1" applyBorder="1" applyAlignment="1">
      <alignment vertical="center"/>
    </xf>
    <xf numFmtId="0" fontId="0" fillId="2" borderId="4" xfId="0" applyFill="1" applyBorder="1" applyAlignment="1">
      <alignment vertical="center"/>
    </xf>
    <xf numFmtId="0" fontId="43" fillId="7" borderId="0" xfId="0" applyFont="1" applyFill="1" applyAlignment="1">
      <alignment horizontal="right" vertical="center"/>
    </xf>
    <xf numFmtId="0" fontId="0" fillId="7" borderId="0" xfId="0" applyFont="1" applyFill="1" applyAlignment="1">
      <alignment horizontal="right"/>
    </xf>
    <xf numFmtId="0" fontId="15" fillId="9" borderId="30" xfId="0" applyFont="1" applyFill="1" applyBorder="1"/>
    <xf numFmtId="0" fontId="15" fillId="9" borderId="30" xfId="0" applyFont="1" applyFill="1" applyBorder="1" applyAlignment="1">
      <alignment horizontal="center"/>
    </xf>
    <xf numFmtId="0" fontId="0" fillId="0" borderId="12" xfId="0" applyBorder="1" applyProtection="1">
      <protection locked="0"/>
    </xf>
    <xf numFmtId="4" fontId="0" fillId="0" borderId="12" xfId="0" applyNumberFormat="1" applyBorder="1" applyProtection="1">
      <protection locked="0"/>
    </xf>
    <xf numFmtId="0" fontId="0" fillId="0" borderId="0" xfId="0" applyProtection="1">
      <protection locked="0"/>
    </xf>
    <xf numFmtId="4" fontId="0" fillId="0" borderId="0" xfId="0" applyNumberFormat="1" applyProtection="1">
      <protection locked="0"/>
    </xf>
    <xf numFmtId="0" fontId="0" fillId="0" borderId="0" xfId="0" applyProtection="1"/>
    <xf numFmtId="0" fontId="44" fillId="0" borderId="0" xfId="0" applyFont="1" applyAlignment="1">
      <alignment horizontal="center" vertical="center"/>
    </xf>
    <xf numFmtId="0" fontId="0" fillId="0" borderId="0" xfId="0" applyAlignment="1">
      <alignment horizontal="center"/>
    </xf>
    <xf numFmtId="0" fontId="32" fillId="9" borderId="12" xfId="0" applyFont="1" applyFill="1" applyBorder="1" applyAlignment="1">
      <alignment horizontal="center" vertical="center" wrapText="1"/>
    </xf>
    <xf numFmtId="0" fontId="0" fillId="0" borderId="0" xfId="0" applyAlignment="1">
      <alignment horizontal="left" indent="1"/>
    </xf>
    <xf numFmtId="0" fontId="45" fillId="6" borderId="3" xfId="0" applyFont="1" applyFill="1" applyBorder="1"/>
    <xf numFmtId="0" fontId="0" fillId="6" borderId="4" xfId="0" applyFill="1" applyBorder="1"/>
    <xf numFmtId="0" fontId="0" fillId="6" borderId="5" xfId="0" applyFill="1" applyBorder="1"/>
    <xf numFmtId="0" fontId="46" fillId="0" borderId="0" xfId="0" applyFont="1"/>
    <xf numFmtId="0" fontId="0" fillId="0" borderId="0" xfId="0" applyAlignment="1">
      <alignment horizontal="left"/>
    </xf>
    <xf numFmtId="167" fontId="47" fillId="0" borderId="0" xfId="0" applyNumberFormat="1" applyFont="1" applyAlignment="1">
      <alignment horizontal="left"/>
    </xf>
    <xf numFmtId="0" fontId="47" fillId="0" borderId="0" xfId="0" applyFont="1" applyAlignment="1">
      <alignment horizontal="left"/>
    </xf>
    <xf numFmtId="0" fontId="48" fillId="0" borderId="0" xfId="0" applyFont="1" applyAlignment="1">
      <alignment horizontal="left"/>
    </xf>
    <xf numFmtId="0" fontId="18" fillId="3" borderId="34" xfId="0" applyFont="1" applyFill="1" applyBorder="1" applyAlignment="1">
      <alignment horizontal="center" vertical="center"/>
    </xf>
    <xf numFmtId="0" fontId="49" fillId="3" borderId="34" xfId="0" applyFont="1" applyFill="1" applyBorder="1" applyAlignment="1">
      <alignment vertical="center"/>
    </xf>
    <xf numFmtId="0" fontId="50" fillId="4" borderId="1" xfId="0" applyFont="1" applyFill="1" applyBorder="1" applyAlignment="1" applyProtection="1">
      <alignment horizontal="center" shrinkToFit="1"/>
      <protection locked="0"/>
    </xf>
    <xf numFmtId="0" fontId="0" fillId="7" borderId="0" xfId="0" applyFont="1" applyFill="1" applyAlignment="1">
      <alignment horizontal="center" vertical="center" wrapText="1"/>
    </xf>
    <xf numFmtId="0" fontId="27" fillId="7" borderId="0" xfId="0" applyFont="1" applyFill="1" applyAlignment="1">
      <alignment horizontal="center" vertical="center"/>
    </xf>
    <xf numFmtId="0" fontId="44" fillId="0" borderId="0" xfId="0" applyFont="1" applyBorder="1" applyAlignment="1" applyProtection="1">
      <alignment horizontal="left" vertical="center" indent="1"/>
    </xf>
    <xf numFmtId="0" fontId="0" fillId="7" borderId="0" xfId="0" applyFont="1" applyFill="1" applyAlignment="1">
      <alignment horizontal="left" vertical="center"/>
    </xf>
    <xf numFmtId="0" fontId="0" fillId="7" borderId="0" xfId="0" applyFill="1" applyAlignment="1">
      <alignment horizontal="right" vertical="center"/>
    </xf>
    <xf numFmtId="0" fontId="2" fillId="7" borderId="0" xfId="0" applyFont="1" applyFill="1" applyAlignment="1">
      <alignment horizontal="center" vertical="center"/>
    </xf>
    <xf numFmtId="0" fontId="51" fillId="7" borderId="0" xfId="0" applyFont="1" applyFill="1"/>
    <xf numFmtId="0" fontId="0" fillId="7" borderId="9" xfId="0" applyFill="1" applyBorder="1" applyAlignment="1">
      <alignment horizontal="center"/>
    </xf>
    <xf numFmtId="0" fontId="52" fillId="13" borderId="35" xfId="0" applyFont="1" applyFill="1" applyBorder="1" applyAlignment="1">
      <alignment horizontal="right" indent="1"/>
    </xf>
    <xf numFmtId="0" fontId="0" fillId="7" borderId="0" xfId="0" applyFill="1" applyBorder="1" applyAlignment="1">
      <alignment horizontal="center"/>
    </xf>
    <xf numFmtId="0" fontId="51" fillId="7" borderId="0" xfId="0" applyFont="1" applyFill="1" applyAlignment="1">
      <alignment horizontal="center"/>
    </xf>
    <xf numFmtId="0" fontId="0" fillId="7" borderId="0" xfId="0" applyFont="1" applyFill="1" applyAlignment="1"/>
    <xf numFmtId="0" fontId="0" fillId="7" borderId="0" xfId="0" applyFill="1" applyAlignment="1">
      <alignment horizontal="center"/>
    </xf>
    <xf numFmtId="0" fontId="0" fillId="0" borderId="36" xfId="0" applyFont="1" applyBorder="1" applyAlignment="1">
      <alignment horizontal="center" vertical="center"/>
    </xf>
    <xf numFmtId="0" fontId="53" fillId="0" borderId="2" xfId="0" applyFont="1" applyBorder="1" applyAlignment="1">
      <alignment horizontal="center" vertical="center"/>
    </xf>
    <xf numFmtId="0" fontId="54" fillId="0" borderId="37" xfId="0" applyFont="1" applyBorder="1" applyAlignment="1">
      <alignment horizontal="center" vertical="center" wrapText="1"/>
    </xf>
    <xf numFmtId="0" fontId="54" fillId="0" borderId="38" xfId="0" applyFont="1" applyBorder="1" applyAlignment="1">
      <alignment horizontal="center" vertical="center" wrapText="1"/>
    </xf>
    <xf numFmtId="0" fontId="54" fillId="7" borderId="0" xfId="0" applyFont="1" applyFill="1" applyBorder="1"/>
    <xf numFmtId="0" fontId="54" fillId="7" borderId="0" xfId="0" applyFont="1" applyFill="1" applyBorder="1" applyAlignment="1">
      <alignment horizontal="center"/>
    </xf>
    <xf numFmtId="0" fontId="54" fillId="0" borderId="41" xfId="0" applyFont="1" applyBorder="1" applyAlignment="1">
      <alignment horizontal="center" vertical="center" wrapText="1"/>
    </xf>
    <xf numFmtId="0" fontId="54" fillId="0" borderId="42" xfId="0" applyFont="1" applyBorder="1" applyAlignment="1">
      <alignment horizontal="center" vertical="center" wrapText="1"/>
    </xf>
    <xf numFmtId="0" fontId="54" fillId="0" borderId="30" xfId="0" applyFont="1" applyBorder="1" applyAlignment="1">
      <alignment horizontal="center" vertical="center" wrapText="1"/>
    </xf>
    <xf numFmtId="0" fontId="54" fillId="0" borderId="43" xfId="0" applyFont="1" applyBorder="1" applyAlignment="1">
      <alignment horizontal="center" vertical="center" wrapText="1"/>
    </xf>
    <xf numFmtId="0" fontId="34" fillId="0" borderId="44" xfId="0" applyFont="1" applyBorder="1" applyAlignment="1">
      <alignment horizontal="center" vertical="center" wrapText="1"/>
    </xf>
    <xf numFmtId="0" fontId="0" fillId="0" borderId="45" xfId="0" applyBorder="1" applyAlignment="1">
      <alignment horizontal="center" vertical="center"/>
    </xf>
    <xf numFmtId="0" fontId="53" fillId="0" borderId="45" xfId="0" applyFont="1" applyBorder="1" applyAlignment="1">
      <alignment horizontal="center" vertical="center"/>
    </xf>
    <xf numFmtId="0" fontId="54" fillId="0" borderId="45" xfId="0" applyFont="1" applyBorder="1" applyAlignment="1">
      <alignment horizontal="center" vertical="center" wrapText="1"/>
    </xf>
    <xf numFmtId="0" fontId="54" fillId="0" borderId="45" xfId="0" applyFont="1" applyBorder="1" applyAlignment="1">
      <alignment horizontal="center" vertical="center"/>
    </xf>
    <xf numFmtId="0" fontId="0" fillId="0" borderId="45" xfId="0" applyBorder="1" applyAlignment="1">
      <alignment horizontal="center"/>
    </xf>
    <xf numFmtId="0" fontId="54" fillId="0" borderId="46" xfId="0" applyFont="1" applyBorder="1" applyAlignment="1">
      <alignment horizontal="center" vertical="center"/>
    </xf>
    <xf numFmtId="0" fontId="54" fillId="0" borderId="47" xfId="0" applyFont="1" applyBorder="1" applyAlignment="1">
      <alignment horizontal="center" vertical="center"/>
    </xf>
    <xf numFmtId="0" fontId="54" fillId="0" borderId="48" xfId="0" applyFont="1" applyBorder="1" applyAlignment="1">
      <alignment horizontal="center" vertical="center"/>
    </xf>
    <xf numFmtId="0" fontId="34" fillId="0" borderId="49" xfId="0" applyFont="1" applyBorder="1" applyAlignment="1">
      <alignment horizontal="center" vertical="center"/>
    </xf>
    <xf numFmtId="0" fontId="55" fillId="13" borderId="50" xfId="0" applyFont="1" applyFill="1" applyBorder="1" applyAlignment="1">
      <alignment horizontal="center" vertical="center"/>
    </xf>
    <xf numFmtId="0" fontId="44" fillId="0" borderId="51" xfId="0" applyFont="1" applyBorder="1" applyAlignment="1">
      <alignment horizontal="left" vertical="center" indent="1"/>
    </xf>
    <xf numFmtId="0" fontId="20" fillId="0" borderId="52" xfId="0" applyFont="1" applyBorder="1" applyAlignment="1">
      <alignment horizontal="center" vertical="center"/>
    </xf>
    <xf numFmtId="0" fontId="0" fillId="13" borderId="53" xfId="0" applyFill="1" applyBorder="1"/>
    <xf numFmtId="0" fontId="0" fillId="13" borderId="17" xfId="0" applyFill="1" applyBorder="1"/>
    <xf numFmtId="0" fontId="0" fillId="13" borderId="47" xfId="0" applyFill="1" applyBorder="1"/>
    <xf numFmtId="0" fontId="0" fillId="13" borderId="54" xfId="0" applyFill="1" applyBorder="1"/>
    <xf numFmtId="0" fontId="0" fillId="3" borderId="53" xfId="0" applyFont="1" applyFill="1" applyBorder="1" applyAlignment="1">
      <alignment horizontal="center" vertical="center"/>
    </xf>
    <xf numFmtId="0" fontId="0" fillId="3" borderId="11" xfId="0" applyFont="1" applyFill="1" applyBorder="1" applyAlignment="1">
      <alignment horizontal="center" vertical="center"/>
    </xf>
    <xf numFmtId="0" fontId="56" fillId="3" borderId="55" xfId="0" applyFont="1" applyFill="1" applyBorder="1" applyAlignment="1" applyProtection="1">
      <alignment horizontal="center" vertical="center"/>
      <protection locked="0"/>
    </xf>
    <xf numFmtId="0" fontId="56" fillId="3" borderId="56" xfId="0" applyFont="1" applyFill="1" applyBorder="1" applyAlignment="1" applyProtection="1">
      <alignment horizontal="center" vertical="center"/>
      <protection locked="0"/>
    </xf>
    <xf numFmtId="0" fontId="0" fillId="7" borderId="0" xfId="0" applyFill="1" applyBorder="1"/>
    <xf numFmtId="0" fontId="0" fillId="7" borderId="0" xfId="0" applyFill="1" applyBorder="1" applyAlignment="1">
      <alignment horizontal="center" vertical="center"/>
    </xf>
    <xf numFmtId="0" fontId="0" fillId="0" borderId="53" xfId="0" applyBorder="1" applyAlignment="1">
      <alignment horizontal="center" vertical="center"/>
    </xf>
    <xf numFmtId="0" fontId="0" fillId="0" borderId="17" xfId="0" applyBorder="1" applyAlignment="1">
      <alignment horizontal="center" vertical="center"/>
    </xf>
    <xf numFmtId="0" fontId="0" fillId="0" borderId="11" xfId="0" applyBorder="1" applyAlignment="1">
      <alignment horizontal="center" vertical="center"/>
    </xf>
    <xf numFmtId="0" fontId="0" fillId="0" borderId="16" xfId="0" applyBorder="1"/>
    <xf numFmtId="0" fontId="0" fillId="0" borderId="57" xfId="0" applyBorder="1"/>
    <xf numFmtId="0" fontId="20" fillId="0" borderId="20" xfId="0" applyFont="1" applyBorder="1" applyAlignment="1">
      <alignment horizontal="center" vertical="center"/>
    </xf>
    <xf numFmtId="0" fontId="0" fillId="7" borderId="0" xfId="0" applyFill="1" applyAlignment="1">
      <alignment horizontal="center" vertical="center"/>
    </xf>
    <xf numFmtId="0" fontId="0" fillId="0" borderId="0" xfId="0" applyAlignment="1">
      <alignment horizontal="center" vertical="center"/>
    </xf>
    <xf numFmtId="0" fontId="55" fillId="13" borderId="58" xfId="0" applyFont="1" applyFill="1" applyBorder="1" applyAlignment="1">
      <alignment horizontal="center" vertical="center"/>
    </xf>
    <xf numFmtId="0" fontId="44" fillId="0" borderId="18" xfId="0" applyFont="1" applyBorder="1" applyAlignment="1">
      <alignment horizontal="left" vertical="center" indent="1"/>
    </xf>
    <xf numFmtId="0" fontId="20" fillId="0" borderId="33" xfId="0" applyFont="1" applyBorder="1" applyAlignment="1">
      <alignment horizontal="center" vertical="center"/>
    </xf>
    <xf numFmtId="0" fontId="8" fillId="3" borderId="14" xfId="0" applyFont="1" applyFill="1" applyBorder="1" applyAlignment="1">
      <alignment horizontal="center" vertical="center"/>
    </xf>
    <xf numFmtId="0" fontId="8" fillId="0" borderId="12" xfId="0" applyFont="1" applyBorder="1" applyAlignment="1">
      <alignment horizontal="center" vertical="center"/>
    </xf>
    <xf numFmtId="0" fontId="57" fillId="4" borderId="59" xfId="0" applyFont="1" applyFill="1" applyBorder="1" applyAlignment="1" applyProtection="1">
      <alignment horizontal="center" vertical="center"/>
      <protection locked="0"/>
    </xf>
    <xf numFmtId="0" fontId="57" fillId="4" borderId="56" xfId="0" applyFont="1" applyFill="1" applyBorder="1" applyAlignment="1" applyProtection="1">
      <alignment horizontal="center" vertical="center"/>
      <protection locked="0"/>
    </xf>
    <xf numFmtId="0" fontId="0" fillId="13" borderId="60" xfId="0" applyFill="1" applyBorder="1"/>
    <xf numFmtId="0" fontId="0" fillId="13" borderId="14" xfId="0" applyFill="1" applyBorder="1"/>
    <xf numFmtId="0" fontId="0" fillId="13" borderId="12" xfId="0" applyFill="1" applyBorder="1"/>
    <xf numFmtId="0" fontId="0" fillId="13" borderId="61" xfId="0" applyFill="1" applyBorder="1"/>
    <xf numFmtId="0" fontId="0" fillId="3" borderId="60" xfId="0" applyFont="1" applyFill="1" applyBorder="1" applyAlignment="1">
      <alignment horizontal="center" vertical="center"/>
    </xf>
    <xf numFmtId="0" fontId="0" fillId="3" borderId="12" xfId="0" applyFont="1" applyFill="1" applyBorder="1" applyAlignment="1">
      <alignment horizontal="center" vertical="center"/>
    </xf>
    <xf numFmtId="0" fontId="56" fillId="3" borderId="59" xfId="0" applyFont="1" applyFill="1" applyBorder="1" applyAlignment="1" applyProtection="1">
      <alignment horizontal="center" vertical="center"/>
      <protection locked="0"/>
    </xf>
    <xf numFmtId="0" fontId="0" fillId="0" borderId="60" xfId="0" applyBorder="1" applyAlignment="1">
      <alignment horizontal="center" vertical="center"/>
    </xf>
    <xf numFmtId="0" fontId="0" fillId="0" borderId="14" xfId="0" applyBorder="1" applyAlignment="1">
      <alignment horizontal="center" vertical="center"/>
    </xf>
    <xf numFmtId="0" fontId="0" fillId="0" borderId="13" xfId="0" applyBorder="1"/>
    <xf numFmtId="0" fontId="0" fillId="0" borderId="62" xfId="0" applyBorder="1"/>
    <xf numFmtId="0" fontId="20" fillId="0" borderId="63" xfId="0" applyFont="1" applyBorder="1" applyAlignment="1">
      <alignment horizontal="center" vertical="center"/>
    </xf>
    <xf numFmtId="0" fontId="0" fillId="3" borderId="14" xfId="0" applyFont="1" applyFill="1" applyBorder="1" applyAlignment="1">
      <alignment horizontal="center" vertical="center"/>
    </xf>
    <xf numFmtId="0" fontId="0" fillId="0" borderId="12" xfId="0" applyFont="1" applyBorder="1" applyAlignment="1">
      <alignment horizontal="center" vertical="center"/>
    </xf>
    <xf numFmtId="0" fontId="44" fillId="0" borderId="64" xfId="0" applyFont="1" applyBorder="1" applyAlignment="1">
      <alignment horizontal="left" vertical="center" indent="1"/>
    </xf>
    <xf numFmtId="0" fontId="20" fillId="0" borderId="65" xfId="0" applyFont="1" applyBorder="1" applyAlignment="1">
      <alignment horizontal="center" vertical="center"/>
    </xf>
    <xf numFmtId="0" fontId="8" fillId="3" borderId="66" xfId="0" applyFont="1" applyFill="1" applyBorder="1" applyAlignment="1">
      <alignment horizontal="center" vertical="center"/>
    </xf>
    <xf numFmtId="0" fontId="8" fillId="0" borderId="67" xfId="0" applyFont="1" applyBorder="1" applyAlignment="1">
      <alignment horizontal="center" vertical="center"/>
    </xf>
    <xf numFmtId="0" fontId="57" fillId="4" borderId="68" xfId="0" applyFont="1" applyFill="1" applyBorder="1" applyAlignment="1" applyProtection="1">
      <alignment horizontal="center" vertical="center"/>
      <protection locked="0"/>
    </xf>
    <xf numFmtId="0" fontId="57" fillId="4" borderId="69" xfId="0" applyFont="1" applyFill="1" applyBorder="1" applyAlignment="1" applyProtection="1">
      <alignment horizontal="center" vertical="center"/>
      <protection locked="0"/>
    </xf>
    <xf numFmtId="0" fontId="0" fillId="3" borderId="66" xfId="0" applyFont="1" applyFill="1" applyBorder="1" applyAlignment="1">
      <alignment horizontal="center" vertical="center"/>
    </xf>
    <xf numFmtId="0" fontId="0" fillId="0" borderId="67" xfId="0" applyFont="1" applyBorder="1" applyAlignment="1">
      <alignment horizontal="center" vertical="center"/>
    </xf>
    <xf numFmtId="0" fontId="0" fillId="0" borderId="70"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71" xfId="0" applyBorder="1"/>
    <xf numFmtId="0" fontId="0" fillId="0" borderId="72" xfId="0" applyBorder="1"/>
    <xf numFmtId="0" fontId="20" fillId="0" borderId="21" xfId="0" applyFont="1" applyBorder="1" applyAlignment="1">
      <alignment horizontal="center" vertical="center"/>
    </xf>
    <xf numFmtId="0" fontId="0" fillId="0" borderId="73" xfId="0" applyBorder="1"/>
    <xf numFmtId="0" fontId="58" fillId="7" borderId="0" xfId="0" applyFont="1" applyFill="1" applyAlignment="1">
      <alignment horizontal="center" vertical="center"/>
    </xf>
    <xf numFmtId="0" fontId="59" fillId="0" borderId="0" xfId="0" applyFont="1" applyAlignment="1">
      <alignment horizontal="center" shrinkToFit="1"/>
    </xf>
    <xf numFmtId="0" fontId="60" fillId="7" borderId="0" xfId="0" applyFont="1" applyFill="1"/>
    <xf numFmtId="0" fontId="58" fillId="2" borderId="0" xfId="0" applyFont="1" applyFill="1" applyAlignment="1">
      <alignment horizontal="center" shrinkToFit="1"/>
    </xf>
    <xf numFmtId="0" fontId="44" fillId="7" borderId="0" xfId="0" applyFont="1" applyFill="1" applyAlignment="1">
      <alignment horizontal="left" vertical="center" indent="1"/>
    </xf>
    <xf numFmtId="0" fontId="44" fillId="7" borderId="0" xfId="0" applyFont="1" applyFill="1" applyAlignment="1">
      <alignment horizontal="center"/>
    </xf>
    <xf numFmtId="0" fontId="58" fillId="6" borderId="0" xfId="0" applyFont="1" applyFill="1" applyAlignment="1">
      <alignment horizontal="center" shrinkToFit="1"/>
    </xf>
    <xf numFmtId="0" fontId="58" fillId="7" borderId="0" xfId="0" applyFont="1" applyFill="1" applyAlignment="1">
      <alignment horizontal="center" shrinkToFit="1"/>
    </xf>
    <xf numFmtId="0" fontId="44" fillId="7" borderId="0" xfId="0" applyFont="1" applyFill="1"/>
    <xf numFmtId="0" fontId="61" fillId="0" borderId="73" xfId="0" applyFont="1" applyBorder="1" applyAlignment="1">
      <alignment horizontal="right"/>
    </xf>
    <xf numFmtId="0" fontId="60" fillId="0" borderId="73" xfId="0" applyFont="1" applyBorder="1" applyAlignment="1">
      <alignment horizontal="center"/>
    </xf>
    <xf numFmtId="0" fontId="0" fillId="0" borderId="73" xfId="0" applyBorder="1" applyAlignment="1"/>
    <xf numFmtId="0" fontId="62" fillId="0" borderId="73" xfId="0" applyFont="1" applyBorder="1" applyAlignment="1">
      <alignment horizontal="center"/>
    </xf>
    <xf numFmtId="0" fontId="0" fillId="0" borderId="74" xfId="0" applyBorder="1"/>
    <xf numFmtId="0" fontId="0" fillId="0" borderId="75" xfId="0" applyBorder="1"/>
    <xf numFmtId="0" fontId="63" fillId="0" borderId="73" xfId="0" applyFont="1" applyBorder="1" applyAlignment="1">
      <alignment horizontal="center" vertical="center"/>
    </xf>
    <xf numFmtId="0" fontId="44" fillId="0" borderId="73" xfId="0" applyFont="1" applyBorder="1" applyAlignment="1">
      <alignment horizontal="center" vertical="center"/>
    </xf>
    <xf numFmtId="0" fontId="44" fillId="0" borderId="74" xfId="0" applyFont="1" applyBorder="1" applyAlignment="1">
      <alignment horizontal="center" vertical="center"/>
    </xf>
    <xf numFmtId="0" fontId="0" fillId="0" borderId="73" xfId="0" applyBorder="1" applyAlignment="1">
      <alignment horizontal="center"/>
    </xf>
    <xf numFmtId="0" fontId="65" fillId="14" borderId="1" xfId="0" applyFont="1" applyFill="1" applyBorder="1" applyAlignment="1">
      <alignment horizontal="center" shrinkToFit="1"/>
    </xf>
    <xf numFmtId="0" fontId="0" fillId="3" borderId="53" xfId="0" applyFont="1" applyFill="1" applyBorder="1" applyAlignment="1" applyProtection="1">
      <alignment horizontal="center" vertical="center"/>
    </xf>
    <xf numFmtId="0" fontId="0" fillId="3" borderId="11" xfId="0" applyFont="1" applyFill="1" applyBorder="1" applyAlignment="1" applyProtection="1">
      <alignment horizontal="center" vertical="center"/>
    </xf>
    <xf numFmtId="0" fontId="56" fillId="3" borderId="55" xfId="0" applyFont="1" applyFill="1" applyBorder="1" applyAlignment="1" applyProtection="1">
      <alignment horizontal="center" vertical="center"/>
    </xf>
    <xf numFmtId="0" fontId="56" fillId="3" borderId="56" xfId="0" applyFont="1" applyFill="1" applyBorder="1" applyAlignment="1" applyProtection="1">
      <alignment horizontal="center" vertical="center"/>
    </xf>
    <xf numFmtId="0" fontId="0" fillId="3" borderId="60" xfId="0" applyFont="1" applyFill="1" applyBorder="1" applyAlignment="1" applyProtection="1">
      <alignment horizontal="center" vertical="center"/>
    </xf>
    <xf numFmtId="0" fontId="0" fillId="3" borderId="12" xfId="0" applyFont="1" applyFill="1" applyBorder="1" applyAlignment="1" applyProtection="1">
      <alignment horizontal="center" vertical="center"/>
    </xf>
    <xf numFmtId="0" fontId="56" fillId="3" borderId="59" xfId="0" applyFont="1" applyFill="1" applyBorder="1" applyAlignment="1" applyProtection="1">
      <alignment horizontal="center" vertical="center"/>
    </xf>
    <xf numFmtId="0" fontId="20" fillId="0" borderId="0" xfId="0" applyFont="1" applyAlignment="1">
      <alignment horizontal="left"/>
    </xf>
    <xf numFmtId="0" fontId="0" fillId="0" borderId="0" xfId="0"/>
    <xf numFmtId="0" fontId="66" fillId="0" borderId="0" xfId="0" applyFont="1"/>
    <xf numFmtId="0" fontId="66" fillId="0" borderId="0" xfId="0" applyFont="1" applyAlignment="1">
      <alignment horizontal="center"/>
    </xf>
    <xf numFmtId="0" fontId="15" fillId="2" borderId="12" xfId="0" applyFont="1" applyFill="1" applyBorder="1" applyAlignment="1">
      <alignment horizontal="center" vertical="center" wrapText="1"/>
    </xf>
    <xf numFmtId="0" fontId="66" fillId="0" borderId="0" xfId="0" applyFont="1" applyAlignment="1">
      <alignment horizontal="center" vertical="center"/>
    </xf>
    <xf numFmtId="0" fontId="3" fillId="2" borderId="3" xfId="0" applyFont="1" applyFill="1" applyBorder="1" applyAlignment="1">
      <alignment horizontal="center" textRotation="90"/>
    </xf>
    <xf numFmtId="0" fontId="67" fillId="2" borderId="3" xfId="0" applyFont="1" applyFill="1" applyBorder="1" applyAlignment="1">
      <alignment horizontal="center" textRotation="90"/>
    </xf>
    <xf numFmtId="0" fontId="0" fillId="0" borderId="0" xfId="0" applyAlignment="1">
      <alignment shrinkToFit="1"/>
    </xf>
    <xf numFmtId="0" fontId="0" fillId="0" borderId="0" xfId="0" applyAlignment="1">
      <alignment horizontal="center" shrinkToFit="1"/>
    </xf>
    <xf numFmtId="0" fontId="0" fillId="15" borderId="0" xfId="0" applyFill="1"/>
    <xf numFmtId="1" fontId="0" fillId="3" borderId="12" xfId="0" applyNumberFormat="1" applyFill="1" applyBorder="1"/>
    <xf numFmtId="0" fontId="0" fillId="3" borderId="12" xfId="0" applyFill="1" applyBorder="1"/>
    <xf numFmtId="0" fontId="0" fillId="0" borderId="77" xfId="0" applyBorder="1"/>
    <xf numFmtId="0" fontId="0" fillId="0" borderId="73" xfId="0" applyBorder="1" applyAlignment="1">
      <alignment horizontal="left"/>
    </xf>
    <xf numFmtId="0" fontId="68" fillId="0" borderId="78" xfId="0" applyFont="1" applyBorder="1" applyAlignment="1">
      <alignment horizontal="center"/>
    </xf>
    <xf numFmtId="0" fontId="42" fillId="5" borderId="1" xfId="0" applyFont="1" applyFill="1" applyBorder="1" applyAlignment="1">
      <alignment horizontal="center"/>
    </xf>
    <xf numFmtId="0" fontId="27" fillId="9" borderId="1" xfId="0" applyFont="1" applyFill="1" applyBorder="1" applyAlignment="1">
      <alignment horizontal="center"/>
    </xf>
    <xf numFmtId="0" fontId="0" fillId="0" borderId="79" xfId="0" applyBorder="1"/>
    <xf numFmtId="0" fontId="58" fillId="0" borderId="73" xfId="0" applyFont="1" applyBorder="1" applyAlignment="1">
      <alignment horizontal="center" vertical="center"/>
    </xf>
    <xf numFmtId="0" fontId="27" fillId="4" borderId="1" xfId="0" applyFont="1" applyFill="1" applyBorder="1" applyAlignment="1">
      <alignment horizontal="center"/>
    </xf>
    <xf numFmtId="0" fontId="12" fillId="0" borderId="80" xfId="0" applyFont="1" applyBorder="1"/>
    <xf numFmtId="0" fontId="0" fillId="0" borderId="80" xfId="0" applyBorder="1"/>
    <xf numFmtId="0" fontId="69" fillId="0" borderId="81" xfId="0" applyFont="1" applyBorder="1" applyAlignment="1">
      <alignment horizontal="right"/>
    </xf>
    <xf numFmtId="0" fontId="70" fillId="3" borderId="1" xfId="0" applyFont="1" applyFill="1" applyBorder="1" applyAlignment="1" applyProtection="1">
      <alignment horizontal="center"/>
      <protection locked="0"/>
    </xf>
    <xf numFmtId="0" fontId="70" fillId="0" borderId="73" xfId="0" applyFont="1" applyBorder="1"/>
    <xf numFmtId="0" fontId="70" fillId="0" borderId="82" xfId="0" applyFont="1" applyBorder="1"/>
    <xf numFmtId="0" fontId="71" fillId="7" borderId="73" xfId="0" applyFont="1" applyFill="1" applyBorder="1" applyAlignment="1">
      <alignment horizontal="center" vertical="center"/>
    </xf>
    <xf numFmtId="0" fontId="70" fillId="0" borderId="79" xfId="0" applyFont="1" applyBorder="1"/>
    <xf numFmtId="0" fontId="72" fillId="7" borderId="73" xfId="0" applyFont="1" applyFill="1" applyBorder="1" applyAlignment="1">
      <alignment horizontal="center" vertical="center"/>
    </xf>
    <xf numFmtId="0" fontId="0" fillId="6" borderId="12" xfId="0" applyFont="1" applyFill="1" applyBorder="1" applyAlignment="1">
      <alignment horizontal="center" vertical="center"/>
    </xf>
    <xf numFmtId="0" fontId="12" fillId="0" borderId="83" xfId="0" applyFont="1" applyBorder="1" applyAlignment="1">
      <alignment horizontal="center" vertical="center"/>
    </xf>
    <xf numFmtId="0" fontId="15" fillId="0" borderId="84" xfId="0" applyFont="1" applyBorder="1" applyAlignment="1">
      <alignment horizontal="center"/>
    </xf>
    <xf numFmtId="0" fontId="73" fillId="0" borderId="15" xfId="0" applyFont="1" applyBorder="1" applyAlignment="1">
      <alignment horizontal="center" shrinkToFit="1"/>
    </xf>
    <xf numFmtId="0" fontId="28" fillId="4" borderId="85" xfId="0" applyFont="1" applyFill="1" applyBorder="1" applyAlignment="1" applyProtection="1">
      <alignment horizontal="center"/>
      <protection locked="0"/>
    </xf>
    <xf numFmtId="0" fontId="0" fillId="0" borderId="86" xfId="0" applyFont="1" applyBorder="1"/>
    <xf numFmtId="0" fontId="0" fillId="0" borderId="73" xfId="0" applyFont="1" applyBorder="1"/>
    <xf numFmtId="0" fontId="0" fillId="0" borderId="74" xfId="0" applyFont="1" applyBorder="1"/>
    <xf numFmtId="0" fontId="0" fillId="0" borderId="73" xfId="0" applyFont="1" applyBorder="1" applyProtection="1">
      <protection locked="0"/>
    </xf>
    <xf numFmtId="0" fontId="0" fillId="0" borderId="82" xfId="0" applyBorder="1"/>
    <xf numFmtId="0" fontId="15" fillId="0" borderId="87" xfId="0" applyFont="1" applyBorder="1" applyAlignment="1">
      <alignment horizontal="center"/>
    </xf>
    <xf numFmtId="0" fontId="73" fillId="0" borderId="88" xfId="0" applyFont="1" applyBorder="1" applyAlignment="1">
      <alignment horizontal="center" shrinkToFit="1"/>
    </xf>
    <xf numFmtId="0" fontId="28" fillId="4" borderId="89" xfId="0" applyFont="1" applyFill="1" applyBorder="1" applyAlignment="1" applyProtection="1">
      <alignment horizontal="center"/>
      <protection locked="0"/>
    </xf>
    <xf numFmtId="0" fontId="0" fillId="0" borderId="90" xfId="0" applyFont="1" applyBorder="1"/>
    <xf numFmtId="0" fontId="0" fillId="0" borderId="91" xfId="0" applyFont="1" applyBorder="1"/>
    <xf numFmtId="0" fontId="0" fillId="0" borderId="73" xfId="0" applyFont="1" applyBorder="1" applyAlignment="1">
      <alignment shrinkToFit="1"/>
    </xf>
    <xf numFmtId="0" fontId="0" fillId="0" borderId="74" xfId="0" applyBorder="1" applyAlignment="1">
      <alignment horizontal="center" vertical="center"/>
    </xf>
    <xf numFmtId="0" fontId="68" fillId="0" borderId="92" xfId="0" applyFont="1" applyBorder="1" applyAlignment="1">
      <alignment horizontal="center" vertical="center"/>
    </xf>
    <xf numFmtId="0" fontId="16" fillId="0" borderId="79" xfId="0" applyFont="1" applyBorder="1" applyAlignment="1">
      <alignment horizontal="center" vertical="center" shrinkToFit="1"/>
    </xf>
    <xf numFmtId="0" fontId="54" fillId="0" borderId="79" xfId="0" applyFont="1" applyBorder="1" applyAlignment="1" applyProtection="1">
      <alignment horizontal="center"/>
      <protection locked="0"/>
    </xf>
    <xf numFmtId="0" fontId="0" fillId="0" borderId="93" xfId="0" applyFont="1" applyBorder="1"/>
    <xf numFmtId="0" fontId="0" fillId="0" borderId="82" xfId="0" applyFont="1" applyBorder="1"/>
    <xf numFmtId="0" fontId="0" fillId="0" borderId="73" xfId="0" applyBorder="1" applyAlignment="1">
      <alignment horizontal="center" vertical="center"/>
    </xf>
    <xf numFmtId="0" fontId="12" fillId="0" borderId="80" xfId="0" applyFont="1" applyBorder="1" applyAlignment="1">
      <alignment horizontal="center" vertical="center"/>
    </xf>
    <xf numFmtId="0" fontId="28" fillId="0" borderId="79" xfId="0" applyFont="1" applyBorder="1" applyAlignment="1">
      <alignment horizontal="center" vertical="center"/>
    </xf>
    <xf numFmtId="0" fontId="0" fillId="0" borderId="94" xfId="0" applyFont="1" applyBorder="1"/>
    <xf numFmtId="0" fontId="0" fillId="0" borderId="79" xfId="0" applyFont="1" applyBorder="1" applyAlignment="1">
      <alignment shrinkToFit="1"/>
    </xf>
    <xf numFmtId="0" fontId="0" fillId="0" borderId="79" xfId="0" applyFont="1" applyBorder="1" applyProtection="1">
      <protection locked="0"/>
    </xf>
    <xf numFmtId="0" fontId="0" fillId="0" borderId="95" xfId="0" applyFont="1" applyBorder="1"/>
    <xf numFmtId="0" fontId="68" fillId="0" borderId="79" xfId="0" applyFont="1" applyBorder="1" applyAlignment="1">
      <alignment horizontal="center"/>
    </xf>
    <xf numFmtId="0" fontId="54" fillId="0" borderId="81" xfId="0" applyFont="1" applyBorder="1" applyAlignment="1">
      <alignment horizontal="center" vertical="center" shrinkToFit="1"/>
    </xf>
    <xf numFmtId="0" fontId="0" fillId="0" borderId="82" xfId="0" applyFont="1" applyBorder="1" applyProtection="1">
      <protection locked="0"/>
    </xf>
    <xf numFmtId="0" fontId="0" fillId="0" borderId="82" xfId="0" applyFont="1" applyBorder="1" applyAlignment="1">
      <alignment horizontal="center" vertical="center" shrinkToFit="1"/>
    </xf>
    <xf numFmtId="0" fontId="0" fillId="0" borderId="75" xfId="0" applyFont="1" applyBorder="1"/>
    <xf numFmtId="0" fontId="74" fillId="0" borderId="79" xfId="0" applyFont="1" applyBorder="1" applyAlignment="1">
      <alignment horizontal="center"/>
    </xf>
    <xf numFmtId="0" fontId="0" fillId="0" borderId="73" xfId="0" applyFont="1" applyBorder="1" applyAlignment="1">
      <alignment horizontal="center" vertical="center" shrinkToFit="1"/>
    </xf>
    <xf numFmtId="0" fontId="0" fillId="0" borderId="79" xfId="0" applyFont="1" applyBorder="1"/>
    <xf numFmtId="0" fontId="68" fillId="0" borderId="96" xfId="0" applyFont="1" applyBorder="1" applyAlignment="1">
      <alignment horizontal="center"/>
    </xf>
    <xf numFmtId="0" fontId="54" fillId="0" borderId="97" xfId="0" applyFont="1" applyBorder="1" applyAlignment="1">
      <alignment horizontal="center" vertical="center" shrinkToFit="1"/>
    </xf>
    <xf numFmtId="0" fontId="54" fillId="0" borderId="92" xfId="0" applyFont="1" applyBorder="1" applyAlignment="1" applyProtection="1">
      <alignment horizontal="center"/>
      <protection locked="0"/>
    </xf>
    <xf numFmtId="0" fontId="0" fillId="0" borderId="49" xfId="0" applyFont="1" applyBorder="1"/>
    <xf numFmtId="0" fontId="0" fillId="0" borderId="98" xfId="0" applyFont="1" applyBorder="1"/>
    <xf numFmtId="0" fontId="0" fillId="0" borderId="96" xfId="0" applyFont="1" applyBorder="1"/>
    <xf numFmtId="0" fontId="0" fillId="0" borderId="99" xfId="0" applyFont="1" applyBorder="1" applyAlignment="1">
      <alignment horizontal="center" vertical="center" shrinkToFit="1"/>
    </xf>
    <xf numFmtId="0" fontId="16" fillId="0" borderId="82" xfId="0" applyFont="1" applyBorder="1" applyAlignment="1">
      <alignment horizontal="center" vertical="center" shrinkToFit="1"/>
    </xf>
    <xf numFmtId="0" fontId="0" fillId="0" borderId="100" xfId="0" applyFont="1" applyBorder="1"/>
    <xf numFmtId="0" fontId="0" fillId="0" borderId="101" xfId="0" applyFont="1" applyBorder="1"/>
    <xf numFmtId="0" fontId="0" fillId="0" borderId="102" xfId="0" applyFont="1" applyBorder="1"/>
    <xf numFmtId="0" fontId="16" fillId="0" borderId="81" xfId="0" applyFont="1" applyBorder="1" applyAlignment="1">
      <alignment horizontal="center" vertical="center" shrinkToFit="1"/>
    </xf>
    <xf numFmtId="0" fontId="54" fillId="0" borderId="81" xfId="0" applyFont="1" applyBorder="1" applyAlignment="1" applyProtection="1">
      <alignment horizontal="center"/>
      <protection locked="0"/>
    </xf>
    <xf numFmtId="0" fontId="0" fillId="0" borderId="79" xfId="0" applyFont="1" applyBorder="1" applyAlignment="1">
      <alignment horizontal="center" vertical="center" shrinkToFit="1"/>
    </xf>
    <xf numFmtId="0" fontId="0" fillId="0" borderId="103" xfId="0" applyFont="1" applyBorder="1"/>
    <xf numFmtId="0" fontId="0" fillId="0" borderId="101" xfId="0" applyFont="1" applyBorder="1" applyAlignment="1">
      <alignment shrinkToFit="1"/>
    </xf>
    <xf numFmtId="0" fontId="0" fillId="0" borderId="73" xfId="0" applyBorder="1" applyAlignment="1">
      <alignment shrinkToFit="1"/>
    </xf>
    <xf numFmtId="0" fontId="54" fillId="0" borderId="79" xfId="0" applyFont="1" applyBorder="1" applyAlignment="1">
      <alignment horizontal="center"/>
    </xf>
    <xf numFmtId="0" fontId="16" fillId="0" borderId="73" xfId="0" applyFont="1" applyBorder="1" applyAlignment="1">
      <alignment horizontal="center" vertical="center" shrinkToFit="1"/>
    </xf>
    <xf numFmtId="0" fontId="15" fillId="0" borderId="34" xfId="0" applyFont="1" applyBorder="1" applyAlignment="1">
      <alignment horizontal="center"/>
    </xf>
    <xf numFmtId="0" fontId="54" fillId="0" borderId="97" xfId="0" applyFont="1" applyBorder="1" applyAlignment="1">
      <alignment horizontal="center" shrinkToFit="1"/>
    </xf>
    <xf numFmtId="0" fontId="54" fillId="0" borderId="97" xfId="0" applyFont="1" applyBorder="1" applyAlignment="1">
      <alignment horizontal="center"/>
    </xf>
    <xf numFmtId="0" fontId="0" fillId="0" borderId="82" xfId="0" applyFont="1" applyBorder="1" applyAlignment="1">
      <alignment shrinkToFit="1"/>
    </xf>
    <xf numFmtId="0" fontId="44" fillId="16" borderId="1" xfId="0" applyFont="1" applyFill="1" applyBorder="1" applyAlignment="1">
      <alignment horizontal="center"/>
    </xf>
    <xf numFmtId="0" fontId="0" fillId="0" borderId="99" xfId="0" applyFont="1" applyBorder="1" applyAlignment="1">
      <alignment shrinkToFit="1"/>
    </xf>
    <xf numFmtId="0" fontId="0" fillId="0" borderId="104" xfId="0" applyBorder="1" applyAlignment="1">
      <alignment horizontal="center" vertical="center"/>
    </xf>
    <xf numFmtId="0" fontId="68" fillId="0" borderId="105" xfId="0" applyFont="1" applyBorder="1" applyAlignment="1">
      <alignment horizontal="center"/>
    </xf>
    <xf numFmtId="0" fontId="68" fillId="0" borderId="105" xfId="0" applyFont="1" applyBorder="1" applyAlignment="1">
      <alignment horizontal="center" vertical="center"/>
    </xf>
    <xf numFmtId="0" fontId="16" fillId="0" borderId="106" xfId="0" applyFont="1" applyBorder="1" applyAlignment="1">
      <alignment horizontal="center" vertical="center" shrinkToFit="1"/>
    </xf>
    <xf numFmtId="0" fontId="54" fillId="0" borderId="106" xfId="0" applyFont="1" applyBorder="1" applyAlignment="1" applyProtection="1">
      <alignment horizontal="center"/>
      <protection locked="0"/>
    </xf>
    <xf numFmtId="0" fontId="0" fillId="0" borderId="107" xfId="0" applyFont="1" applyBorder="1"/>
    <xf numFmtId="0" fontId="0" fillId="0" borderId="107" xfId="0" applyFont="1" applyBorder="1" applyProtection="1">
      <protection locked="0"/>
    </xf>
    <xf numFmtId="0" fontId="75" fillId="2" borderId="108" xfId="0" applyFont="1" applyFill="1" applyBorder="1" applyAlignment="1">
      <alignment horizontal="center" shrinkToFit="1"/>
    </xf>
    <xf numFmtId="0" fontId="28" fillId="0" borderId="109" xfId="0" applyFont="1" applyBorder="1" applyAlignment="1">
      <alignment horizontal="center"/>
    </xf>
    <xf numFmtId="0" fontId="68" fillId="0" borderId="92" xfId="0" applyFont="1" applyBorder="1" applyAlignment="1">
      <alignment horizontal="center"/>
    </xf>
    <xf numFmtId="0" fontId="28" fillId="0" borderId="92" xfId="0" applyFont="1" applyBorder="1" applyAlignment="1">
      <alignment horizontal="center" vertical="center"/>
    </xf>
    <xf numFmtId="0" fontId="54" fillId="0" borderId="92" xfId="0" applyFont="1" applyBorder="1" applyAlignment="1">
      <alignment horizontal="center"/>
    </xf>
    <xf numFmtId="0" fontId="0" fillId="0" borderId="74" xfId="0" applyFont="1" applyBorder="1" applyProtection="1">
      <protection locked="0"/>
    </xf>
    <xf numFmtId="0" fontId="73" fillId="17" borderId="15" xfId="0" applyFont="1" applyFill="1" applyBorder="1" applyAlignment="1">
      <alignment horizontal="center" shrinkToFit="1"/>
    </xf>
    <xf numFmtId="0" fontId="28" fillId="7" borderId="109" xfId="0" applyFont="1" applyFill="1" applyBorder="1" applyAlignment="1">
      <alignment horizontal="center"/>
    </xf>
    <xf numFmtId="0" fontId="0" fillId="0" borderId="73" xfId="0" applyBorder="1" applyProtection="1">
      <protection locked="0"/>
    </xf>
    <xf numFmtId="0" fontId="0" fillId="0" borderId="110" xfId="0" applyBorder="1"/>
    <xf numFmtId="0" fontId="76" fillId="16" borderId="111" xfId="0" applyFont="1" applyFill="1" applyBorder="1" applyAlignment="1">
      <alignment horizontal="center" vertical="center" shrinkToFit="1"/>
    </xf>
    <xf numFmtId="0" fontId="76" fillId="16" borderId="112" xfId="0" applyFont="1" applyFill="1" applyBorder="1" applyAlignment="1">
      <alignment horizontal="center" vertical="center" shrinkToFit="1"/>
    </xf>
    <xf numFmtId="0" fontId="28" fillId="0" borderId="79" xfId="0" applyFont="1" applyBorder="1" applyAlignment="1">
      <alignment horizontal="center"/>
    </xf>
    <xf numFmtId="0" fontId="73" fillId="9" borderId="15" xfId="0" applyFont="1" applyFill="1" applyBorder="1" applyAlignment="1" applyProtection="1">
      <alignment horizontal="center" shrinkToFit="1"/>
      <protection locked="0"/>
    </xf>
    <xf numFmtId="0" fontId="54" fillId="0" borderId="81" xfId="0" applyFont="1" applyBorder="1" applyAlignment="1">
      <alignment horizontal="center"/>
    </xf>
    <xf numFmtId="0" fontId="0" fillId="0" borderId="75" xfId="0" applyBorder="1" applyAlignment="1">
      <alignment shrinkToFit="1"/>
    </xf>
    <xf numFmtId="0" fontId="54" fillId="0" borderId="106" xfId="0" applyFont="1" applyBorder="1" applyAlignment="1">
      <alignment horizontal="center"/>
    </xf>
    <xf numFmtId="0" fontId="68" fillId="0" borderId="106" xfId="0" applyFont="1" applyBorder="1" applyAlignment="1">
      <alignment horizontal="center"/>
    </xf>
    <xf numFmtId="0" fontId="0" fillId="0" borderId="107" xfId="0" applyFont="1" applyBorder="1" applyAlignment="1">
      <alignment horizontal="center" vertical="center" shrinkToFit="1"/>
    </xf>
    <xf numFmtId="0" fontId="16" fillId="0" borderId="107" xfId="0" applyFont="1" applyBorder="1" applyAlignment="1">
      <alignment horizontal="center" vertical="center" shrinkToFit="1"/>
    </xf>
    <xf numFmtId="0" fontId="0" fillId="0" borderId="113" xfId="0" applyFont="1" applyBorder="1"/>
    <xf numFmtId="0" fontId="0" fillId="0" borderId="74" xfId="0" applyFont="1" applyBorder="1" applyAlignment="1">
      <alignment horizontal="center" vertical="center" shrinkToFit="1"/>
    </xf>
    <xf numFmtId="0" fontId="16" fillId="0" borderId="74" xfId="0" applyFont="1" applyBorder="1" applyAlignment="1">
      <alignment horizontal="center" vertical="center" shrinkToFit="1"/>
    </xf>
    <xf numFmtId="0" fontId="70" fillId="0" borderId="114" xfId="0" applyFont="1" applyBorder="1"/>
    <xf numFmtId="0" fontId="11" fillId="0" borderId="73" xfId="0" applyFont="1" applyBorder="1"/>
    <xf numFmtId="0" fontId="0" fillId="0" borderId="86" xfId="0" applyBorder="1"/>
    <xf numFmtId="0" fontId="0" fillId="0" borderId="74" xfId="0" applyBorder="1" applyAlignment="1">
      <alignment shrinkToFit="1"/>
    </xf>
    <xf numFmtId="0" fontId="0" fillId="0" borderId="90" xfId="0" applyBorder="1"/>
    <xf numFmtId="0" fontId="0" fillId="0" borderId="94" xfId="0" applyBorder="1"/>
    <xf numFmtId="0" fontId="0" fillId="0" borderId="74" xfId="0" applyBorder="1" applyAlignment="1">
      <alignment horizontal="center" shrinkToFit="1"/>
    </xf>
    <xf numFmtId="0" fontId="0" fillId="0" borderId="79" xfId="0" applyBorder="1" applyAlignment="1">
      <alignment shrinkToFit="1"/>
    </xf>
    <xf numFmtId="0" fontId="0" fillId="0" borderId="95" xfId="0" applyBorder="1"/>
    <xf numFmtId="0" fontId="0" fillId="0" borderId="73" xfId="0" applyBorder="1" applyAlignment="1">
      <alignment horizontal="center" shrinkToFit="1"/>
    </xf>
    <xf numFmtId="0" fontId="12" fillId="0" borderId="81" xfId="0" applyFont="1" applyBorder="1"/>
    <xf numFmtId="0" fontId="0" fillId="0" borderId="115" xfId="0" applyBorder="1"/>
    <xf numFmtId="0" fontId="0" fillId="0" borderId="82" xfId="0" applyBorder="1" applyAlignment="1">
      <alignment horizontal="center" shrinkToFit="1"/>
    </xf>
    <xf numFmtId="0" fontId="0" fillId="0" borderId="99" xfId="0" applyBorder="1" applyAlignment="1">
      <alignment horizontal="center" shrinkToFit="1"/>
    </xf>
    <xf numFmtId="0" fontId="16" fillId="0" borderId="82" xfId="0" applyFont="1" applyBorder="1" applyAlignment="1">
      <alignment horizontal="center" shrinkToFit="1"/>
    </xf>
    <xf numFmtId="0" fontId="0" fillId="0" borderId="100" xfId="0" applyBorder="1"/>
    <xf numFmtId="0" fontId="0" fillId="0" borderId="101" xfId="0" applyBorder="1"/>
    <xf numFmtId="0" fontId="0" fillId="0" borderId="93" xfId="0" applyBorder="1"/>
    <xf numFmtId="0" fontId="0" fillId="0" borderId="116" xfId="0" applyBorder="1"/>
    <xf numFmtId="0" fontId="16" fillId="0" borderId="73" xfId="0" applyFont="1" applyBorder="1" applyAlignment="1">
      <alignment horizontal="center" shrinkToFit="1"/>
    </xf>
    <xf numFmtId="0" fontId="77" fillId="0" borderId="117" xfId="0" applyFont="1" applyBorder="1" applyAlignment="1">
      <alignment horizontal="center"/>
    </xf>
    <xf numFmtId="0" fontId="0" fillId="0" borderId="82" xfId="0" applyBorder="1" applyAlignment="1">
      <alignment shrinkToFit="1"/>
    </xf>
    <xf numFmtId="0" fontId="0" fillId="0" borderId="99" xfId="0" applyBorder="1" applyAlignment="1">
      <alignment shrinkToFit="1"/>
    </xf>
    <xf numFmtId="0" fontId="0" fillId="9" borderId="0" xfId="0" applyFill="1" applyProtection="1">
      <protection locked="0"/>
    </xf>
    <xf numFmtId="0" fontId="27" fillId="5" borderId="1" xfId="0" applyFont="1" applyFill="1" applyBorder="1" applyAlignment="1">
      <alignment horizontal="center"/>
    </xf>
    <xf numFmtId="0" fontId="78" fillId="0" borderId="73" xfId="0" applyFont="1" applyBorder="1"/>
    <xf numFmtId="0" fontId="78" fillId="0" borderId="82" xfId="0" applyFont="1" applyBorder="1"/>
    <xf numFmtId="0" fontId="78" fillId="0" borderId="79" xfId="0" applyFont="1" applyBorder="1"/>
    <xf numFmtId="0" fontId="73" fillId="9" borderId="88" xfId="0" applyFont="1" applyFill="1" applyBorder="1" applyAlignment="1" applyProtection="1">
      <alignment horizontal="center" shrinkToFit="1"/>
      <protection locked="0"/>
    </xf>
    <xf numFmtId="0" fontId="0" fillId="0" borderId="79" xfId="0" applyBorder="1" applyProtection="1">
      <protection locked="0"/>
    </xf>
    <xf numFmtId="0" fontId="0" fillId="0" borderId="79" xfId="0" applyFont="1" applyBorder="1" applyAlignment="1">
      <alignment horizontal="center" shrinkToFit="1"/>
    </xf>
    <xf numFmtId="0" fontId="0" fillId="0" borderId="82" xfId="0" applyBorder="1" applyProtection="1">
      <protection locked="0"/>
    </xf>
    <xf numFmtId="0" fontId="0" fillId="0" borderId="82" xfId="0" applyBorder="1" applyAlignment="1" applyProtection="1">
      <alignment horizontal="center" shrinkToFit="1"/>
      <protection locked="0"/>
    </xf>
    <xf numFmtId="0" fontId="16" fillId="0" borderId="82" xfId="0" applyFont="1" applyBorder="1" applyAlignment="1" applyProtection="1">
      <alignment horizontal="center" shrinkToFit="1"/>
      <protection locked="0"/>
    </xf>
    <xf numFmtId="0" fontId="68" fillId="0" borderId="80" xfId="0" applyFont="1" applyBorder="1" applyAlignment="1">
      <alignment horizontal="center"/>
    </xf>
    <xf numFmtId="0" fontId="0" fillId="0" borderId="75" xfId="0" applyBorder="1" applyAlignment="1">
      <alignment horizontal="center" shrinkToFit="1"/>
    </xf>
    <xf numFmtId="0" fontId="77" fillId="0" borderId="118" xfId="0" applyFont="1" applyBorder="1" applyAlignment="1">
      <alignment horizontal="center"/>
    </xf>
    <xf numFmtId="0" fontId="54" fillId="0" borderId="118" xfId="0" applyFont="1" applyBorder="1" applyAlignment="1">
      <alignment horizontal="center"/>
    </xf>
    <xf numFmtId="0" fontId="0" fillId="0" borderId="119" xfId="0" applyBorder="1"/>
    <xf numFmtId="0" fontId="0" fillId="0" borderId="114" xfId="0" applyBorder="1"/>
    <xf numFmtId="0" fontId="54" fillId="0" borderId="73" xfId="0" applyFont="1" applyBorder="1" applyAlignment="1">
      <alignment horizontal="center"/>
    </xf>
    <xf numFmtId="0" fontId="0" fillId="0" borderId="101" xfId="0" applyBorder="1" applyAlignment="1">
      <alignment shrinkToFit="1"/>
    </xf>
    <xf numFmtId="0" fontId="68" fillId="0" borderId="103" xfId="0" applyFont="1" applyBorder="1" applyAlignment="1">
      <alignment horizontal="center"/>
    </xf>
    <xf numFmtId="0" fontId="12" fillId="0" borderId="93" xfId="0" applyFont="1" applyBorder="1"/>
    <xf numFmtId="0" fontId="28" fillId="7" borderId="120" xfId="0" applyFont="1" applyFill="1" applyBorder="1" applyAlignment="1">
      <alignment horizontal="center"/>
    </xf>
    <xf numFmtId="0" fontId="0" fillId="0" borderId="99" xfId="0" applyBorder="1"/>
    <xf numFmtId="0" fontId="12" fillId="0" borderId="73" xfId="0" applyFont="1" applyBorder="1"/>
    <xf numFmtId="0" fontId="15" fillId="9" borderId="24" xfId="0" applyFont="1" applyFill="1" applyBorder="1" applyAlignment="1">
      <alignment horizontal="center" vertical="center" wrapText="1"/>
    </xf>
    <xf numFmtId="0" fontId="79" fillId="9" borderId="24" xfId="0" applyFont="1" applyFill="1" applyBorder="1" applyAlignment="1">
      <alignment horizontal="center" vertical="center" wrapText="1"/>
    </xf>
    <xf numFmtId="0" fontId="51" fillId="0" borderId="121" xfId="0" applyFont="1" applyBorder="1" applyAlignment="1">
      <alignment horizontal="center"/>
    </xf>
    <xf numFmtId="0" fontId="58" fillId="0" borderId="122" xfId="0" applyFont="1" applyBorder="1" applyAlignment="1">
      <alignment horizontal="left" indent="1"/>
    </xf>
    <xf numFmtId="0" fontId="0" fillId="0" borderId="81" xfId="0" applyBorder="1"/>
    <xf numFmtId="0" fontId="51" fillId="0" borderId="123" xfId="0" applyFont="1" applyBorder="1" applyAlignment="1">
      <alignment horizontal="center"/>
    </xf>
    <xf numFmtId="0" fontId="58" fillId="0" borderId="124" xfId="0" applyFont="1" applyBorder="1" applyAlignment="1">
      <alignment horizontal="left" indent="1"/>
    </xf>
    <xf numFmtId="0" fontId="51" fillId="0" borderId="125" xfId="0" applyFont="1" applyBorder="1" applyAlignment="1">
      <alignment horizontal="center"/>
    </xf>
    <xf numFmtId="0" fontId="58" fillId="0" borderId="126" xfId="0" applyFont="1" applyBorder="1" applyAlignment="1">
      <alignment horizontal="left" indent="1"/>
    </xf>
    <xf numFmtId="0" fontId="0" fillId="0" borderId="74" xfId="0" applyBorder="1" applyAlignment="1">
      <alignment horizontal="center"/>
    </xf>
    <xf numFmtId="0" fontId="30" fillId="5" borderId="20" xfId="0" applyFont="1" applyFill="1" applyBorder="1" applyAlignment="1">
      <alignment horizontal="center"/>
    </xf>
    <xf numFmtId="0" fontId="0" fillId="0" borderId="0" xfId="0" applyFont="1" applyAlignment="1">
      <alignment horizontal="center" vertical="center" wrapText="1"/>
    </xf>
    <xf numFmtId="0" fontId="0" fillId="9" borderId="12" xfId="0" applyFill="1" applyBorder="1" applyAlignment="1">
      <alignment horizontal="center" vertical="center"/>
    </xf>
    <xf numFmtId="0" fontId="0" fillId="11" borderId="12" xfId="0" applyFill="1" applyBorder="1" applyAlignment="1">
      <alignment horizontal="center" vertical="center"/>
    </xf>
    <xf numFmtId="0" fontId="0" fillId="0" borderId="0" xfId="0" applyAlignment="1" applyProtection="1">
      <alignment horizontal="center"/>
      <protection locked="0"/>
    </xf>
    <xf numFmtId="0" fontId="80" fillId="0" borderId="0" xfId="0" applyFont="1"/>
    <xf numFmtId="0" fontId="0" fillId="2" borderId="3" xfId="0" applyFont="1" applyFill="1" applyBorder="1" applyAlignment="1"/>
    <xf numFmtId="0" fontId="0" fillId="2" borderId="4" xfId="0" applyFill="1" applyBorder="1" applyAlignment="1">
      <alignment horizontal="center"/>
    </xf>
    <xf numFmtId="0" fontId="0" fillId="2" borderId="5" xfId="0" applyFill="1" applyBorder="1" applyAlignment="1">
      <alignment horizontal="center"/>
    </xf>
    <xf numFmtId="0" fontId="81" fillId="0" borderId="0" xfId="0" applyFont="1" applyAlignment="1">
      <alignment horizontal="left"/>
    </xf>
    <xf numFmtId="0" fontId="0" fillId="11" borderId="1" xfId="0" applyFont="1" applyFill="1" applyBorder="1" applyAlignment="1">
      <alignment horizontal="center" vertical="center" wrapText="1"/>
    </xf>
    <xf numFmtId="0" fontId="0" fillId="0" borderId="51" xfId="0" applyFont="1" applyBorder="1" applyAlignment="1">
      <alignment horizontal="center" vertical="center"/>
    </xf>
    <xf numFmtId="0" fontId="82" fillId="0" borderId="51" xfId="0" applyFont="1" applyBorder="1" applyAlignment="1">
      <alignment horizontal="center" vertical="center" wrapText="1"/>
    </xf>
    <xf numFmtId="0" fontId="0" fillId="0" borderId="51" xfId="0" applyFont="1" applyBorder="1" applyAlignment="1">
      <alignment horizontal="center" vertical="center" wrapText="1"/>
    </xf>
    <xf numFmtId="0" fontId="0" fillId="0" borderId="17" xfId="0" applyFont="1" applyBorder="1" applyAlignment="1">
      <alignment horizontal="center" vertical="center" wrapText="1"/>
    </xf>
    <xf numFmtId="0" fontId="83" fillId="3" borderId="48" xfId="0" applyFont="1" applyFill="1" applyBorder="1" applyAlignment="1">
      <alignment horizontal="center"/>
    </xf>
    <xf numFmtId="0" fontId="0" fillId="4" borderId="12" xfId="0" applyFill="1" applyBorder="1" applyAlignment="1" applyProtection="1">
      <alignment horizontal="center"/>
      <protection locked="0"/>
    </xf>
    <xf numFmtId="0" fontId="0" fillId="0" borderId="0" xfId="0" applyBorder="1" applyAlignment="1">
      <alignment horizontal="center"/>
    </xf>
    <xf numFmtId="0" fontId="0" fillId="0" borderId="46" xfId="0" applyBorder="1" applyAlignment="1">
      <alignment horizontal="center"/>
    </xf>
    <xf numFmtId="0" fontId="84" fillId="0" borderId="73" xfId="0" applyFont="1" applyBorder="1"/>
    <xf numFmtId="0" fontId="0" fillId="0" borderId="73" xfId="0" applyBorder="1" applyAlignment="1">
      <alignment horizontal="right"/>
    </xf>
    <xf numFmtId="0" fontId="28" fillId="6" borderId="73" xfId="0" applyFont="1" applyFill="1" applyBorder="1"/>
    <xf numFmtId="0" fontId="0" fillId="6" borderId="73" xfId="0" applyFill="1" applyBorder="1"/>
    <xf numFmtId="0" fontId="0" fillId="0" borderId="127" xfId="0" applyFont="1" applyBorder="1"/>
    <xf numFmtId="0" fontId="0" fillId="0" borderId="5" xfId="0" applyBorder="1"/>
    <xf numFmtId="0" fontId="0" fillId="4" borderId="128" xfId="0" applyFont="1" applyFill="1" applyBorder="1"/>
    <xf numFmtId="0" fontId="0" fillId="4" borderId="129" xfId="0" applyFont="1" applyFill="1" applyBorder="1"/>
    <xf numFmtId="0" fontId="0" fillId="4" borderId="130" xfId="0" applyFont="1" applyFill="1" applyBorder="1"/>
    <xf numFmtId="0" fontId="0" fillId="0" borderId="131" xfId="0" applyBorder="1"/>
    <xf numFmtId="0" fontId="0" fillId="9" borderId="3" xfId="0" applyFont="1" applyFill="1" applyBorder="1"/>
    <xf numFmtId="0" fontId="0" fillId="9" borderId="5" xfId="0" applyFill="1" applyBorder="1"/>
    <xf numFmtId="165" fontId="0" fillId="7" borderId="0" xfId="0" applyNumberFormat="1" applyFill="1" applyAlignment="1">
      <alignment vertical="center"/>
    </xf>
    <xf numFmtId="0" fontId="0" fillId="7" borderId="0" xfId="0" applyFont="1" applyFill="1" applyAlignment="1">
      <alignment vertical="center"/>
    </xf>
    <xf numFmtId="0" fontId="0" fillId="2" borderId="132" xfId="0" applyFont="1" applyFill="1" applyBorder="1" applyAlignment="1">
      <alignment horizontal="center" vertical="center" wrapText="1"/>
    </xf>
    <xf numFmtId="0" fontId="0" fillId="2" borderId="30" xfId="0" applyFont="1" applyFill="1" applyBorder="1" applyAlignment="1">
      <alignment horizontal="center" vertical="center" wrapText="1"/>
    </xf>
    <xf numFmtId="0" fontId="0" fillId="2" borderId="13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42" fillId="12" borderId="3" xfId="0" applyFont="1" applyFill="1" applyBorder="1" applyAlignment="1">
      <alignment horizontal="right" vertical="center"/>
    </xf>
    <xf numFmtId="0" fontId="42" fillId="12" borderId="5" xfId="0" applyFont="1" applyFill="1" applyBorder="1" applyAlignment="1">
      <alignment horizontal="left" vertical="center"/>
    </xf>
    <xf numFmtId="0" fontId="42" fillId="16" borderId="1" xfId="0" applyFont="1" applyFill="1" applyBorder="1" applyAlignment="1">
      <alignment horizontal="center" vertical="center"/>
    </xf>
    <xf numFmtId="0" fontId="0" fillId="3" borderId="58" xfId="0" applyFill="1" applyBorder="1" applyAlignment="1">
      <alignment horizontal="center"/>
    </xf>
    <xf numFmtId="165" fontId="0" fillId="0" borderId="0" xfId="0" applyNumberFormat="1" applyAlignment="1"/>
    <xf numFmtId="0" fontId="0" fillId="2" borderId="41" xfId="0" applyFont="1" applyFill="1" applyBorder="1" applyAlignment="1">
      <alignment horizontal="center" vertical="center" wrapText="1"/>
    </xf>
    <xf numFmtId="0" fontId="0" fillId="2" borderId="133" xfId="0" applyFont="1" applyFill="1" applyBorder="1" applyAlignment="1">
      <alignment horizontal="center" vertical="center"/>
    </xf>
    <xf numFmtId="0" fontId="28" fillId="12" borderId="109" xfId="0" applyFont="1" applyFill="1" applyBorder="1" applyAlignment="1">
      <alignment horizontal="center" vertical="center"/>
    </xf>
    <xf numFmtId="0" fontId="0" fillId="0" borderId="0" xfId="0" applyFont="1" applyAlignment="1">
      <alignment horizontal="right" vertical="center"/>
    </xf>
    <xf numFmtId="0" fontId="0" fillId="0" borderId="0" xfId="0" applyAlignment="1">
      <alignment horizontal="left" vertical="center"/>
    </xf>
    <xf numFmtId="0" fontId="0" fillId="3" borderId="2" xfId="0" applyFill="1" applyBorder="1"/>
    <xf numFmtId="0" fontId="20" fillId="12" borderId="1" xfId="0" applyFont="1" applyFill="1" applyBorder="1" applyAlignment="1">
      <alignment horizontal="center" vertical="center"/>
    </xf>
    <xf numFmtId="0" fontId="18" fillId="2" borderId="15" xfId="0" applyFont="1" applyFill="1" applyBorder="1" applyAlignment="1" applyProtection="1">
      <alignment horizontal="left"/>
    </xf>
    <xf numFmtId="0" fontId="18" fillId="2" borderId="3" xfId="0" applyFont="1" applyFill="1" applyBorder="1"/>
    <xf numFmtId="14" fontId="18" fillId="2" borderId="12" xfId="0" applyNumberFormat="1" applyFont="1" applyFill="1" applyBorder="1" applyAlignment="1">
      <alignment horizontal="left"/>
    </xf>
    <xf numFmtId="0" fontId="44" fillId="16" borderId="1" xfId="0" applyFont="1" applyFill="1" applyBorder="1" applyAlignment="1">
      <alignment horizontal="center" vertical="center"/>
    </xf>
    <xf numFmtId="0" fontId="15" fillId="9" borderId="41" xfId="0" applyFont="1" applyFill="1" applyBorder="1" applyAlignment="1">
      <alignment horizontal="center" vertical="center"/>
    </xf>
    <xf numFmtId="0" fontId="15" fillId="9" borderId="30" xfId="0" applyFont="1" applyFill="1" applyBorder="1" applyAlignment="1">
      <alignment horizontal="center" vertical="center"/>
    </xf>
    <xf numFmtId="0" fontId="32" fillId="9" borderId="30" xfId="0" applyFont="1" applyFill="1" applyBorder="1" applyAlignment="1">
      <alignment horizontal="center" vertical="center" wrapText="1"/>
    </xf>
    <xf numFmtId="165" fontId="0" fillId="0" borderId="0" xfId="0" applyNumberFormat="1" applyProtection="1"/>
    <xf numFmtId="4" fontId="0" fillId="0" borderId="0" xfId="0" applyNumberFormat="1" applyProtection="1">
      <protection locked="0"/>
    </xf>
    <xf numFmtId="0" fontId="1" fillId="2" borderId="1" xfId="0" applyFont="1" applyFill="1" applyBorder="1" applyAlignment="1">
      <alignment horizontal="center"/>
    </xf>
    <xf numFmtId="0" fontId="2" fillId="0" borderId="2" xfId="0" applyFont="1" applyBorder="1" applyAlignment="1">
      <alignment horizontal="center"/>
    </xf>
    <xf numFmtId="0" fontId="54" fillId="0" borderId="40" xfId="0" applyFont="1" applyBorder="1" applyAlignment="1">
      <alignment horizontal="right" vertical="center" indent="1"/>
    </xf>
    <xf numFmtId="0" fontId="54" fillId="0" borderId="39" xfId="0" applyFont="1" applyBorder="1" applyAlignment="1">
      <alignment horizontal="center" vertical="center"/>
    </xf>
    <xf numFmtId="0" fontId="54" fillId="0" borderId="76" xfId="0" applyFont="1" applyBorder="1" applyAlignment="1">
      <alignment horizontal="center" vertical="center"/>
    </xf>
    <xf numFmtId="0" fontId="0" fillId="3" borderId="0" xfId="0" applyFont="1" applyFill="1" applyBorder="1" applyAlignment="1">
      <alignment horizontal="center"/>
    </xf>
  </cellXfs>
  <cellStyles count="2">
    <cellStyle name="Hypertextový odkaz" xfId="1" builtinId="8"/>
    <cellStyle name="Normální" xfId="0" builtinId="0"/>
  </cellStyles>
  <dxfs count="195">
    <dxf>
      <font>
        <color rgb="FFFFFFFF"/>
      </font>
      <fill>
        <patternFill>
          <bgColor rgb="FFFFFFFF"/>
        </patternFill>
      </fill>
      <border diagonalUp="0" diagonalDown="0">
        <left/>
        <right/>
        <top/>
        <bottom/>
      </border>
    </dxf>
    <dxf>
      <font>
        <color rgb="FFFFFFFF"/>
      </font>
      <fill>
        <patternFill>
          <bgColor rgb="FFFFFFFF"/>
        </patternFill>
      </fill>
      <border diagonalUp="0" diagonalDown="0">
        <left/>
        <right/>
        <top/>
        <bottom/>
      </border>
    </dxf>
    <dxf>
      <fill>
        <patternFill>
          <bgColor rgb="FFFF0000"/>
        </patternFill>
      </fill>
      <border diagonalUp="0" diagonalDown="0">
        <left style="dotted">
          <color auto="1"/>
        </left>
        <right style="dotted">
          <color auto="1"/>
        </right>
        <top style="dotted">
          <color auto="1"/>
        </top>
        <bottom style="dotted">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ill>
        <patternFill>
          <bgColor rgb="FF00FF00"/>
        </patternFill>
      </fill>
      <border diagonalUp="0" diagonalDown="0">
        <left style="thin">
          <color auto="1"/>
        </left>
        <right style="thin">
          <color auto="1"/>
        </right>
        <top style="thin">
          <color auto="1"/>
        </top>
        <bottom style="thin">
          <color auto="1"/>
        </bottom>
      </border>
    </dxf>
    <dxf>
      <font>
        <b val="0"/>
        <i/>
        <color rgb="FFFFFFFF"/>
      </font>
      <fill>
        <patternFill>
          <bgColor rgb="FFFFFFFF"/>
        </patternFill>
      </fill>
      <border diagonalUp="0" diagonalDown="0">
        <left/>
        <right/>
        <top/>
        <bottom/>
      </border>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b/>
        <i val="0"/>
        <color rgb="FFFFFFFF"/>
      </font>
      <fill>
        <patternFill>
          <bgColor rgb="FFCCFFCC"/>
        </patternFill>
      </fill>
    </dxf>
    <dxf>
      <font>
        <b/>
        <i val="0"/>
        <color rgb="FFFFFFFF"/>
      </font>
      <fill>
        <patternFill>
          <bgColor rgb="FF00FFFF"/>
        </patternFill>
      </fill>
      <border diagonalUp="0" diagonalDown="0">
        <left style="thin">
          <color auto="1"/>
        </left>
        <right style="thin">
          <color auto="1"/>
        </right>
        <top style="thin">
          <color auto="1"/>
        </top>
        <bottom style="thin">
          <color auto="1"/>
        </bottom>
      </border>
    </dxf>
    <dxf>
      <font>
        <color rgb="FFC0C0C0"/>
      </font>
    </dxf>
    <dxf>
      <font>
        <color rgb="FFFFFF00"/>
      </font>
    </dxf>
    <dxf>
      <font>
        <color rgb="FFFFFFFF"/>
      </font>
      <fill>
        <patternFill>
          <bgColor rgb="FFFFFF00"/>
        </patternFill>
      </fill>
      <border diagonalUp="0" diagonalDown="0">
        <left style="hair">
          <color auto="1"/>
        </left>
        <right style="hair">
          <color auto="1"/>
        </right>
        <top style="hair">
          <color auto="1"/>
        </top>
        <bottom style="hair">
          <color auto="1"/>
        </bottom>
      </border>
    </dxf>
    <dxf>
      <font>
        <color rgb="FFFFFFFF"/>
      </font>
      <fill>
        <patternFill>
          <bgColor rgb="FFFFFF00"/>
        </patternFill>
      </fill>
      <border diagonalUp="0" diagonalDown="0">
        <left style="hair">
          <color auto="1"/>
        </left>
        <right style="hair">
          <color auto="1"/>
        </right>
        <top style="hair">
          <color auto="1"/>
        </top>
        <bottom style="hair">
          <color auto="1"/>
        </bottom>
      </border>
    </dxf>
    <dxf>
      <font>
        <b/>
        <i val="0"/>
      </font>
      <fill>
        <patternFill>
          <bgColor rgb="FFFF0000"/>
        </patternFill>
      </fill>
      <border diagonalUp="0" diagonalDown="0">
        <left style="dashed">
          <color auto="1"/>
        </left>
        <right style="dashed">
          <color auto="1"/>
        </right>
        <top style="dashed">
          <color auto="1"/>
        </top>
        <bottom style="dashed">
          <color auto="1"/>
        </bottom>
      </border>
    </dxf>
    <dxf>
      <font>
        <color rgb="FFFFFFFF"/>
      </font>
      <fill>
        <patternFill>
          <bgColor rgb="FFFFFF00"/>
        </patternFill>
      </fill>
      <border diagonalUp="0" diagonalDown="0">
        <left style="hair">
          <color auto="1"/>
        </left>
        <right style="hair">
          <color auto="1"/>
        </right>
        <top style="hair">
          <color auto="1"/>
        </top>
        <bottom style="hair">
          <color auto="1"/>
        </bottom>
      </border>
    </dxf>
    <dxf>
      <font>
        <b/>
        <i val="0"/>
      </font>
      <fill>
        <patternFill>
          <bgColor rgb="FFFF0000"/>
        </patternFill>
      </fill>
      <border diagonalUp="0" diagonalDown="0">
        <left style="dashed">
          <color auto="1"/>
        </left>
        <right style="dashed">
          <color auto="1"/>
        </right>
        <top style="dashed">
          <color auto="1"/>
        </top>
        <bottom style="dashed">
          <color auto="1"/>
        </bottom>
      </border>
    </dxf>
    <dxf>
      <font>
        <color rgb="FFFFFFFF"/>
      </font>
      <fill>
        <patternFill>
          <bgColor rgb="FFFFFF00"/>
        </patternFill>
      </fill>
      <border diagonalUp="0" diagonalDown="0">
        <left style="hair">
          <color auto="1"/>
        </left>
        <right style="hair">
          <color auto="1"/>
        </right>
        <top style="hair">
          <color auto="1"/>
        </top>
        <bottom style="hair">
          <color auto="1"/>
        </bottom>
      </border>
    </dxf>
    <dxf>
      <font>
        <b/>
        <i val="0"/>
      </font>
      <fill>
        <patternFill>
          <bgColor rgb="FFFF0000"/>
        </patternFill>
      </fill>
      <border diagonalUp="0" diagonalDown="0">
        <left style="dashed">
          <color auto="1"/>
        </left>
        <right style="dashed">
          <color auto="1"/>
        </right>
        <top style="dashed">
          <color auto="1"/>
        </top>
        <bottom style="dashed">
          <color auto="1"/>
        </bottom>
      </border>
    </dxf>
    <dxf>
      <font>
        <color rgb="FFFFFFFF"/>
      </font>
      <fill>
        <patternFill>
          <bgColor rgb="FFFFFF00"/>
        </patternFill>
      </fill>
      <border diagonalUp="0" diagonalDown="0">
        <left style="hair">
          <color auto="1"/>
        </left>
        <right style="hair">
          <color auto="1"/>
        </right>
        <top style="hair">
          <color auto="1"/>
        </top>
        <bottom style="hair">
          <color auto="1"/>
        </bottom>
      </border>
    </dxf>
    <dxf>
      <font>
        <b/>
        <i val="0"/>
      </font>
      <fill>
        <patternFill>
          <bgColor rgb="FFFF0000"/>
        </patternFill>
      </fill>
      <border diagonalUp="0" diagonalDown="0">
        <left style="dashed">
          <color auto="1"/>
        </left>
        <right style="dashed">
          <color auto="1"/>
        </right>
        <top style="dashed">
          <color auto="1"/>
        </top>
        <bottom style="dashed">
          <color auto="1"/>
        </bottom>
      </border>
    </dxf>
    <dxf>
      <font>
        <color rgb="FFFF0000"/>
      </font>
      <fill>
        <patternFill>
          <bgColor rgb="FFFF0000"/>
        </patternFill>
      </fill>
      <border diagonalUp="0" diagonalDown="0">
        <left style="thin">
          <color auto="1"/>
        </left>
        <right style="thin">
          <color auto="1"/>
        </right>
        <top style="thin">
          <color auto="1"/>
        </top>
        <bottom style="thin">
          <color auto="1"/>
        </bottom>
      </border>
    </dxf>
    <dxf>
      <font>
        <color rgb="FFFF0000"/>
      </font>
      <fill>
        <patternFill>
          <bgColor rgb="FFFF0000"/>
        </patternFill>
      </fill>
      <border diagonalUp="0" diagonalDown="0">
        <left style="thin">
          <color auto="1"/>
        </left>
        <right style="thin">
          <color auto="1"/>
        </right>
        <top style="thin">
          <color auto="1"/>
        </top>
        <bottom style="thin">
          <color auto="1"/>
        </bottom>
      </border>
    </dxf>
    <dxf>
      <font>
        <color rgb="FFFFFFFF"/>
      </font>
    </dxf>
    <dxf>
      <font>
        <b/>
        <i val="0"/>
      </font>
      <fill>
        <patternFill>
          <bgColor rgb="FF00FFFF"/>
        </patternFill>
      </fill>
      <border diagonalUp="0" diagonalDown="0">
        <left style="hair">
          <color auto="1"/>
        </left>
        <right style="hair">
          <color auto="1"/>
        </right>
        <top style="hair">
          <color auto="1"/>
        </top>
        <bottom style="hair">
          <color auto="1"/>
        </bottom>
      </border>
    </dxf>
    <dxf>
      <font>
        <b/>
        <i val="0"/>
      </font>
      <fill>
        <patternFill>
          <bgColor rgb="FFFFFF00"/>
        </patternFill>
      </fill>
      <border diagonalUp="0" diagonalDown="0">
        <left style="hair">
          <color auto="1"/>
        </left>
        <right style="hair">
          <color auto="1"/>
        </right>
        <top style="hair">
          <color auto="1"/>
        </top>
        <bottom style="hair">
          <color auto="1"/>
        </bottom>
      </border>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2084" TargetMode="External"/><Relationship Id="rId13" Type="http://schemas.openxmlformats.org/officeDocument/2006/relationships/hyperlink" Target="http://czechpetanque.cz/odhlasit.html?pr=42075" TargetMode="External"/><Relationship Id="rId3" Type="http://schemas.openxmlformats.org/officeDocument/2006/relationships/hyperlink" Target="http://czechpetanque.cz/odhlasit.html?pr=42089" TargetMode="External"/><Relationship Id="rId7" Type="http://schemas.openxmlformats.org/officeDocument/2006/relationships/hyperlink" Target="http://czechpetanque.cz/odhlasit.html?pr=42116" TargetMode="External"/><Relationship Id="rId12" Type="http://schemas.openxmlformats.org/officeDocument/2006/relationships/hyperlink" Target="http://czechpetanque.cz/odhlasit.html?pr=42216" TargetMode="External"/><Relationship Id="rId17" Type="http://schemas.openxmlformats.org/officeDocument/2006/relationships/hyperlink" Target="http://czechpetanque.cz/odhlasit.html?pr=42218" TargetMode="External"/><Relationship Id="rId2" Type="http://schemas.openxmlformats.org/officeDocument/2006/relationships/hyperlink" Target="http://czechpetanque.cz/odhlasit.html?pr=42079" TargetMode="External"/><Relationship Id="rId16" Type="http://schemas.openxmlformats.org/officeDocument/2006/relationships/hyperlink" Target="http://czechpetanque.cz/odhlasit.html?pr=42086" TargetMode="External"/><Relationship Id="rId1" Type="http://schemas.openxmlformats.org/officeDocument/2006/relationships/hyperlink" Target="http://czechpetanque.cz/klub.html?id=88" TargetMode="External"/><Relationship Id="rId6" Type="http://schemas.openxmlformats.org/officeDocument/2006/relationships/hyperlink" Target="http://czechpetanque.cz/odhlasit.html?pr=42088" TargetMode="External"/><Relationship Id="rId11" Type="http://schemas.openxmlformats.org/officeDocument/2006/relationships/hyperlink" Target="http://czechpetanque.cz/odhlasit.html?pr=42106" TargetMode="External"/><Relationship Id="rId5" Type="http://schemas.openxmlformats.org/officeDocument/2006/relationships/hyperlink" Target="http://czechpetanque.cz/odhlasit.html?pr=42093" TargetMode="External"/><Relationship Id="rId15" Type="http://schemas.openxmlformats.org/officeDocument/2006/relationships/hyperlink" Target="http://czechpetanque.cz/odhlasit.html?pr=42085" TargetMode="External"/><Relationship Id="rId10" Type="http://schemas.openxmlformats.org/officeDocument/2006/relationships/hyperlink" Target="http://czechpetanque.cz/odhlasit.html?pr=42087" TargetMode="External"/><Relationship Id="rId4" Type="http://schemas.openxmlformats.org/officeDocument/2006/relationships/hyperlink" Target="http://czechpetanque.cz/odhlasit.html?pr=42076" TargetMode="External"/><Relationship Id="rId9" Type="http://schemas.openxmlformats.org/officeDocument/2006/relationships/hyperlink" Target="http://czechpetanque.cz/odhlasit.html?pr=42217" TargetMode="External"/><Relationship Id="rId14" Type="http://schemas.openxmlformats.org/officeDocument/2006/relationships/hyperlink" Target="http://czechpetanque.cz/odhlasit.html?pr=42108" TargetMode="External"/></Relationships>
</file>

<file path=xl/worksheets/_rels/sheet5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08"/>
  <sheetViews>
    <sheetView zoomScaleNormal="100" workbookViewId="0">
      <pane xSplit="1" ySplit="2" topLeftCell="B21" activePane="bottomRight" state="frozen"/>
      <selection pane="topRight" activeCell="B1" sqref="B1"/>
      <selection pane="bottomLeft" activeCell="A21" sqref="A21"/>
      <selection pane="bottomRight" activeCell="B32" sqref="B32"/>
    </sheetView>
  </sheetViews>
  <sheetFormatPr defaultColWidth="11.42578125" defaultRowHeight="12.75"/>
  <cols>
    <col min="1" max="1" width="5.140625" customWidth="1"/>
    <col min="11" max="11" width="13.5703125" customWidth="1"/>
  </cols>
  <sheetData>
    <row r="1" spans="2:8" ht="16.5">
      <c r="B1" s="544" t="s">
        <v>0</v>
      </c>
      <c r="C1" s="544"/>
      <c r="D1" s="544"/>
      <c r="E1" s="544"/>
      <c r="F1" s="544"/>
      <c r="G1" s="544"/>
      <c r="H1" s="544"/>
    </row>
    <row r="2" spans="2:8" ht="24">
      <c r="B2" s="545" t="s">
        <v>1</v>
      </c>
      <c r="C2" s="545"/>
      <c r="D2" s="545"/>
      <c r="E2" s="545"/>
      <c r="F2" s="545"/>
      <c r="G2" s="545"/>
      <c r="H2" s="545"/>
    </row>
    <row r="3" spans="2:8" ht="14.25">
      <c r="B3" s="1" t="s">
        <v>2</v>
      </c>
      <c r="C3" s="2"/>
      <c r="D3" s="2"/>
      <c r="E3" s="2"/>
      <c r="F3" s="2"/>
      <c r="G3" s="2"/>
      <c r="H3" s="2"/>
    </row>
    <row r="4" spans="2:8" ht="21">
      <c r="B4" s="3" t="s">
        <v>3</v>
      </c>
      <c r="C4" s="4"/>
      <c r="D4" s="4"/>
      <c r="E4" s="4"/>
      <c r="F4" s="4"/>
      <c r="G4" s="4"/>
      <c r="H4" s="4"/>
    </row>
    <row r="5" spans="2:8" ht="14.25">
      <c r="B5" s="3" t="s">
        <v>4</v>
      </c>
      <c r="C5" s="4"/>
      <c r="D5" s="4"/>
      <c r="E5" s="4"/>
      <c r="F5" s="4"/>
      <c r="G5" s="4"/>
      <c r="H5" s="4"/>
    </row>
    <row r="6" spans="2:8" ht="14.25">
      <c r="B6" s="3" t="s">
        <v>5</v>
      </c>
      <c r="C6" s="4"/>
      <c r="D6" s="4"/>
      <c r="E6" s="4"/>
      <c r="F6" s="4"/>
      <c r="G6" s="4"/>
      <c r="H6" s="4"/>
    </row>
    <row r="7" spans="2:8" ht="14.25">
      <c r="B7" s="3" t="s">
        <v>6</v>
      </c>
      <c r="C7" s="2"/>
      <c r="D7" s="2"/>
      <c r="E7" s="2"/>
      <c r="F7" s="2"/>
      <c r="G7" s="2"/>
      <c r="H7" s="2"/>
    </row>
    <row r="8" spans="2:8">
      <c r="B8" s="2" t="s">
        <v>7</v>
      </c>
      <c r="C8" s="2"/>
      <c r="D8" s="2"/>
      <c r="E8" s="2"/>
      <c r="F8" s="2"/>
      <c r="G8" s="2"/>
      <c r="H8" s="2"/>
    </row>
    <row r="9" spans="2:8">
      <c r="B9" s="2" t="s">
        <v>8</v>
      </c>
      <c r="C9" s="2"/>
      <c r="D9" s="2"/>
      <c r="E9" s="2"/>
      <c r="F9" s="2"/>
      <c r="G9" s="2"/>
      <c r="H9" s="2"/>
    </row>
    <row r="10" spans="2:8">
      <c r="B10" s="2" t="s">
        <v>9</v>
      </c>
      <c r="C10" s="2"/>
      <c r="D10" s="2"/>
      <c r="E10" s="2"/>
      <c r="F10" s="2"/>
      <c r="G10" s="2"/>
      <c r="H10" s="2"/>
    </row>
    <row r="11" spans="2:8">
      <c r="B11" s="2" t="s">
        <v>10</v>
      </c>
      <c r="C11" s="2"/>
      <c r="D11" s="2"/>
      <c r="E11" s="2"/>
      <c r="F11" s="2"/>
      <c r="G11" s="2"/>
      <c r="H11" s="2"/>
    </row>
    <row r="12" spans="2:8">
      <c r="B12" s="2" t="s">
        <v>11</v>
      </c>
      <c r="C12" s="2"/>
      <c r="D12" s="2"/>
      <c r="E12" s="2"/>
      <c r="F12" s="2"/>
      <c r="G12" s="2"/>
      <c r="H12" s="2"/>
    </row>
    <row r="13" spans="2:8">
      <c r="B13" s="2" t="s">
        <v>12</v>
      </c>
      <c r="C13" s="2"/>
      <c r="D13" s="2"/>
      <c r="E13" s="2"/>
      <c r="F13" s="2"/>
      <c r="G13" s="2"/>
      <c r="H13" s="2"/>
    </row>
    <row r="14" spans="2:8">
      <c r="B14" s="2" t="s">
        <v>13</v>
      </c>
      <c r="C14" s="2"/>
      <c r="D14" s="2"/>
      <c r="E14" s="2"/>
      <c r="F14" s="2"/>
      <c r="G14" s="2"/>
      <c r="H14" s="2"/>
    </row>
    <row r="15" spans="2:8">
      <c r="B15" s="2" t="s">
        <v>14</v>
      </c>
      <c r="C15" s="2"/>
      <c r="D15" s="2"/>
      <c r="E15" s="2"/>
      <c r="F15" s="2"/>
      <c r="G15" s="2"/>
      <c r="H15" s="2"/>
    </row>
    <row r="16" spans="2:8">
      <c r="B16" s="2" t="s">
        <v>15</v>
      </c>
      <c r="C16" s="2"/>
      <c r="D16" s="2"/>
      <c r="E16" s="2"/>
      <c r="F16" s="2"/>
      <c r="G16" s="2"/>
      <c r="H16" s="2"/>
    </row>
    <row r="17" spans="1:10">
      <c r="A17" s="5" t="s">
        <v>16</v>
      </c>
      <c r="B17" s="2" t="s">
        <v>17</v>
      </c>
      <c r="C17" s="2"/>
      <c r="D17" s="2"/>
      <c r="E17" s="2"/>
      <c r="F17" s="2"/>
      <c r="G17" s="2"/>
      <c r="H17" s="2"/>
    </row>
    <row r="18" spans="1:10">
      <c r="A18" s="5" t="s">
        <v>16</v>
      </c>
      <c r="B18" s="2" t="s">
        <v>18</v>
      </c>
      <c r="C18" s="2"/>
      <c r="D18" s="2"/>
      <c r="E18" s="2"/>
      <c r="F18" s="2"/>
      <c r="G18" s="2"/>
      <c r="H18" s="2"/>
    </row>
    <row r="19" spans="1:10">
      <c r="A19" s="5"/>
      <c r="B19" s="2" t="s">
        <v>19</v>
      </c>
      <c r="C19" s="2"/>
      <c r="D19" s="2"/>
      <c r="E19" s="2"/>
      <c r="F19" s="2"/>
      <c r="G19" s="2"/>
      <c r="H19" s="2"/>
    </row>
    <row r="21" spans="1:10">
      <c r="B21" t="s">
        <v>20</v>
      </c>
    </row>
    <row r="22" spans="1:10" ht="14.25">
      <c r="B22" s="6" t="s">
        <v>21</v>
      </c>
      <c r="C22" s="7" t="s">
        <v>22</v>
      </c>
    </row>
    <row r="23" spans="1:10" ht="14.25">
      <c r="B23" s="1" t="s">
        <v>23</v>
      </c>
      <c r="C23" s="2"/>
      <c r="D23" s="8"/>
      <c r="E23" s="2"/>
      <c r="F23" s="2"/>
      <c r="G23" s="2"/>
      <c r="H23" s="2"/>
      <c r="I23" s="2"/>
      <c r="J23" s="2"/>
    </row>
    <row r="25" spans="1:10" ht="14.25">
      <c r="A25" s="9" t="s">
        <v>24</v>
      </c>
      <c r="B25" s="10"/>
      <c r="C25" s="10"/>
      <c r="D25" s="10"/>
      <c r="E25" s="10"/>
      <c r="F25" s="10"/>
      <c r="G25" s="10"/>
      <c r="H25" s="10"/>
    </row>
    <row r="26" spans="1:10" ht="14.25">
      <c r="A26" t="s">
        <v>25</v>
      </c>
      <c r="B26" t="s">
        <v>26</v>
      </c>
    </row>
    <row r="27" spans="1:10">
      <c r="A27" t="s">
        <v>27</v>
      </c>
      <c r="B27" t="s">
        <v>28</v>
      </c>
    </row>
    <row r="28" spans="1:10">
      <c r="A28" t="s">
        <v>29</v>
      </c>
      <c r="B28" t="s">
        <v>30</v>
      </c>
    </row>
    <row r="29" spans="1:10">
      <c r="B29" t="s">
        <v>31</v>
      </c>
    </row>
    <row r="30" spans="1:10" ht="14.25">
      <c r="A30" s="11" t="s">
        <v>32</v>
      </c>
    </row>
    <row r="31" spans="1:10" ht="14.25">
      <c r="A31" s="11"/>
      <c r="B31" t="s">
        <v>33</v>
      </c>
    </row>
    <row r="32" spans="1:10">
      <c r="B32" t="s">
        <v>34</v>
      </c>
    </row>
    <row r="33" spans="1:12" ht="14.25">
      <c r="B33" s="12" t="s">
        <v>35</v>
      </c>
    </row>
    <row r="35" spans="1:12" ht="14.25">
      <c r="A35" s="9" t="s">
        <v>36</v>
      </c>
      <c r="B35" s="10"/>
      <c r="C35" s="10"/>
      <c r="D35" s="10"/>
      <c r="E35" s="10"/>
      <c r="F35" s="10"/>
      <c r="G35" s="10"/>
      <c r="H35" s="10"/>
    </row>
    <row r="37" spans="1:12" ht="14.25">
      <c r="A37" t="s">
        <v>37</v>
      </c>
    </row>
    <row r="38" spans="1:12">
      <c r="A38" s="5" t="s">
        <v>38</v>
      </c>
      <c r="B38" s="13" t="s">
        <v>39</v>
      </c>
      <c r="C38" s="13"/>
      <c r="D38" s="13"/>
      <c r="E38" s="13"/>
      <c r="F38" s="13"/>
      <c r="G38" s="13"/>
      <c r="H38" s="13"/>
      <c r="I38" s="13"/>
      <c r="J38" s="13"/>
      <c r="K38" s="13"/>
      <c r="L38" s="13"/>
    </row>
    <row r="39" spans="1:12" ht="14.25">
      <c r="A39" s="5"/>
      <c r="B39" s="13" t="s">
        <v>40</v>
      </c>
      <c r="C39" s="13"/>
      <c r="D39" s="13"/>
      <c r="E39" s="13"/>
      <c r="F39" s="13"/>
      <c r="G39" s="13"/>
      <c r="H39" s="13"/>
      <c r="I39" s="13"/>
      <c r="J39" s="13"/>
      <c r="K39" s="13"/>
      <c r="L39" s="13"/>
    </row>
    <row r="40" spans="1:12" ht="14.25">
      <c r="A40" s="5"/>
      <c r="B40" s="13" t="s">
        <v>41</v>
      </c>
      <c r="C40" s="13"/>
      <c r="D40" s="13"/>
      <c r="E40" s="13"/>
      <c r="F40" s="13"/>
      <c r="G40" s="13"/>
      <c r="H40" s="13"/>
      <c r="I40" s="13"/>
      <c r="J40" s="13"/>
      <c r="K40" s="13"/>
      <c r="L40" s="13"/>
    </row>
    <row r="41" spans="1:12" ht="14.25">
      <c r="A41" s="5"/>
      <c r="B41" s="13" t="s">
        <v>42</v>
      </c>
      <c r="C41" s="13"/>
      <c r="D41" s="13"/>
      <c r="E41" s="13"/>
      <c r="F41" s="13"/>
      <c r="G41" s="13"/>
      <c r="H41" s="13"/>
      <c r="I41" s="13"/>
      <c r="J41" s="13"/>
      <c r="K41" s="13"/>
      <c r="L41" s="13"/>
    </row>
    <row r="42" spans="1:12" ht="14.25">
      <c r="A42" s="5"/>
      <c r="B42" s="13" t="s">
        <v>43</v>
      </c>
      <c r="C42" s="13"/>
      <c r="D42" s="13"/>
      <c r="E42" s="13"/>
      <c r="F42" s="13"/>
      <c r="G42" s="13"/>
      <c r="H42" s="13"/>
      <c r="I42" s="13"/>
      <c r="J42" s="13"/>
      <c r="K42" s="13"/>
      <c r="L42" s="13"/>
    </row>
    <row r="43" spans="1:12">
      <c r="A43" s="5"/>
      <c r="B43" s="13" t="s">
        <v>44</v>
      </c>
      <c r="C43" s="13"/>
      <c r="D43" s="13"/>
      <c r="E43" s="13"/>
      <c r="F43" s="13"/>
      <c r="G43" s="13"/>
      <c r="H43" s="13"/>
      <c r="I43" s="13"/>
      <c r="J43" s="13"/>
      <c r="K43" s="13"/>
      <c r="L43" s="13"/>
    </row>
    <row r="44" spans="1:12" ht="14.25">
      <c r="A44" s="5"/>
      <c r="B44" s="14" t="s">
        <v>45</v>
      </c>
      <c r="C44" s="13"/>
      <c r="D44" s="13"/>
      <c r="E44" s="13"/>
      <c r="F44" s="13"/>
      <c r="G44" s="13"/>
      <c r="H44" s="13"/>
      <c r="I44" s="13"/>
      <c r="J44" s="13"/>
      <c r="K44" s="13"/>
      <c r="L44" s="13"/>
    </row>
    <row r="45" spans="1:12" ht="14.25">
      <c r="A45" s="5"/>
      <c r="B45" s="15" t="s">
        <v>46</v>
      </c>
      <c r="C45" s="13"/>
      <c r="D45" s="13"/>
      <c r="E45" s="13"/>
      <c r="F45" s="13"/>
      <c r="G45" s="13"/>
      <c r="H45" s="13"/>
      <c r="I45" s="13"/>
      <c r="J45" s="13"/>
      <c r="K45" s="13"/>
      <c r="L45" s="13"/>
    </row>
    <row r="47" spans="1:12" ht="14.25">
      <c r="A47" t="s">
        <v>47</v>
      </c>
    </row>
    <row r="48" spans="1:12">
      <c r="A48" s="5" t="s">
        <v>38</v>
      </c>
      <c r="B48" t="s">
        <v>48</v>
      </c>
    </row>
    <row r="49" spans="1:12">
      <c r="A49" s="5"/>
      <c r="B49" t="s">
        <v>49</v>
      </c>
    </row>
    <row r="50" spans="1:12">
      <c r="A50" s="5" t="s">
        <v>38</v>
      </c>
      <c r="B50" t="s">
        <v>50</v>
      </c>
    </row>
    <row r="51" spans="1:12">
      <c r="B51" t="s">
        <v>51</v>
      </c>
    </row>
    <row r="52" spans="1:12">
      <c r="A52" s="5" t="s">
        <v>38</v>
      </c>
      <c r="B52" t="s">
        <v>52</v>
      </c>
    </row>
    <row r="53" spans="1:12">
      <c r="A53" s="5" t="s">
        <v>38</v>
      </c>
      <c r="B53" t="s">
        <v>53</v>
      </c>
    </row>
    <row r="54" spans="1:12">
      <c r="B54" t="s">
        <v>54</v>
      </c>
    </row>
    <row r="55" spans="1:12">
      <c r="A55" s="5" t="s">
        <v>38</v>
      </c>
      <c r="B55" s="2" t="s">
        <v>55</v>
      </c>
      <c r="C55" s="2"/>
      <c r="D55" s="2"/>
      <c r="E55" s="2"/>
      <c r="F55" s="2"/>
      <c r="G55" s="2"/>
      <c r="H55" s="2"/>
      <c r="I55" s="2"/>
      <c r="J55" s="2"/>
      <c r="K55" s="2"/>
      <c r="L55" s="2"/>
    </row>
    <row r="56" spans="1:12">
      <c r="A56" s="5" t="s">
        <v>38</v>
      </c>
      <c r="B56" t="s">
        <v>56</v>
      </c>
    </row>
    <row r="57" spans="1:12">
      <c r="A57" s="5" t="s">
        <v>38</v>
      </c>
      <c r="B57" t="s">
        <v>57</v>
      </c>
    </row>
    <row r="58" spans="1:12">
      <c r="A58" s="5" t="s">
        <v>38</v>
      </c>
      <c r="B58" t="s">
        <v>58</v>
      </c>
    </row>
    <row r="59" spans="1:12">
      <c r="A59" s="5" t="s">
        <v>38</v>
      </c>
      <c r="B59" s="2" t="s">
        <v>59</v>
      </c>
      <c r="C59" s="2"/>
      <c r="D59" s="2"/>
      <c r="E59" s="2"/>
      <c r="F59" s="2"/>
      <c r="G59" s="2"/>
      <c r="H59" s="2"/>
      <c r="I59" s="2"/>
      <c r="J59" s="2"/>
      <c r="K59" s="2"/>
      <c r="L59" s="2"/>
    </row>
    <row r="60" spans="1:12">
      <c r="A60" s="5" t="s">
        <v>38</v>
      </c>
      <c r="B60" t="s">
        <v>60</v>
      </c>
    </row>
    <row r="61" spans="1:12">
      <c r="A61" s="5" t="s">
        <v>38</v>
      </c>
      <c r="B61" s="2" t="s">
        <v>61</v>
      </c>
      <c r="C61" s="2"/>
      <c r="D61" s="2"/>
      <c r="E61" s="2"/>
      <c r="F61" s="2"/>
      <c r="G61" s="2"/>
      <c r="H61" s="2"/>
      <c r="I61" s="2"/>
      <c r="J61" s="2"/>
      <c r="K61" s="2"/>
      <c r="L61" s="2"/>
    </row>
    <row r="62" spans="1:12">
      <c r="A62" s="5"/>
    </row>
    <row r="63" spans="1:12" ht="14.25">
      <c r="A63" t="s">
        <v>62</v>
      </c>
      <c r="B63" s="13"/>
      <c r="C63" s="13"/>
      <c r="D63" s="13"/>
      <c r="E63" s="13"/>
      <c r="F63" s="13"/>
      <c r="G63" s="13"/>
      <c r="H63" s="13"/>
      <c r="I63" s="13"/>
      <c r="J63" s="13"/>
      <c r="K63" s="13"/>
      <c r="L63" s="13"/>
    </row>
    <row r="64" spans="1:12">
      <c r="A64" s="5" t="s">
        <v>38</v>
      </c>
      <c r="B64" t="s">
        <v>63</v>
      </c>
    </row>
    <row r="65" spans="1:12" ht="14.25">
      <c r="A65" s="5" t="s">
        <v>38</v>
      </c>
      <c r="B65" s="2" t="s">
        <v>64</v>
      </c>
      <c r="C65" s="2"/>
      <c r="D65" s="2"/>
      <c r="E65" s="2"/>
      <c r="F65" s="2"/>
      <c r="G65" s="2"/>
      <c r="H65" s="2"/>
      <c r="I65" s="2"/>
      <c r="J65" s="2"/>
      <c r="K65" s="2"/>
      <c r="L65" s="2"/>
    </row>
    <row r="66" spans="1:12">
      <c r="A66" s="5"/>
      <c r="B66" s="2" t="s">
        <v>65</v>
      </c>
      <c r="C66" s="2"/>
      <c r="D66" s="2"/>
      <c r="E66" s="2"/>
      <c r="F66" s="2"/>
      <c r="G66" s="2"/>
      <c r="H66" s="2"/>
      <c r="I66" s="2"/>
      <c r="J66" s="2"/>
      <c r="K66" s="2"/>
      <c r="L66" s="2"/>
    </row>
    <row r="67" spans="1:12" ht="14.25">
      <c r="A67" s="5" t="s">
        <v>38</v>
      </c>
      <c r="B67" t="s">
        <v>66</v>
      </c>
    </row>
    <row r="68" spans="1:12">
      <c r="A68" s="5"/>
      <c r="B68" t="s">
        <v>67</v>
      </c>
    </row>
    <row r="69" spans="1:12" ht="14.25">
      <c r="A69" s="5" t="s">
        <v>38</v>
      </c>
      <c r="B69" t="s">
        <v>68</v>
      </c>
    </row>
    <row r="70" spans="1:12">
      <c r="A70" s="5" t="s">
        <v>38</v>
      </c>
      <c r="B70" t="s">
        <v>69</v>
      </c>
    </row>
    <row r="71" spans="1:12">
      <c r="A71" t="s">
        <v>70</v>
      </c>
    </row>
    <row r="72" spans="1:12">
      <c r="A72" s="5" t="s">
        <v>38</v>
      </c>
      <c r="B72" t="s">
        <v>71</v>
      </c>
    </row>
    <row r="73" spans="1:12">
      <c r="A73" s="5" t="s">
        <v>38</v>
      </c>
      <c r="B73" t="s">
        <v>72</v>
      </c>
    </row>
    <row r="74" spans="1:12">
      <c r="A74" s="5" t="s">
        <v>38</v>
      </c>
      <c r="B74" t="s">
        <v>73</v>
      </c>
    </row>
    <row r="75" spans="1:12" ht="13.15" customHeight="1">
      <c r="A75" s="5" t="s">
        <v>38</v>
      </c>
      <c r="B75" s="16" t="s">
        <v>74</v>
      </c>
    </row>
    <row r="76" spans="1:12" ht="13.15" customHeight="1">
      <c r="A76" s="5"/>
      <c r="B76" s="16" t="s">
        <v>75</v>
      </c>
    </row>
    <row r="77" spans="1:12" ht="13.15" customHeight="1">
      <c r="A77" s="5" t="s">
        <v>38</v>
      </c>
      <c r="B77" t="s">
        <v>76</v>
      </c>
    </row>
    <row r="78" spans="1:12" ht="13.15" customHeight="1">
      <c r="A78" s="5"/>
      <c r="B78" t="s">
        <v>77</v>
      </c>
    </row>
    <row r="79" spans="1:12" ht="13.15" customHeight="1">
      <c r="A79" t="s">
        <v>78</v>
      </c>
      <c r="B79" s="16"/>
    </row>
    <row r="80" spans="1:12" ht="13.15" customHeight="1">
      <c r="A80" s="5" t="s">
        <v>38</v>
      </c>
      <c r="B80" t="s">
        <v>79</v>
      </c>
    </row>
    <row r="81" spans="1:12" ht="13.15" customHeight="1">
      <c r="A81" s="5" t="s">
        <v>38</v>
      </c>
      <c r="B81" s="16" t="s">
        <v>80</v>
      </c>
    </row>
    <row r="82" spans="1:12" ht="13.15" customHeight="1">
      <c r="A82" t="s">
        <v>81</v>
      </c>
    </row>
    <row r="83" spans="1:12" ht="13.15" customHeight="1">
      <c r="A83" t="s">
        <v>82</v>
      </c>
    </row>
    <row r="84" spans="1:12" ht="14.25">
      <c r="A84" t="s">
        <v>83</v>
      </c>
      <c r="G84" s="17"/>
    </row>
    <row r="85" spans="1:12" ht="13.15" customHeight="1">
      <c r="A85" s="5" t="s">
        <v>38</v>
      </c>
      <c r="B85" s="18" t="s">
        <v>84</v>
      </c>
      <c r="C85" s="2"/>
      <c r="D85" s="2"/>
      <c r="E85" s="2"/>
      <c r="F85" s="2"/>
      <c r="G85" s="2"/>
      <c r="H85" s="19"/>
      <c r="I85" s="19"/>
      <c r="J85" s="19"/>
      <c r="K85" s="2"/>
      <c r="L85" s="2"/>
    </row>
    <row r="86" spans="1:12" ht="13.15" customHeight="1">
      <c r="A86" s="5"/>
      <c r="B86" s="20" t="s">
        <v>85</v>
      </c>
      <c r="C86" s="2"/>
      <c r="D86" s="2"/>
      <c r="E86" s="2"/>
      <c r="F86" s="2"/>
      <c r="G86" s="2"/>
      <c r="H86" s="19"/>
      <c r="I86" s="19"/>
      <c r="J86" s="19"/>
      <c r="K86" s="2"/>
      <c r="L86" s="2"/>
    </row>
    <row r="87" spans="1:12" ht="13.15" customHeight="1">
      <c r="A87" s="5"/>
      <c r="B87" s="18" t="s">
        <v>86</v>
      </c>
      <c r="C87" s="2"/>
      <c r="D87" s="2"/>
      <c r="E87" s="2"/>
      <c r="F87" s="2"/>
      <c r="G87" s="2"/>
      <c r="H87" s="19"/>
      <c r="I87" s="19"/>
      <c r="J87" s="19"/>
      <c r="K87" s="2"/>
      <c r="L87" s="2"/>
    </row>
    <row r="88" spans="1:12" ht="13.15" customHeight="1">
      <c r="A88" s="5"/>
      <c r="B88" s="18" t="s">
        <v>87</v>
      </c>
      <c r="C88" s="2"/>
      <c r="D88" s="2"/>
      <c r="E88" s="2"/>
      <c r="F88" s="2"/>
      <c r="G88" s="2"/>
      <c r="H88" s="19"/>
      <c r="I88" s="19"/>
      <c r="J88" s="19"/>
      <c r="K88" s="2"/>
      <c r="L88" s="2"/>
    </row>
    <row r="89" spans="1:12">
      <c r="A89" s="21" t="s">
        <v>88</v>
      </c>
    </row>
    <row r="91" spans="1:12" ht="14.25">
      <c r="A91" s="12" t="s">
        <v>89</v>
      </c>
      <c r="B91" s="12"/>
    </row>
    <row r="93" spans="1:12" ht="14.25">
      <c r="A93" s="22" t="s">
        <v>90</v>
      </c>
    </row>
    <row r="94" spans="1:12">
      <c r="A94" s="5" t="s">
        <v>38</v>
      </c>
      <c r="B94" t="s">
        <v>91</v>
      </c>
    </row>
    <row r="95" spans="1:12">
      <c r="A95" s="5" t="s">
        <v>38</v>
      </c>
      <c r="B95" t="s">
        <v>92</v>
      </c>
      <c r="J95" s="23" t="s">
        <v>93</v>
      </c>
    </row>
    <row r="96" spans="1:12">
      <c r="A96" s="5" t="s">
        <v>38</v>
      </c>
      <c r="B96" t="s">
        <v>94</v>
      </c>
    </row>
    <row r="97" spans="1:2">
      <c r="A97" s="5" t="s">
        <v>38</v>
      </c>
      <c r="B97" t="s">
        <v>95</v>
      </c>
    </row>
    <row r="98" spans="1:2">
      <c r="A98" s="5" t="s">
        <v>38</v>
      </c>
      <c r="B98" t="s">
        <v>96</v>
      </c>
    </row>
    <row r="99" spans="1:2">
      <c r="A99" s="5" t="s">
        <v>38</v>
      </c>
      <c r="B99" t="s">
        <v>97</v>
      </c>
    </row>
    <row r="100" spans="1:2">
      <c r="A100" s="5" t="s">
        <v>38</v>
      </c>
      <c r="B100" t="s">
        <v>98</v>
      </c>
    </row>
    <row r="101" spans="1:2">
      <c r="A101" s="5" t="s">
        <v>38</v>
      </c>
      <c r="B101" t="s">
        <v>99</v>
      </c>
    </row>
    <row r="102" spans="1:2" ht="13.15" customHeight="1">
      <c r="A102" s="5" t="s">
        <v>38</v>
      </c>
      <c r="B102" t="s">
        <v>100</v>
      </c>
    </row>
    <row r="103" spans="1:2">
      <c r="A103" s="5" t="s">
        <v>38</v>
      </c>
      <c r="B103" t="s">
        <v>101</v>
      </c>
    </row>
    <row r="104" spans="1:2">
      <c r="A104" s="5" t="s">
        <v>38</v>
      </c>
      <c r="B104" t="s">
        <v>102</v>
      </c>
    </row>
    <row r="105" spans="1:2">
      <c r="A105" s="5" t="s">
        <v>38</v>
      </c>
      <c r="B105" t="s">
        <v>103</v>
      </c>
    </row>
    <row r="106" spans="1:2">
      <c r="A106" s="5" t="s">
        <v>38</v>
      </c>
      <c r="B106" t="s">
        <v>104</v>
      </c>
    </row>
    <row r="108" spans="1:2">
      <c r="A108" t="s">
        <v>105</v>
      </c>
    </row>
  </sheetData>
  <sheetProtection password="CA1B" sheet="1" formatCells="0" formatColumns="0" formatRows="0" insertColumns="0" insertRows="0"/>
  <mergeCells count="2">
    <mergeCell ref="B1:H1"/>
    <mergeCell ref="B2:H2"/>
  </mergeCells>
  <printOptions horizontalCentered="1"/>
  <pageMargins left="0.37013888888888902" right="0.50972222222222197" top="0.78749999999999998" bottom="0.98402777777777795" header="0.51180555555555496" footer="0.51180555555555496"/>
  <pageSetup paperSize="9" firstPageNumber="0" orientation="portrait" horizontalDpi="300" verticalDpi="300"/>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B63"/>
  <sheetViews>
    <sheetView zoomScale="85" zoomScaleNormal="85" zoomScalePageLayoutView="75" workbookViewId="0">
      <pane xSplit="2" topLeftCell="C1" activePane="topRight" state="frozen"/>
      <selection pane="topRight" activeCell="C1" sqref="C1"/>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f>IF(TYPE(VLOOKUP(C1,Hřiště!A11:B42,2,0))&gt;3,1,VLOOKUP(C1,Hřiště!A11:B42,2,0))</f>
        <v>1</v>
      </c>
      <c r="B1" s="188" t="s">
        <v>1655</v>
      </c>
      <c r="C1" s="189" t="s">
        <v>1656</v>
      </c>
      <c r="D1" s="161"/>
      <c r="E1" s="161"/>
      <c r="F1" s="190" t="s">
        <v>1589</v>
      </c>
      <c r="G1" s="191">
        <f ca="1">$AV$12</f>
        <v>4</v>
      </c>
      <c r="H1" s="192" t="s">
        <v>1657</v>
      </c>
      <c r="I1" s="161"/>
      <c r="J1" s="161"/>
      <c r="K1" s="161"/>
      <c r="L1" s="161"/>
      <c r="M1" s="161"/>
      <c r="N1" s="161"/>
      <c r="O1" s="161"/>
      <c r="P1" s="193" t="s">
        <v>1658</v>
      </c>
      <c r="Q1" s="194"/>
      <c r="R1" s="195">
        <f ca="1">INDIRECT(ADDRESS(4,A1,1,1,"Hřiště"))</f>
        <v>1</v>
      </c>
      <c r="S1" s="195">
        <f ca="1">INDIRECT(ADDRESS(5,A1,1,1,"Hřiště"))</f>
        <v>2</v>
      </c>
      <c r="T1" s="161"/>
      <c r="U1" s="161"/>
      <c r="V1" s="161"/>
      <c r="W1" s="161"/>
      <c r="X1" s="161"/>
      <c r="Y1" s="161"/>
      <c r="Z1" s="190" t="s">
        <v>1659</v>
      </c>
      <c r="AA1" s="191">
        <f ca="1">IF(G1=0,0,CHOOSE(G1,0,1,1,2,2,3))</f>
        <v>2</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SKP Kulová osma - Chmelař Ivo</v>
      </c>
      <c r="C6" s="225" t="str">
        <f t="shared" ref="C6:C11" si="0">IF(CB6=0,"",CB6)</f>
        <v/>
      </c>
      <c r="D6" s="226"/>
      <c r="E6" s="227"/>
      <c r="F6" s="228"/>
      <c r="G6" s="229"/>
      <c r="H6" s="230">
        <f ca="1">IF(TYPE(VLOOKUP(VALUE(CONCATENATE(TEXT($G$1,"0"),TEXT($A6,"0"),TEXT(K$3,"0"))),RozpisKK!$AA$3:$AD$76,3,0))&gt;3,"",VLOOKUP(VALUE(CONCATENATE(TEXT($G$1,"0"),TEXT($A6,"0"),TEXT(K$3,"0"))),RozpisKK!$AA$3:$AD$76,3,0))</f>
        <v>3</v>
      </c>
      <c r="I6" s="231">
        <f ca="1">IF(TYPE(VLOOKUP(VALUE(CONCATENATE(TEXT($G$1,"0"),TEXT($A6,"0"),TEXT(K$3,"0"))),RozpisKK!$AA$3:$AD$76,3,0))&gt;3,"",VLOOKUP(VALUE(CONCATENATE(TEXT($G$1,"0"),TEXT($A6,"0"),TEXT(K$3,"0"))),RozpisKK!$AA$3:$AD$76,4,0)+$R$1-1)</f>
        <v>1</v>
      </c>
      <c r="J6" s="232">
        <f>$G$7</f>
        <v>0</v>
      </c>
      <c r="K6" s="233">
        <f>$F$7</f>
        <v>0</v>
      </c>
      <c r="L6" s="230">
        <f ca="1">IF(TYPE(VLOOKUP(VALUE(CONCATENATE(TEXT($G$1,"0"),TEXT($A6,"0"),TEXT(O$3,"0"))),RozpisKK!$AA$3:$AD$76,3,0))&gt;3,"",VLOOKUP(VALUE(CONCATENATE(TEXT($G$1,"0"),TEXT($A6,"0"),TEXT(O$3,"0"))),RozpisKK!$AA$3:$AD$76,3,0))</f>
        <v>2</v>
      </c>
      <c r="M6" s="231">
        <f ca="1">IF(TYPE(VLOOKUP(VALUE(CONCATENATE(TEXT($G$1,"0"),TEXT($A6,"0"),TEXT(O$3,"0"))),RozpisKK!$AA$3:$AD$76,3,0))&gt;3,"",VLOOKUP(VALUE(CONCATENATE(TEXT($G$1,"0"),TEXT($A6,"0"),TEXT(O$3,"0"))),RozpisKK!$AA$3:$AD$76,4,0)+$R$1-1)</f>
        <v>1</v>
      </c>
      <c r="N6" s="232">
        <f>$G$8</f>
        <v>0</v>
      </c>
      <c r="O6" s="233">
        <f>$F$8</f>
        <v>0</v>
      </c>
      <c r="P6" s="230">
        <f ca="1">IF(TYPE(VLOOKUP(VALUE(CONCATENATE(TEXT($G$1,"0"),TEXT($A6,"0"),TEXT(S$3,"0"))),RozpisKK!$AA$3:$AD$76,3,0))&gt;3,"",VLOOKUP(VALUE(CONCATENATE(TEXT($G$1,"0"),TEXT($A6,"0"),TEXT(S$3,"0"))),RozpisKK!$AA$3:$AD$76,3,0))</f>
        <v>1</v>
      </c>
      <c r="Q6" s="231">
        <f ca="1">IF(TYPE(VLOOKUP(VALUE(CONCATENATE(TEXT($G$1,"0"),TEXT($A6,"0"),TEXT(S$3,"0"))),RozpisKK!$AA$3:$AD$76,3,0))&gt;3,"",VLOOKUP(VALUE(CONCATENATE(TEXT($G$1,"0"),TEXT($A6,"0"),TEXT(S$3,"0"))),RozpisKK!$AA$3:$AD$76,4,0)+$R$1-1)</f>
        <v>1</v>
      </c>
      <c r="R6" s="232">
        <f>$G$9</f>
        <v>0</v>
      </c>
      <c r="S6" s="233">
        <f>$F$9</f>
        <v>0</v>
      </c>
      <c r="T6" s="230" t="str">
        <f ca="1">IF(TYPE(VLOOKUP(VALUE(CONCATENATE(TEXT($G$1,"0"),TEXT($A6,"0"),TEXT(W$3,"0"))),RozpisKK!$AA$3:$AD$76,3,0))&gt;3,"",VLOOKUP(VALUE(CONCATENATE(TEXT($G$1,"0"),TEXT($A6,"0"),TEXT(W$3,"0"))),RozpisKK!$AA$3:$AD$76,3,0))</f>
        <v/>
      </c>
      <c r="U6" s="231" t="str">
        <f ca="1">IF(TYPE(VLOOKUP(VALUE(CONCATENATE(TEXT($G$1,"0"),TEXT($A6,"0"),TEXT(W$3,"0"))),RozpisKK!$AA$3:$AD$76,3,0))&gt;3,"",VLOOKUP(VALUE(CONCATENATE(TEXT($G$1,"0"),TEXT($A6,"0"),TEXT(W$3,"0"))),RozpisKK!$AA$3:$AD$76,4,0)+$R$1-1)</f>
        <v/>
      </c>
      <c r="V6" s="232">
        <f>$G$10</f>
        <v>0</v>
      </c>
      <c r="W6" s="233">
        <f>$F$10</f>
        <v>0</v>
      </c>
      <c r="X6" s="230" t="str">
        <f ca="1">IF(TYPE(VLOOKUP(VALUE(CONCATENATE(TEXT($G$1,"0"),TEXT($A6,"0"),TEXT(AA$3,"0"))),RozpisKK!$AA$3:$AD$76,3,0))&gt;3,"",VLOOKUP(VALUE(CONCATENATE(TEXT($G$1,"0"),TEXT($A6,"0"),TEXT(AA$3,"0"))),RozpisKK!$AA$3:$AD$76,3,0))</f>
        <v/>
      </c>
      <c r="Y6" s="231" t="str">
        <f ca="1">IF(TYPE(VLOOKUP(VALUE(CONCATENATE(TEXT($G$1,"0"),TEXT($A6,"0"),TEXT(AA$3,"0"))),RozpisKK!$AA$3:$AD$76,3,0))&gt;3,"",VLOOKUP(VALUE(CONCATENATE(TEXT($G$1,"0"),TEXT($A6,"0"),TEXT(AA$3,"0"))),RozpisKK!$AA$3:$AD$76,4,0)+$R$1-1)</f>
        <v/>
      </c>
      <c r="Z6" s="232">
        <f>$G$11</f>
        <v>0</v>
      </c>
      <c r="AA6" s="23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1</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PAK Albrechtice - Bukovčík Jan</v>
      </c>
      <c r="C7" s="246" t="str">
        <f t="shared" si="0"/>
        <v/>
      </c>
      <c r="D7" s="247">
        <f ca="1">IF(TYPE(VLOOKUP(VALUE(CONCATENATE(TEXT($G$1,"0"),TEXT($A7,"0"),TEXT(G$3,"0"))),RozpisKK!$AA$3:$AD$76,3,0))&gt;3,"",VLOOKUP(VALUE(CONCATENATE(TEXT($G$1,"0"),TEXT($A7,"0"),TEXT(G$3,"0"))),RozpisKK!$AA$3:$AD$76,3,0))</f>
        <v>3</v>
      </c>
      <c r="E7" s="248">
        <f ca="1">IF(TYPE(VLOOKUP(VALUE(CONCATENATE(TEXT($G$1,"0"),TEXT($A7,"0"),TEXT(G$3,"0"))),RozpisKK!$AA$3:$AD$76,3,0))&gt;3,"",VLOOKUP(VALUE(CONCATENATE(TEXT($G$1,"0"),TEXT($A7,"0"),TEXT(G$3,"0"))),RozpisKK!$AA$3:$AD$76,4,0)+$R$1-1)</f>
        <v>1</v>
      </c>
      <c r="F7" s="249"/>
      <c r="G7" s="250"/>
      <c r="H7" s="251"/>
      <c r="I7" s="252"/>
      <c r="J7" s="253"/>
      <c r="K7" s="254"/>
      <c r="L7" s="255">
        <f ca="1">IF(TYPE(VLOOKUP(VALUE(CONCATENATE(TEXT($G$1,"0"),TEXT($A7,"0"),TEXT(O$3,"0"))),RozpisKK!$AA$3:$AD$76,3,0))&gt;3,"",VLOOKUP(VALUE(CONCATENATE(TEXT($G$1,"0"),TEXT($A7,"0"),TEXT(O$3,"0"))),RozpisKK!$AA$3:$AD$76,3,0))</f>
        <v>1</v>
      </c>
      <c r="M7" s="256">
        <f ca="1">IF(TYPE(VLOOKUP(VALUE(CONCATENATE(TEXT($G$1,"0"),TEXT($A7,"0"),TEXT(O$3,"0"))),RozpisKK!$AA$3:$AD$76,3,0))&gt;3,"",VLOOKUP(VALUE(CONCATENATE(TEXT($G$1,"0"),TEXT($A7,"0"),TEXT(O$3,"0"))),RozpisKK!$AA$3:$AD$76,4,0)+$R$1-1)</f>
        <v>2</v>
      </c>
      <c r="N7" s="257">
        <f>$K$8</f>
        <v>0</v>
      </c>
      <c r="O7" s="233">
        <f>$J$8</f>
        <v>0</v>
      </c>
      <c r="P7" s="255">
        <f ca="1">IF(TYPE(VLOOKUP(VALUE(CONCATENATE(TEXT($G$1,"0"),TEXT($A7,"0"),TEXT(S$3,"0"))),RozpisKK!$AA$3:$AD$76,3,0))&gt;3,"",VLOOKUP(VALUE(CONCATENATE(TEXT($G$1,"0"),TEXT($A7,"0"),TEXT(S$3,"0"))),RozpisKK!$AA$3:$AD$76,3,0))</f>
        <v>2</v>
      </c>
      <c r="Q7" s="256">
        <f ca="1">IF(TYPE(VLOOKUP(VALUE(CONCATENATE(TEXT($G$1,"0"),TEXT($A7,"0"),TEXT(S$3,"0"))),RozpisKK!$AA$3:$AD$76,3,0))&gt;3,"",VLOOKUP(VALUE(CONCATENATE(TEXT($G$1,"0"),TEXT($A7,"0"),TEXT(S$3,"0"))),RozpisKK!$AA$3:$AD$76,4,0)+$R$1-1)</f>
        <v>2</v>
      </c>
      <c r="R7" s="257">
        <f>$K$9</f>
        <v>0</v>
      </c>
      <c r="S7" s="233">
        <f>$J$9</f>
        <v>0</v>
      </c>
      <c r="T7" s="255" t="str">
        <f ca="1">IF(TYPE(VLOOKUP(VALUE(CONCATENATE(TEXT($G$1,"0"),TEXT($A7,"0"),TEXT(W$3,"0"))),RozpisKK!$AA$3:$AD$76,3,0))&gt;3,"",VLOOKUP(VALUE(CONCATENATE(TEXT($G$1,"0"),TEXT($A7,"0"),TEXT(W$3,"0"))),RozpisKK!$AA$3:$AD$76,3,0))</f>
        <v/>
      </c>
      <c r="U7" s="256" t="str">
        <f ca="1">IF(TYPE(VLOOKUP(VALUE(CONCATENATE(TEXT($G$1,"0"),TEXT($A7,"0"),TEXT(W$3,"0"))),RozpisKK!$AA$3:$AD$76,3,0))&gt;3,"",VLOOKUP(VALUE(CONCATENATE(TEXT($G$1,"0"),TEXT($A7,"0"),TEXT(W$3,"0"))),RozpisKK!$AA$3:$AD$76,4,0)+$R$1-1)</f>
        <v/>
      </c>
      <c r="V7" s="257">
        <f>$K$10</f>
        <v>0</v>
      </c>
      <c r="W7" s="233">
        <f>$J$10</f>
        <v>0</v>
      </c>
      <c r="X7" s="255" t="str">
        <f ca="1">IF(TYPE(VLOOKUP(VALUE(CONCATENATE(TEXT($G$1,"0"),TEXT($A7,"0"),TEXT(AA$3,"0"))),RozpisKK!$AA$3:$AD$76,3,0))&gt;3,"",VLOOKUP(VALUE(CONCATENATE(TEXT($G$1,"0"),TEXT($A7,"0"),TEXT(AA$3,"0"))),RozpisKK!$AA$3:$AD$76,3,0))</f>
        <v/>
      </c>
      <c r="Y7" s="256" t="str">
        <f ca="1">IF(TYPE(VLOOKUP(VALUE(CONCATENATE(TEXT($G$1,"0"),TEXT($A7,"0"),TEXT(AA$3,"0"))),RozpisKK!$AA$3:$AD$76,3,0))&gt;3,"",VLOOKUP(VALUE(CONCATENATE(TEXT($G$1,"0"),TEXT($A7,"0"),TEXT(AA$3,"0"))),RozpisKK!$AA$3:$AD$76,4,0)+$R$1-1)</f>
        <v/>
      </c>
      <c r="Z7" s="257">
        <f>$K$11</f>
        <v>0</v>
      </c>
      <c r="AA7" s="23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1</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PK Sokol Medlánky - Bejšovec Petr</v>
      </c>
      <c r="C8" s="246" t="str">
        <f t="shared" si="0"/>
        <v/>
      </c>
      <c r="D8" s="247">
        <f ca="1">IF(TYPE(VLOOKUP(VALUE(CONCATENATE(TEXT($G$1,"0"),TEXT($A8,"0"),TEXT(G$3,"0"))),RozpisKK!$AA$3:$AD$76,3,0))&gt;3,"",VLOOKUP(VALUE(CONCATENATE(TEXT($G$1,"0"),TEXT($A8,"0"),TEXT(G$3,"0"))),RozpisKK!$AA$3:$AD$76,3,0))</f>
        <v>2</v>
      </c>
      <c r="E8" s="248">
        <f ca="1">IF(TYPE(VLOOKUP(VALUE(CONCATENATE(TEXT($G$1,"0"),TEXT($A8,"0"),TEXT(G$3,"0"))),RozpisKK!$AA$3:$AD$76,3,0))&gt;3,"",VLOOKUP(VALUE(CONCATENATE(TEXT($G$1,"0"),TEXT($A8,"0"),TEXT(G$3,"0"))),RozpisKK!$AA$3:$AD$76,4,0)+$R$1-1)</f>
        <v>1</v>
      </c>
      <c r="F8" s="249"/>
      <c r="G8" s="250"/>
      <c r="H8" s="263">
        <f ca="1">IF(TYPE(VLOOKUP(VALUE(CONCATENATE(TEXT($G$1,"0"),TEXT($A8,"0"),TEXT(K$3,"0"))),RozpisKK!$AA$3:$AD$76,3,0))&gt;3,"",VLOOKUP(VALUE(CONCATENATE(TEXT($G$1,"0"),TEXT($A8,"0"),TEXT(K$3,"0"))),RozpisKK!$AA$3:$AD$76,3,0))</f>
        <v>1</v>
      </c>
      <c r="I8" s="264">
        <f ca="1">IF(TYPE(VLOOKUP(VALUE(CONCATENATE(TEXT($G$1,"0"),TEXT($A8,"0"),TEXT(K$3,"0"))),RozpisKK!$AA$3:$AD$76,3,0))&gt;3,"",VLOOKUP(VALUE(CONCATENATE(TEXT($G$1,"0"),TEXT($A8,"0"),TEXT(K$3,"0"))),RozpisKK!$AA$3:$AD$76,4,0)+$R$1-1)</f>
        <v>2</v>
      </c>
      <c r="J8" s="249"/>
      <c r="K8" s="250"/>
      <c r="L8" s="251"/>
      <c r="M8" s="252"/>
      <c r="N8" s="253"/>
      <c r="O8" s="254"/>
      <c r="P8" s="255">
        <f ca="1">IF(TYPE(VLOOKUP(VALUE(CONCATENATE(TEXT($G$1,"0"),TEXT($A8,"0"),TEXT(S$3,"0"))),RozpisKK!$AA$3:$AD$76,3,0))&gt;3,"",VLOOKUP(VALUE(CONCATENATE(TEXT($G$1,"0"),TEXT($A8,"0"),TEXT(S$3,"0"))),RozpisKK!$AA$3:$AD$76,3,0))</f>
        <v>3</v>
      </c>
      <c r="Q8" s="256">
        <f ca="1">IF(TYPE(VLOOKUP(VALUE(CONCATENATE(TEXT($G$1,"0"),TEXT($A8,"0"),TEXT(S$3,"0"))),RozpisKK!$AA$3:$AD$76,3,0))&gt;3,"",VLOOKUP(VALUE(CONCATENATE(TEXT($G$1,"0"),TEXT($A8,"0"),TEXT(S$3,"0"))),RozpisKK!$AA$3:$AD$76,4,0)+$R$1-1)</f>
        <v>2</v>
      </c>
      <c r="R8" s="257">
        <f>$O$9</f>
        <v>0</v>
      </c>
      <c r="S8" s="233">
        <f>$N$9</f>
        <v>0</v>
      </c>
      <c r="T8" s="255" t="str">
        <f ca="1">IF(TYPE(VLOOKUP(VALUE(CONCATENATE(TEXT($G$1,"0"),TEXT($A8,"0"),TEXT(W$3,"0"))),RozpisKK!$AA$3:$AD$76,3,0))&gt;3,"",VLOOKUP(VALUE(CONCATENATE(TEXT($G$1,"0"),TEXT($A8,"0"),TEXT(W$3,"0"))),RozpisKK!$AA$3:$AD$76,3,0))</f>
        <v/>
      </c>
      <c r="U8" s="256" t="str">
        <f ca="1">IF(TYPE(VLOOKUP(VALUE(CONCATENATE(TEXT($G$1,"0"),TEXT($A8,"0"),TEXT(W$3,"0"))),RozpisKK!$AA$3:$AD$76,3,0))&gt;3,"",VLOOKUP(VALUE(CONCATENATE(TEXT($G$1,"0"),TEXT($A8,"0"),TEXT(W$3,"0"))),RozpisKK!$AA$3:$AD$76,4,0)+$R$1-1)</f>
        <v/>
      </c>
      <c r="V8" s="257">
        <f>$O$10</f>
        <v>0</v>
      </c>
      <c r="W8" s="233">
        <f>$N$10</f>
        <v>0</v>
      </c>
      <c r="X8" s="255" t="str">
        <f ca="1">IF(TYPE(VLOOKUP(VALUE(CONCATENATE(TEXT($G$1,"0"),TEXT($A8,"0"),TEXT(AA$3,"0"))),RozpisKK!$AA$3:$AD$76,3,0))&gt;3,"",VLOOKUP(VALUE(CONCATENATE(TEXT($G$1,"0"),TEXT($A8,"0"),TEXT(AA$3,"0"))),RozpisKK!$AA$3:$AD$76,3,0))</f>
        <v/>
      </c>
      <c r="Y8" s="256" t="str">
        <f ca="1">IF(TYPE(VLOOKUP(VALUE(CONCATENATE(TEXT($G$1,"0"),TEXT($A8,"0"),TEXT(AA$3,"0"))),RozpisKK!$AA$3:$AD$76,3,0))&gt;3,"",VLOOKUP(VALUE(CONCATENATE(TEXT($G$1,"0"),TEXT($A8,"0"),TEXT(AA$3,"0"))),RozpisKK!$AA$3:$AD$76,4,0)+$R$1-1)</f>
        <v/>
      </c>
      <c r="Z8" s="257">
        <f>$O$11</f>
        <v>0</v>
      </c>
      <c r="AA8" s="23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1</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PK Polouvsí - Vrzal Radomír</v>
      </c>
      <c r="C9" s="246" t="str">
        <f t="shared" si="0"/>
        <v/>
      </c>
      <c r="D9" s="247">
        <f ca="1">IF(TYPE(VLOOKUP(VALUE(CONCATENATE(TEXT($G$1,"0"),TEXT($A9,"0"),TEXT(G$3,"0"))),RozpisKK!$AA$3:$AD$76,3,0))&gt;3,"",VLOOKUP(VALUE(CONCATENATE(TEXT($G$1,"0"),TEXT($A9,"0"),TEXT(G$3,"0"))),RozpisKK!$AA$3:$AD$76,3,0))</f>
        <v>1</v>
      </c>
      <c r="E9" s="248">
        <f ca="1">IF(TYPE(VLOOKUP(VALUE(CONCATENATE(TEXT($G$1,"0"),TEXT($A9,"0"),TEXT(G$3,"0"))),RozpisKK!$AA$3:$AD$76,3,0))&gt;3,"",VLOOKUP(VALUE(CONCATENATE(TEXT($G$1,"0"),TEXT($A9,"0"),TEXT(G$3,"0"))),RozpisKK!$AA$3:$AD$76,4,0)+$R$1-1)</f>
        <v>1</v>
      </c>
      <c r="F9" s="249"/>
      <c r="G9" s="250"/>
      <c r="H9" s="263">
        <f ca="1">IF(TYPE(VLOOKUP(VALUE(CONCATENATE(TEXT($G$1,"0"),TEXT($A9,"0"),TEXT(K$3,"0"))),RozpisKK!$AA$3:$AD$76,3,0))&gt;3,"",VLOOKUP(VALUE(CONCATENATE(TEXT($G$1,"0"),TEXT($A9,"0"),TEXT(K$3,"0"))),RozpisKK!$AA$3:$AD$76,3,0))</f>
        <v>2</v>
      </c>
      <c r="I9" s="264">
        <f ca="1">IF(TYPE(VLOOKUP(VALUE(CONCATENATE(TEXT($G$1,"0"),TEXT($A9,"0"),TEXT(K$3,"0"))),RozpisKK!$AA$3:$AD$76,3,0))&gt;3,"",VLOOKUP(VALUE(CONCATENATE(TEXT($G$1,"0"),TEXT($A9,"0"),TEXT(K$3,"0"))),RozpisKK!$AA$3:$AD$76,4,0)+$R$1-1)</f>
        <v>2</v>
      </c>
      <c r="J9" s="249"/>
      <c r="K9" s="250"/>
      <c r="L9" s="263">
        <f ca="1">IF(TYPE(VLOOKUP(VALUE(CONCATENATE(TEXT($G$1,"0"),TEXT($A9,"0"),TEXT(O$3,"0"))),RozpisKK!$AA$3:$AD$76,3,0))&gt;3,"",VLOOKUP(VALUE(CONCATENATE(TEXT($G$1,"0"),TEXT($A9,"0"),TEXT(O$3,"0"))),RozpisKK!$AA$3:$AD$76,3,0))</f>
        <v>3</v>
      </c>
      <c r="M9" s="264">
        <f ca="1">IF(TYPE(VLOOKUP(VALUE(CONCATENATE(TEXT($G$1,"0"),TEXT($A9,"0"),TEXT(O$3,"0"))),RozpisKK!$AA$3:$AD$76,3,0))&gt;3,"",VLOOKUP(VALUE(CONCATENATE(TEXT($G$1,"0"),TEXT($A9,"0"),TEXT(O$3,"0"))),RozpisKK!$AA$3:$AD$76,4,0)+$R$1-1)</f>
        <v>2</v>
      </c>
      <c r="N9" s="249"/>
      <c r="O9" s="250"/>
      <c r="P9" s="251"/>
      <c r="Q9" s="252"/>
      <c r="R9" s="253"/>
      <c r="S9" s="254"/>
      <c r="T9" s="255" t="str">
        <f ca="1">IF(TYPE(VLOOKUP(VALUE(CONCATENATE(TEXT($G$1,"0"),TEXT($A9,"0"),TEXT(W$3,"0"))),RozpisKK!$AA$3:$AD$76,3,0))&gt;3,"",VLOOKUP(VALUE(CONCATENATE(TEXT($G$1,"0"),TEXT($A9,"0"),TEXT(W$3,"0"))),RozpisKK!$AA$3:$AD$76,3,0))</f>
        <v/>
      </c>
      <c r="U9" s="256" t="str">
        <f ca="1">IF(TYPE(VLOOKUP(VALUE(CONCATENATE(TEXT($G$1,"0"),TEXT($A9,"0"),TEXT(W$3,"0"))),RozpisKK!$AA$3:$AD$76,3,0))&gt;3,"",VLOOKUP(VALUE(CONCATENATE(TEXT($G$1,"0"),TEXT($A9,"0"),TEXT(W$3,"0"))),RozpisKK!$AA$3:$AD$76,4,0)+$R$1-1)</f>
        <v/>
      </c>
      <c r="V9" s="257">
        <f>$S$10</f>
        <v>0</v>
      </c>
      <c r="W9" s="233">
        <f>$R$10</f>
        <v>0</v>
      </c>
      <c r="X9" s="255" t="str">
        <f ca="1">IF(TYPE(VLOOKUP(VALUE(CONCATENATE(TEXT($G$1,"0"),TEXT($A9,"0"),TEXT(AA$3,"0"))),RozpisKK!$AA$3:$AD$76,3,0))&gt;3,"",VLOOKUP(VALUE(CONCATENATE(TEXT($G$1,"0"),TEXT($A9,"0"),TEXT(AA$3,"0"))),RozpisKK!$AA$3:$AD$76,3,0))</f>
        <v/>
      </c>
      <c r="Y9" s="256" t="str">
        <f ca="1">IF(TYPE(VLOOKUP(VALUE(CONCATENATE(TEXT($G$1,"0"),TEXT($A9,"0"),TEXT(AA$3,"0"))),RozpisKK!$AA$3:$AD$76,3,0))&gt;3,"",VLOOKUP(VALUE(CONCATENATE(TEXT($G$1,"0"),TEXT($A9,"0"),TEXT(AA$3,"0"))),RozpisKK!$AA$3:$AD$76,4,0)+$R$1-1)</f>
        <v/>
      </c>
      <c r="Z9" s="257">
        <f>$S$11</f>
        <v>0</v>
      </c>
      <c r="AA9" s="23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1</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255" t="str">
        <f ca="1">IF(TYPE(VLOOKUP(VALUE(CONCATENATE(TEXT($G$1,"0"),TEXT($A10,"0"),TEXT(AA$3,"0"))),RozpisKK!$AA$3:$AD$76,3,0))&gt;3,"",VLOOKUP(VALUE(CONCATENATE(TEXT($G$1,"0"),TEXT($A10,"0"),TEXT(AA$3,"0"))),RozpisKK!$AA$3:$AD$76,3,0))</f>
        <v/>
      </c>
      <c r="Y10" s="256" t="str">
        <f ca="1">IF(TYPE(VLOOKUP(VALUE(CONCATENATE(TEXT($G$1,"0"),TEXT($A10,"0"),TEXT(AA$3,"0"))),RozpisKK!$AA$3:$AD$76,3,0))&gt;3,"",VLOOKUP(VALUE(CONCATENATE(TEXT($G$1,"0"),TEXT($A10,"0"),TEXT(AA$3,"0"))),RozpisKK!$AA$3:$AD$76,4,0)+$R$1-1)</f>
        <v/>
      </c>
      <c r="Z10" s="257">
        <f>$W$11</f>
        <v>0</v>
      </c>
      <c r="AA10" s="23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279"/>
      <c r="P12" s="279"/>
      <c r="Q12" s="279"/>
      <c r="R12" s="279"/>
      <c r="S12" s="279"/>
      <c r="T12" s="279"/>
      <c r="U12" s="279"/>
      <c r="V12" s="279"/>
      <c r="W12" s="279"/>
      <c r="X12" s="279"/>
      <c r="Y12" s="279"/>
      <c r="Z12" s="279"/>
      <c r="AA12" s="279"/>
      <c r="AB12" s="279"/>
      <c r="AC12" s="279"/>
      <c r="AD12" s="161"/>
      <c r="AE12" s="161"/>
      <c r="AF12" s="161"/>
      <c r="AG12" s="161"/>
      <c r="AH12" s="161"/>
      <c r="AI12" s="161"/>
      <c r="AJ12" s="161"/>
      <c r="AK12" s="161"/>
      <c r="AL12" s="161"/>
      <c r="AM12" s="161"/>
      <c r="AN12" s="161"/>
      <c r="AO12" s="161"/>
      <c r="AP12" s="161"/>
      <c r="AQ12" s="161"/>
      <c r="AR12" s="161"/>
      <c r="AS12" s="161"/>
      <c r="AT12" s="161"/>
      <c r="AU12" s="161"/>
      <c r="AV12" s="280">
        <f ca="1">SUM(AV6:AV11)</f>
        <v>4</v>
      </c>
    </row>
    <row r="13" spans="1:80" ht="64.900000000000006" hidden="1" customHeight="1">
      <c r="A13" s="161"/>
      <c r="B13" s="281" t="s">
        <v>1681</v>
      </c>
      <c r="C13" s="282" t="s">
        <v>1682</v>
      </c>
      <c r="D13" s="161"/>
      <c r="E13" s="161"/>
      <c r="F13" s="161"/>
      <c r="G13" s="161"/>
      <c r="H13" s="161"/>
      <c r="I13" s="161"/>
      <c r="J13" s="161"/>
      <c r="K13" s="161"/>
      <c r="L13" s="161"/>
      <c r="M13" s="161"/>
      <c r="N13" s="161"/>
      <c r="O13" s="279"/>
      <c r="P13" s="279"/>
      <c r="Q13" s="279"/>
      <c r="R13" s="279"/>
      <c r="S13" s="279"/>
      <c r="T13" s="279"/>
      <c r="U13" s="279"/>
      <c r="V13" s="279"/>
      <c r="W13" s="279"/>
      <c r="X13" s="279"/>
      <c r="Y13" s="279"/>
      <c r="Z13" s="279"/>
      <c r="AA13" s="279"/>
      <c r="AB13" s="279"/>
      <c r="AC13" s="279"/>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a1</v>
      </c>
      <c r="D14" s="161"/>
      <c r="E14" s="161"/>
      <c r="F14" s="161"/>
      <c r="G14" s="161"/>
      <c r="H14" s="161"/>
      <c r="I14" s="161"/>
      <c r="J14" s="161"/>
      <c r="K14" s="161"/>
      <c r="L14" s="161"/>
      <c r="M14" s="161"/>
      <c r="N14" s="161"/>
      <c r="O14" s="279"/>
      <c r="P14" s="279"/>
      <c r="Q14" s="279"/>
      <c r="R14" s="279"/>
      <c r="S14" s="279"/>
      <c r="T14" s="279"/>
      <c r="U14" s="279"/>
      <c r="V14" s="279"/>
      <c r="W14" s="279"/>
      <c r="X14" s="279"/>
      <c r="Y14" s="279"/>
      <c r="Z14" s="279"/>
      <c r="AA14" s="279"/>
      <c r="AB14" s="279"/>
      <c r="AC14" s="279"/>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a2</v>
      </c>
      <c r="D15" s="161"/>
      <c r="E15" s="161"/>
      <c r="F15" s="161"/>
      <c r="G15" s="161"/>
      <c r="H15" s="161"/>
      <c r="I15" s="161"/>
      <c r="J15" s="161"/>
      <c r="K15" s="161"/>
      <c r="L15" s="161"/>
      <c r="M15" s="161"/>
      <c r="N15" s="161"/>
      <c r="O15" s="279"/>
      <c r="P15" s="279"/>
      <c r="Q15" s="279"/>
      <c r="R15" s="279"/>
      <c r="S15" s="279"/>
      <c r="T15" s="279"/>
      <c r="U15" s="279"/>
      <c r="V15" s="279"/>
      <c r="W15" s="279"/>
      <c r="X15" s="279"/>
      <c r="Y15" s="279"/>
      <c r="Z15" s="279"/>
      <c r="AA15" s="279"/>
      <c r="AB15" s="279"/>
      <c r="AC15" s="279"/>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a3</v>
      </c>
      <c r="D16" s="161"/>
      <c r="E16" s="161"/>
      <c r="F16" s="161"/>
      <c r="G16" s="161"/>
      <c r="H16" s="161"/>
      <c r="I16" s="161"/>
      <c r="J16" s="161"/>
      <c r="K16" s="161"/>
      <c r="L16" s="161"/>
      <c r="M16" s="161"/>
      <c r="N16" s="161"/>
      <c r="O16" s="279"/>
      <c r="P16" s="279"/>
      <c r="Q16" s="279"/>
      <c r="R16" s="279"/>
      <c r="S16" s="279"/>
      <c r="T16" s="279"/>
      <c r="U16" s="279"/>
      <c r="V16" s="279"/>
      <c r="W16" s="279"/>
      <c r="X16" s="279"/>
      <c r="Y16" s="279"/>
      <c r="Z16" s="279"/>
      <c r="AA16" s="279"/>
      <c r="AB16" s="279"/>
      <c r="AC16" s="279"/>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a4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AG24</f>
        <v>0</v>
      </c>
      <c r="S21" s="161"/>
      <c r="T21" s="161">
        <f>AI24</f>
        <v>0</v>
      </c>
      <c r="U21" s="161"/>
      <c r="V21" s="161"/>
      <c r="W21" s="161">
        <f>AL24</f>
        <v>0</v>
      </c>
      <c r="X21" s="161"/>
      <c r="Y21" s="161">
        <f>AN24</f>
        <v>0</v>
      </c>
      <c r="Z21" s="161"/>
      <c r="AA21" s="161">
        <f>AP24</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AG33</f>
        <v>0</v>
      </c>
      <c r="S30" s="161"/>
      <c r="T30" s="161">
        <f>AI33</f>
        <v>0</v>
      </c>
      <c r="U30" s="161"/>
      <c r="V30" s="161"/>
      <c r="W30" s="161">
        <f>AL33</f>
        <v>0</v>
      </c>
      <c r="X30" s="161"/>
      <c r="Y30" s="161">
        <f>AN33</f>
        <v>0</v>
      </c>
      <c r="Z30" s="161"/>
      <c r="AA30" s="161">
        <f>AP33</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AG42</f>
        <v>0</v>
      </c>
      <c r="S39" s="161"/>
      <c r="T39" s="161">
        <f>AI42</f>
        <v>0</v>
      </c>
      <c r="U39" s="161"/>
      <c r="V39" s="161"/>
      <c r="W39" s="161">
        <f>AL42</f>
        <v>0</v>
      </c>
      <c r="X39" s="161"/>
      <c r="Y39" s="161">
        <f>AN42</f>
        <v>0</v>
      </c>
      <c r="Z39" s="161"/>
      <c r="AA39" s="161">
        <f>AP42</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AG51</f>
        <v>0</v>
      </c>
      <c r="S48" s="161"/>
      <c r="T48" s="161">
        <f>AI51</f>
        <v>0</v>
      </c>
      <c r="U48" s="161"/>
      <c r="V48" s="161"/>
      <c r="W48" s="161">
        <f>AL51</f>
        <v>0</v>
      </c>
      <c r="X48" s="161"/>
      <c r="Y48" s="161">
        <f>AN51</f>
        <v>0</v>
      </c>
      <c r="Z48" s="161"/>
      <c r="AA48" s="161">
        <f>AP51</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row>
    <row r="56" spans="1:64" ht="20.25">
      <c r="A56" s="279"/>
      <c r="B56" s="289" t="str">
        <f ca="1">IF($G$1&lt;2,"","Rozpis hry")</f>
        <v>Rozpis hry</v>
      </c>
      <c r="C56" s="290" t="str">
        <f ca="1">IF($G$1&lt;2,"","kolo")</f>
        <v>kolo</v>
      </c>
      <c r="D56" s="291"/>
      <c r="E56" s="16"/>
      <c r="F56" s="290" t="str">
        <f ca="1">IF($G$1&lt;2,"","hřiště")</f>
        <v>hřiště</v>
      </c>
      <c r="G56" s="292">
        <f ca="1">IF($G$1&lt;2,"",$R$1)</f>
        <v>1</v>
      </c>
      <c r="H56" s="291"/>
      <c r="I56" s="291"/>
      <c r="J56" s="290" t="str">
        <f ca="1">IF($G$1&gt;3,"hřiště","")</f>
        <v>hřiště</v>
      </c>
      <c r="K56" s="292">
        <f ca="1">IF($G$1&gt;3,G56+1,"")</f>
        <v>2</v>
      </c>
      <c r="L56" s="291"/>
      <c r="M56" s="291"/>
      <c r="N56" s="290" t="str">
        <f ca="1">IF($G$1&gt;5,"hřiště","")</f>
        <v/>
      </c>
      <c r="O56" s="292" t="str">
        <f ca="1">IF($G$1&gt;5,G56+2,"")</f>
        <v/>
      </c>
      <c r="P56" s="279"/>
      <c r="Q56" s="279"/>
      <c r="R56" s="279"/>
      <c r="S56" s="279"/>
      <c r="T56" s="279"/>
      <c r="U56" s="279"/>
      <c r="V56" s="279"/>
      <c r="W56" s="279"/>
      <c r="X56" s="279"/>
      <c r="Y56" s="279"/>
      <c r="Z56" s="279"/>
      <c r="AA56" s="279"/>
      <c r="AB56" s="279"/>
      <c r="AC56" s="279"/>
    </row>
    <row r="57" spans="1:64" ht="6" customHeight="1">
      <c r="A57" s="279"/>
      <c r="B57" s="279"/>
      <c r="C57" s="293"/>
      <c r="D57" s="279"/>
      <c r="E57" s="279"/>
      <c r="F57" s="279"/>
      <c r="G57" s="279"/>
      <c r="H57" s="294"/>
      <c r="I57" s="279"/>
      <c r="J57" s="279"/>
      <c r="K57" s="294"/>
      <c r="L57" s="279"/>
      <c r="M57" s="279"/>
      <c r="N57" s="279"/>
      <c r="O57" s="279"/>
      <c r="P57" s="279"/>
      <c r="Q57" s="279"/>
      <c r="R57" s="279"/>
      <c r="S57" s="279"/>
      <c r="T57" s="279"/>
      <c r="U57" s="279"/>
      <c r="V57" s="279"/>
      <c r="W57" s="279"/>
      <c r="X57" s="279"/>
      <c r="Y57" s="279"/>
      <c r="Z57" s="279"/>
      <c r="AA57" s="279"/>
      <c r="AB57" s="279"/>
      <c r="AC57" s="279"/>
    </row>
    <row r="58" spans="1:64" ht="11.25" customHeight="1">
      <c r="A58" s="279"/>
      <c r="B58" s="279"/>
      <c r="C58" s="295" t="str">
        <f ca="1">IF($G$1&lt;2,"","1.")</f>
        <v>1.</v>
      </c>
      <c r="D58" s="296"/>
      <c r="E58" s="296"/>
      <c r="F58" s="297">
        <f ca="1">IF($G$1=0,"",CHOOSE($G$1,"",1,1,1,2,1))</f>
        <v>1</v>
      </c>
      <c r="G58" s="296">
        <f ca="1">IF($G$1=0,"",CHOOSE($G$1,"",2,3,4,4,5))</f>
        <v>4</v>
      </c>
      <c r="H58" s="296"/>
      <c r="I58" s="296"/>
      <c r="J58" s="297">
        <f ca="1">IF($G$1=0,"",CHOOSE($G$1,"","","",2,5,2))</f>
        <v>2</v>
      </c>
      <c r="K58" s="296">
        <f ca="1">IF($G$1=0,"",CHOOSE($G$1,"","","",3,1,4))</f>
        <v>3</v>
      </c>
      <c r="L58" s="296"/>
      <c r="M58" s="296"/>
      <c r="N58" s="297" t="str">
        <f ca="1">IF($G$1=0,"",CHOOSE($G$1,"","","","","",3))</f>
        <v/>
      </c>
      <c r="O58" s="296" t="str">
        <f ca="1">IF($G$1=0,"",CHOOSE($G$1,"","","","","",6))</f>
        <v/>
      </c>
      <c r="P58" s="279"/>
      <c r="Q58" s="279"/>
      <c r="R58" s="279"/>
      <c r="S58" s="279"/>
      <c r="T58" s="279"/>
      <c r="U58" s="279"/>
      <c r="V58" s="279"/>
      <c r="W58" s="279"/>
      <c r="X58" s="279"/>
      <c r="Y58" s="279"/>
      <c r="Z58" s="279"/>
      <c r="AA58" s="279"/>
      <c r="AB58" s="279"/>
      <c r="AC58" s="279"/>
    </row>
    <row r="59" spans="1:64" ht="11.25" customHeight="1">
      <c r="A59" s="279"/>
      <c r="B59" s="279"/>
      <c r="C59" s="295" t="str">
        <f ca="1">IF($G$1&gt;2,"2.","")</f>
        <v>2.</v>
      </c>
      <c r="D59" s="296"/>
      <c r="E59" s="296"/>
      <c r="F59" s="297">
        <f ca="1">IF($G$1=0,"",CHOOSE($G$1,"","",1,1,1,1))</f>
        <v>1</v>
      </c>
      <c r="G59" s="296">
        <f ca="1">IF($G$1=0,"",CHOOSE($G$1,"","",2,3,4,4))</f>
        <v>3</v>
      </c>
      <c r="H59" s="296"/>
      <c r="I59" s="296"/>
      <c r="J59" s="297">
        <f ca="1">IF($G$1=0,"",CHOOSE($G$1,"","","",2,2,5))</f>
        <v>2</v>
      </c>
      <c r="K59" s="296">
        <f ca="1">IF($G$1=0,"",CHOOSE($G$1,"","","",4,3,6))</f>
        <v>4</v>
      </c>
      <c r="L59" s="296"/>
      <c r="M59" s="296"/>
      <c r="N59" s="297" t="str">
        <f ca="1">IF($G$1=0,"",CHOOSE($G$1,"","","","","",2))</f>
        <v/>
      </c>
      <c r="O59" s="296" t="str">
        <f ca="1">IF($G$1=0,"",CHOOSE($G$1,"","","","","",3))</f>
        <v/>
      </c>
      <c r="P59" s="279"/>
      <c r="Q59" s="279"/>
      <c r="R59" s="279"/>
      <c r="S59" s="279"/>
      <c r="T59" s="279"/>
      <c r="U59" s="279"/>
      <c r="V59" s="279"/>
      <c r="W59" s="279"/>
      <c r="X59" s="279"/>
      <c r="Y59" s="279"/>
      <c r="Z59" s="279"/>
      <c r="AA59" s="279"/>
      <c r="AB59" s="279"/>
      <c r="AC59" s="279"/>
    </row>
    <row r="60" spans="1:64" ht="11.25" customHeight="1">
      <c r="A60" s="279"/>
      <c r="B60" s="279"/>
      <c r="C60" s="295" t="str">
        <f ca="1">IF($G$1&gt;2,"3.","")</f>
        <v>3.</v>
      </c>
      <c r="D60" s="296"/>
      <c r="E60" s="296"/>
      <c r="F60" s="297">
        <f ca="1">IF($G$1=0,"",CHOOSE($G$1,"","",2,1,1,2))</f>
        <v>1</v>
      </c>
      <c r="G60" s="296">
        <f ca="1">IF($G$1=0,"",CHOOSE($G$1,"","",3,2,3,6))</f>
        <v>2</v>
      </c>
      <c r="H60" s="296"/>
      <c r="I60" s="296"/>
      <c r="J60" s="297">
        <f ca="1">IF($G$1=0,"",CHOOSE($G$1,"","","",3,4,1))</f>
        <v>3</v>
      </c>
      <c r="K60" s="296">
        <f ca="1">IF($G$1=0,"",CHOOSE($G$1,"","","",4,5,3))</f>
        <v>4</v>
      </c>
      <c r="L60" s="296"/>
      <c r="M60" s="296"/>
      <c r="N60" s="297" t="str">
        <f ca="1">IF($G$1=0,"",CHOOSE($G$1,"","","","","",4))</f>
        <v/>
      </c>
      <c r="O60" s="296" t="str">
        <f ca="1">IF($G$1=0,"",CHOOSE($G$1,"","","","","",5))</f>
        <v/>
      </c>
      <c r="P60" s="279"/>
      <c r="Q60" s="279"/>
      <c r="R60" s="279"/>
      <c r="S60" s="279"/>
      <c r="T60" s="279"/>
      <c r="U60" s="279"/>
      <c r="V60" s="279"/>
      <c r="W60" s="279"/>
      <c r="X60" s="279"/>
      <c r="Y60" s="279"/>
      <c r="Z60" s="279"/>
      <c r="AA60" s="279"/>
      <c r="AB60" s="279"/>
      <c r="AC60" s="279"/>
    </row>
    <row r="61" spans="1:64" ht="11.25" customHeight="1">
      <c r="A61" s="279"/>
      <c r="B61" s="279"/>
      <c r="C61" s="295" t="str">
        <f ca="1">IF($G$1&gt;4,"4.","")</f>
        <v/>
      </c>
      <c r="D61" s="296"/>
      <c r="E61" s="296"/>
      <c r="F61" s="297" t="str">
        <f ca="1">IF($G$1=0,"",CHOOSE($G$1,"","","","",3,3))</f>
        <v/>
      </c>
      <c r="G61" s="296" t="str">
        <f ca="1">IF($G$1=0,"",CHOOSE($G$1,"","","","",5,5))</f>
        <v/>
      </c>
      <c r="H61" s="296"/>
      <c r="I61" s="296"/>
      <c r="J61" s="297" t="str">
        <f ca="1">IF($G$1=0,"",CHOOSE($G$1,"","","","",1,4))</f>
        <v/>
      </c>
      <c r="K61" s="296" t="str">
        <f ca="1">IF($G$1=0,"",CHOOSE($G$1,"","","","",2,6))</f>
        <v/>
      </c>
      <c r="L61" s="296"/>
      <c r="M61" s="296"/>
      <c r="N61" s="297" t="str">
        <f ca="1">IF($G$1=0,"",CHOOSE($G$1,"","","","","",1))</f>
        <v/>
      </c>
      <c r="O61" s="296" t="str">
        <f ca="1">IF($G$1=0,"",CHOOSE($G$1,"","","","","",2))</f>
        <v/>
      </c>
      <c r="P61" s="279"/>
      <c r="Q61" s="279"/>
      <c r="R61" s="279"/>
      <c r="S61" s="279"/>
      <c r="T61" s="279"/>
      <c r="U61" s="279"/>
      <c r="V61" s="279"/>
      <c r="W61" s="279"/>
      <c r="X61" s="279"/>
      <c r="Y61" s="279"/>
      <c r="Z61" s="279"/>
      <c r="AA61" s="279"/>
      <c r="AB61" s="279"/>
      <c r="AC61" s="279"/>
    </row>
    <row r="62" spans="1:64" ht="11.25" customHeight="1">
      <c r="A62" s="279"/>
      <c r="B62" s="279"/>
      <c r="C62" s="295" t="str">
        <f ca="1">IF($G$1&gt;4,"5.","")</f>
        <v/>
      </c>
      <c r="D62" s="296"/>
      <c r="E62" s="296"/>
      <c r="F62" s="297" t="str">
        <f ca="1">IF($G$1=0,"",CHOOSE($G$1,"","","","",2,3))</f>
        <v/>
      </c>
      <c r="G62" s="296" t="str">
        <f ca="1">IF($G$1=0,"",CHOOSE($G$1,"","","","",5,4))</f>
        <v/>
      </c>
      <c r="H62" s="296"/>
      <c r="I62" s="296"/>
      <c r="J62" s="297" t="str">
        <f ca="1">IF($G$1=0,"",CHOOSE($G$1,"","","","",3,2))</f>
        <v/>
      </c>
      <c r="K62" s="296" t="str">
        <f ca="1">IF($G$1=0,"",CHOOSE($G$1,"","","","",4,5))</f>
        <v/>
      </c>
      <c r="L62" s="296"/>
      <c r="M62" s="296"/>
      <c r="N62" s="297" t="str">
        <f ca="1">IF($G$1=0,"",CHOOSE($G$1,"","","","","",1))</f>
        <v/>
      </c>
      <c r="O62" s="296" t="str">
        <f ca="1">IF($G$1=0,"",CHOOSE($G$1,"","","","","",6))</f>
        <v/>
      </c>
      <c r="P62" s="279"/>
      <c r="Q62" s="279"/>
      <c r="R62" s="279"/>
      <c r="S62" s="279"/>
      <c r="T62" s="279"/>
      <c r="U62" s="279"/>
      <c r="V62" s="279"/>
      <c r="W62" s="279"/>
      <c r="X62" s="279"/>
      <c r="Y62" s="279"/>
      <c r="Z62" s="279"/>
      <c r="AA62" s="279"/>
      <c r="AB62" s="279"/>
      <c r="AC62" s="279"/>
    </row>
    <row r="63" spans="1:64">
      <c r="A63" s="279"/>
      <c r="B63" s="279"/>
      <c r="C63" s="298"/>
      <c r="D63" s="279"/>
      <c r="E63" s="279"/>
      <c r="F63" s="279"/>
      <c r="G63" s="279"/>
      <c r="H63" s="279"/>
      <c r="I63" s="279"/>
      <c r="J63" s="279"/>
      <c r="K63" s="279"/>
      <c r="L63" s="279"/>
      <c r="M63" s="279"/>
      <c r="N63" s="279"/>
      <c r="O63" s="298"/>
      <c r="P63" s="298"/>
      <c r="Q63" s="298"/>
      <c r="R63" s="279"/>
      <c r="S63" s="298"/>
      <c r="T63" s="279"/>
      <c r="U63" s="279"/>
      <c r="V63" s="279"/>
      <c r="W63" s="279"/>
      <c r="X63" s="279"/>
      <c r="Y63" s="279"/>
      <c r="Z63" s="279"/>
      <c r="AA63" s="279"/>
      <c r="AB63" s="279"/>
      <c r="AC63" s="279"/>
      <c r="AD63" s="279"/>
    </row>
  </sheetData>
  <sheetProtection password="CA1B" sheet="1" formatCells="0" formatColumns="0" formatRows="0"/>
  <mergeCells count="6">
    <mergeCell ref="X4:AA4"/>
    <mergeCell ref="F4:G4"/>
    <mergeCell ref="H4:K4"/>
    <mergeCell ref="L4:O4"/>
    <mergeCell ref="P4:S4"/>
    <mergeCell ref="T4:W4"/>
  </mergeCells>
  <conditionalFormatting sqref="V11:W11 J8:K11 N9:O11 R10:S11 F7:G11">
    <cfRule type="cellIs" dxfId="180" priority="2" operator="equal">
      <formula>0</formula>
    </cfRule>
  </conditionalFormatting>
  <conditionalFormatting sqref="J6:K6 N6:O7 R6:S8 V6:W9 Z6:AA10">
    <cfRule type="cellIs" dxfId="179" priority="3" operator="equal">
      <formula>0</formula>
    </cfRule>
  </conditionalFormatting>
  <conditionalFormatting sqref="B6:B11">
    <cfRule type="expression" dxfId="178" priority="4">
      <formula>IF(C6=1,1,0)</formula>
    </cfRule>
    <cfRule type="expression" dxfId="177" priority="5">
      <formula>IF(C6=2,1,0)</formula>
    </cfRule>
  </conditionalFormatting>
  <pageMargins left="0.62986111111111098" right="0.12986111111111101" top="0.67013888888888895" bottom="0.49027777777777798" header="0.29027777777777802" footer="0.51180555555555496"/>
  <pageSetup paperSize="9" firstPageNumber="0" orientation="landscape" horizontalDpi="300" verticalDpi="300"/>
  <headerFooter>
    <oddHeader>&amp;LČAPEK - Česká asociace pétanque klubů&amp;C&amp;F&amp;R&amp;D   &amp;T</oddHeader>
  </headerFooter>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v>
      </c>
      <c r="B1" s="188" t="s">
        <v>1655</v>
      </c>
      <c r="C1" s="299" t="s">
        <v>1692</v>
      </c>
      <c r="D1" s="161"/>
      <c r="E1" s="161"/>
      <c r="F1" s="190" t="s">
        <v>1589</v>
      </c>
      <c r="G1" s="191">
        <f ca="1">$AV$12</f>
        <v>4</v>
      </c>
      <c r="H1" s="192" t="s">
        <v>1657</v>
      </c>
      <c r="I1" s="161"/>
      <c r="J1" s="161"/>
      <c r="K1" s="161"/>
      <c r="L1" s="161"/>
      <c r="M1" s="161"/>
      <c r="N1" s="161"/>
      <c r="O1" s="161"/>
      <c r="P1" s="193" t="s">
        <v>1658</v>
      </c>
      <c r="Q1" s="194"/>
      <c r="R1" s="195">
        <f ca="1">INDIRECT(ADDRESS(4,A1,1,1,"Hřiště"))</f>
        <v>1</v>
      </c>
      <c r="S1" s="195">
        <f ca="1">INDIRECT(ADDRESS(5,A1,1,1,"Hřiště"))</f>
        <v>2</v>
      </c>
      <c r="T1" s="195"/>
      <c r="U1" s="161"/>
      <c r="V1" s="161"/>
      <c r="W1" s="161"/>
      <c r="X1" s="161"/>
      <c r="Y1" s="161"/>
      <c r="Z1" s="190" t="s">
        <v>1659</v>
      </c>
      <c r="AA1" s="191">
        <f ca="1">IF(G1=0,0,CHOOSE(G1,0,1,1,2,2,3))</f>
        <v>2</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SKP Kulová osma - Chmelař Ivo</v>
      </c>
      <c r="C6" s="225" t="str">
        <f t="shared" ref="C6:C11" si="0">IF(CB6=0,"",CB6)</f>
        <v/>
      </c>
      <c r="D6" s="226"/>
      <c r="E6" s="227"/>
      <c r="F6" s="228"/>
      <c r="G6" s="229"/>
      <c r="H6" s="300">
        <f ca="1">IF(TYPE(VLOOKUP(VALUE(CONCATENATE(TEXT($G$1,"0"),TEXT($A6,"0"),TEXT(K$3,"0"))),RozpisKK!$AA$3:$AD$76,3,0))&gt;3,"",VLOOKUP(VALUE(CONCATENATE(TEXT($G$1,"0"),TEXT($A6,"0"),TEXT(K$3,"0"))),RozpisKK!$AA$3:$AD$76,3,0))</f>
        <v>3</v>
      </c>
      <c r="I6" s="301">
        <f ca="1">IF(TYPE(VLOOKUP(VALUE(CONCATENATE(TEXT($G$1,"0"),TEXT($A6,"0"),TEXT(K$3,"0"))),RozpisKK!$AA$3:$AD$76,3,0))&gt;3,"",VLOOKUP(VALUE(CONCATENATE(TEXT($G$1,"0"),TEXT($A6,"0"),TEXT(K$3,"0"))),RozpisKK!$AA$3:$AD$76,4,0)+$R$1-1)</f>
        <v>1</v>
      </c>
      <c r="J6" s="302">
        <f>$G$7</f>
        <v>0</v>
      </c>
      <c r="K6" s="303">
        <f>$F$7</f>
        <v>0</v>
      </c>
      <c r="L6" s="300">
        <f ca="1">IF(TYPE(VLOOKUP(VALUE(CONCATENATE(TEXT($G$1,"0"),TEXT($A6,"0"),TEXT(O$3,"0"))),RozpisKK!$AA$3:$AD$76,3,0))&gt;3,"",VLOOKUP(VALUE(CONCATENATE(TEXT($G$1,"0"),TEXT($A6,"0"),TEXT(O$3,"0"))),RozpisKK!$AA$3:$AD$76,3,0))</f>
        <v>2</v>
      </c>
      <c r="M6" s="301">
        <f ca="1">IF(TYPE(VLOOKUP(VALUE(CONCATENATE(TEXT($G$1,"0"),TEXT($A6,"0"),TEXT(O$3,"0"))),RozpisKK!$AA$3:$AD$76,3,0))&gt;3,"",VLOOKUP(VALUE(CONCATENATE(TEXT($G$1,"0"),TEXT($A6,"0"),TEXT(O$3,"0"))),RozpisKK!$AA$3:$AD$76,4,0)+$R$1-1)</f>
        <v>1</v>
      </c>
      <c r="N6" s="302">
        <f>$G$8</f>
        <v>0</v>
      </c>
      <c r="O6" s="303">
        <f>$F$8</f>
        <v>0</v>
      </c>
      <c r="P6" s="300">
        <f ca="1">IF(TYPE(VLOOKUP(VALUE(CONCATENATE(TEXT($G$1,"0"),TEXT($A6,"0"),TEXT(S$3,"0"))),RozpisKK!$AA$3:$AD$76,3,0))&gt;3,"",VLOOKUP(VALUE(CONCATENATE(TEXT($G$1,"0"),TEXT($A6,"0"),TEXT(S$3,"0"))),RozpisKK!$AA$3:$AD$76,3,0))</f>
        <v>1</v>
      </c>
      <c r="Q6" s="301">
        <f ca="1">IF(TYPE(VLOOKUP(VALUE(CONCATENATE(TEXT($G$1,"0"),TEXT($A6,"0"),TEXT(S$3,"0"))),RozpisKK!$AA$3:$AD$76,3,0))&gt;3,"",VLOOKUP(VALUE(CONCATENATE(TEXT($G$1,"0"),TEXT($A6,"0"),TEXT(S$3,"0"))),RozpisKK!$AA$3:$AD$76,4,0)+$R$1-1)</f>
        <v>1</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1</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PAK Albrechtice - Bukovčík Jan</v>
      </c>
      <c r="C7" s="246" t="str">
        <f t="shared" si="0"/>
        <v/>
      </c>
      <c r="D7" s="247">
        <f ca="1">IF(TYPE(VLOOKUP(VALUE(CONCATENATE(TEXT($G$1,"0"),TEXT($A7,"0"),TEXT(G$3,"0"))),RozpisKK!$AA$3:$AD$76,3,0))&gt;3,"",VLOOKUP(VALUE(CONCATENATE(TEXT($G$1,"0"),TEXT($A7,"0"),TEXT(G$3,"0"))),RozpisKK!$AA$3:$AD$76,3,0))</f>
        <v>3</v>
      </c>
      <c r="E7" s="248">
        <f ca="1">IF(TYPE(VLOOKUP(VALUE(CONCATENATE(TEXT($G$1,"0"),TEXT($A7,"0"),TEXT(G$3,"0"))),RozpisKK!$AA$3:$AD$76,3,0))&gt;3,"",VLOOKUP(VALUE(CONCATENATE(TEXT($G$1,"0"),TEXT($A7,"0"),TEXT(G$3,"0"))),RozpisKK!$AA$3:$AD$76,4,0)+$R$1-1)</f>
        <v>1</v>
      </c>
      <c r="F7" s="249"/>
      <c r="G7" s="250"/>
      <c r="H7" s="251"/>
      <c r="I7" s="252"/>
      <c r="J7" s="253"/>
      <c r="K7" s="254"/>
      <c r="L7" s="304">
        <f ca="1">IF(TYPE(VLOOKUP(VALUE(CONCATENATE(TEXT($G$1,"0"),TEXT($A7,"0"),TEXT(O$3,"0"))),RozpisKK!$AA$3:$AD$76,3,0))&gt;3,"",VLOOKUP(VALUE(CONCATENATE(TEXT($G$1,"0"),TEXT($A7,"0"),TEXT(O$3,"0"))),RozpisKK!$AA$3:$AD$76,3,0))</f>
        <v>1</v>
      </c>
      <c r="M7" s="305">
        <f ca="1">IF(TYPE(VLOOKUP(VALUE(CONCATENATE(TEXT($G$1,"0"),TEXT($A7,"0"),TEXT(O$3,"0"))),RozpisKK!$AA$3:$AD$76,3,0))&gt;3,"",VLOOKUP(VALUE(CONCATENATE(TEXT($G$1,"0"),TEXT($A7,"0"),TEXT(O$3,"0"))),RozpisKK!$AA$3:$AD$76,4,0)+$R$1-1)</f>
        <v>2</v>
      </c>
      <c r="N7" s="306">
        <f>$K$8</f>
        <v>0</v>
      </c>
      <c r="O7" s="303">
        <f>$J$8</f>
        <v>0</v>
      </c>
      <c r="P7" s="304">
        <f ca="1">IF(TYPE(VLOOKUP(VALUE(CONCATENATE(TEXT($G$1,"0"),TEXT($A7,"0"),TEXT(S$3,"0"))),RozpisKK!$AA$3:$AD$76,3,0))&gt;3,"",VLOOKUP(VALUE(CONCATENATE(TEXT($G$1,"0"),TEXT($A7,"0"),TEXT(S$3,"0"))),RozpisKK!$AA$3:$AD$76,3,0))</f>
        <v>2</v>
      </c>
      <c r="Q7" s="305">
        <f ca="1">IF(TYPE(VLOOKUP(VALUE(CONCATENATE(TEXT($G$1,"0"),TEXT($A7,"0"),TEXT(S$3,"0"))),RozpisKK!$AA$3:$AD$76,3,0))&gt;3,"",VLOOKUP(VALUE(CONCATENATE(TEXT($G$1,"0"),TEXT($A7,"0"),TEXT(S$3,"0"))),RozpisKK!$AA$3:$AD$76,4,0)+$R$1-1)</f>
        <v>2</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1</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PK Sokol Medlánky - Bejšovec Petr</v>
      </c>
      <c r="C8" s="246" t="str">
        <f t="shared" si="0"/>
        <v/>
      </c>
      <c r="D8" s="247">
        <f ca="1">IF(TYPE(VLOOKUP(VALUE(CONCATENATE(TEXT($G$1,"0"),TEXT($A8,"0"),TEXT(G$3,"0"))),RozpisKK!$AA$3:$AD$76,3,0))&gt;3,"",VLOOKUP(VALUE(CONCATENATE(TEXT($G$1,"0"),TEXT($A8,"0"),TEXT(G$3,"0"))),RozpisKK!$AA$3:$AD$76,3,0))</f>
        <v>2</v>
      </c>
      <c r="E8" s="248">
        <f ca="1">IF(TYPE(VLOOKUP(VALUE(CONCATENATE(TEXT($G$1,"0"),TEXT($A8,"0"),TEXT(G$3,"0"))),RozpisKK!$AA$3:$AD$76,3,0))&gt;3,"",VLOOKUP(VALUE(CONCATENATE(TEXT($G$1,"0"),TEXT($A8,"0"),TEXT(G$3,"0"))),RozpisKK!$AA$3:$AD$76,4,0)+$R$1-1)</f>
        <v>1</v>
      </c>
      <c r="F8" s="249"/>
      <c r="G8" s="250"/>
      <c r="H8" s="263">
        <f ca="1">IF(TYPE(VLOOKUP(VALUE(CONCATENATE(TEXT($G$1,"0"),TEXT($A8,"0"),TEXT(K$3,"0"))),RozpisKK!$AA$3:$AD$76,3,0))&gt;3,"",VLOOKUP(VALUE(CONCATENATE(TEXT($G$1,"0"),TEXT($A8,"0"),TEXT(K$3,"0"))),RozpisKK!$AA$3:$AD$76,3,0))</f>
        <v>1</v>
      </c>
      <c r="I8" s="264">
        <f ca="1">IF(TYPE(VLOOKUP(VALUE(CONCATENATE(TEXT($G$1,"0"),TEXT($A8,"0"),TEXT(K$3,"0"))),RozpisKK!$AA$3:$AD$76,3,0))&gt;3,"",VLOOKUP(VALUE(CONCATENATE(TEXT($G$1,"0"),TEXT($A8,"0"),TEXT(K$3,"0"))),RozpisKK!$AA$3:$AD$76,4,0)+$R$1-1)</f>
        <v>2</v>
      </c>
      <c r="J8" s="249"/>
      <c r="K8" s="250"/>
      <c r="L8" s="251"/>
      <c r="M8" s="252"/>
      <c r="N8" s="253"/>
      <c r="O8" s="254"/>
      <c r="P8" s="304">
        <f ca="1">IF(TYPE(VLOOKUP(VALUE(CONCATENATE(TEXT($G$1,"0"),TEXT($A8,"0"),TEXT(S$3,"0"))),RozpisKK!$AA$3:$AD$76,3,0))&gt;3,"",VLOOKUP(VALUE(CONCATENATE(TEXT($G$1,"0"),TEXT($A8,"0"),TEXT(S$3,"0"))),RozpisKK!$AA$3:$AD$76,3,0))</f>
        <v>3</v>
      </c>
      <c r="Q8" s="305">
        <f ca="1">IF(TYPE(VLOOKUP(VALUE(CONCATENATE(TEXT($G$1,"0"),TEXT($A8,"0"),TEXT(S$3,"0"))),RozpisKK!$AA$3:$AD$76,3,0))&gt;3,"",VLOOKUP(VALUE(CONCATENATE(TEXT($G$1,"0"),TEXT($A8,"0"),TEXT(S$3,"0"))),RozpisKK!$AA$3:$AD$76,4,0)+$R$1-1)</f>
        <v>2</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1</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PK Polouvsí - Vrzal Radomír</v>
      </c>
      <c r="C9" s="246" t="str">
        <f t="shared" si="0"/>
        <v/>
      </c>
      <c r="D9" s="247">
        <f ca="1">IF(TYPE(VLOOKUP(VALUE(CONCATENATE(TEXT($G$1,"0"),TEXT($A9,"0"),TEXT(G$3,"0"))),RozpisKK!$AA$3:$AD$76,3,0))&gt;3,"",VLOOKUP(VALUE(CONCATENATE(TEXT($G$1,"0"),TEXT($A9,"0"),TEXT(G$3,"0"))),RozpisKK!$AA$3:$AD$76,3,0))</f>
        <v>1</v>
      </c>
      <c r="E9" s="248">
        <f ca="1">IF(TYPE(VLOOKUP(VALUE(CONCATENATE(TEXT($G$1,"0"),TEXT($A9,"0"),TEXT(G$3,"0"))),RozpisKK!$AA$3:$AD$76,3,0))&gt;3,"",VLOOKUP(VALUE(CONCATENATE(TEXT($G$1,"0"),TEXT($A9,"0"),TEXT(G$3,"0"))),RozpisKK!$AA$3:$AD$76,4,0)+$R$1-1)</f>
        <v>1</v>
      </c>
      <c r="F9" s="249"/>
      <c r="G9" s="250"/>
      <c r="H9" s="263">
        <f ca="1">IF(TYPE(VLOOKUP(VALUE(CONCATENATE(TEXT($G$1,"0"),TEXT($A9,"0"),TEXT(K$3,"0"))),RozpisKK!$AA$3:$AD$76,3,0))&gt;3,"",VLOOKUP(VALUE(CONCATENATE(TEXT($G$1,"0"),TEXT($A9,"0"),TEXT(K$3,"0"))),RozpisKK!$AA$3:$AD$76,3,0))</f>
        <v>2</v>
      </c>
      <c r="I9" s="264">
        <f ca="1">IF(TYPE(VLOOKUP(VALUE(CONCATENATE(TEXT($G$1,"0"),TEXT($A9,"0"),TEXT(K$3,"0"))),RozpisKK!$AA$3:$AD$76,3,0))&gt;3,"",VLOOKUP(VALUE(CONCATENATE(TEXT($G$1,"0"),TEXT($A9,"0"),TEXT(K$3,"0"))),RozpisKK!$AA$3:$AD$76,4,0)+$R$1-1)</f>
        <v>2</v>
      </c>
      <c r="J9" s="249"/>
      <c r="K9" s="250"/>
      <c r="L9" s="263">
        <f ca="1">IF(TYPE(VLOOKUP(VALUE(CONCATENATE(TEXT($G$1,"0"),TEXT($A9,"0"),TEXT(O$3,"0"))),RozpisKK!$AA$3:$AD$76,3,0))&gt;3,"",VLOOKUP(VALUE(CONCATENATE(TEXT($G$1,"0"),TEXT($A9,"0"),TEXT(O$3,"0"))),RozpisKK!$AA$3:$AD$76,3,0))</f>
        <v>3</v>
      </c>
      <c r="M9" s="264">
        <f ca="1">IF(TYPE(VLOOKUP(VALUE(CONCATENATE(TEXT($G$1,"0"),TEXT($A9,"0"),TEXT(O$3,"0"))),RozpisKK!$AA$3:$AD$76,3,0))&gt;3,"",VLOOKUP(VALUE(CONCATENATE(TEXT($G$1,"0"),TEXT($A9,"0"),TEXT(O$3,"0"))),RozpisKK!$AA$3:$AD$76,4,0)+$R$1-1)</f>
        <v>2</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1</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4</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A1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A2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A3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A4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V11:W11 J8:K11 N9:O11 R10:S11 F7:G11">
    <cfRule type="cellIs" dxfId="176" priority="2" operator="equal">
      <formula>0</formula>
    </cfRule>
  </conditionalFormatting>
  <conditionalFormatting sqref="J6:K6 N6:O7 R6:S8 V6:W9 Z6:AA10">
    <cfRule type="cellIs" dxfId="175" priority="3" operator="equal">
      <formula>0</formula>
    </cfRule>
  </conditionalFormatting>
  <conditionalFormatting sqref="B6:B11">
    <cfRule type="expression" dxfId="174" priority="4">
      <formula>IF(C6=1,1,0)</formula>
    </cfRule>
    <cfRule type="expression" dxfId="173" priority="5">
      <formula>IF(C6=2,1,0)</formula>
    </cfRule>
  </conditionalFormatting>
  <printOptions horizontalCentered="1"/>
  <pageMargins left="0.78749999999999998" right="0.78749999999999998" top="1.1812499999999999" bottom="0.98402777777777795" header="0.59027777777777801" footer="0.51180555555555496"/>
  <pageSetup paperSize="9" firstPageNumber="0" orientation="landscape" horizontalDpi="300" verticalDpi="300"/>
  <headerFooter>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v>
      </c>
      <c r="B1" s="188" t="s">
        <v>1655</v>
      </c>
      <c r="C1" s="299" t="s">
        <v>1693</v>
      </c>
      <c r="D1" s="161"/>
      <c r="E1" s="161"/>
      <c r="F1" s="190" t="s">
        <v>1589</v>
      </c>
      <c r="G1" s="191">
        <f ca="1">$AV$12</f>
        <v>4</v>
      </c>
      <c r="H1" s="192" t="s">
        <v>1657</v>
      </c>
      <c r="I1" s="161"/>
      <c r="J1" s="161"/>
      <c r="K1" s="161"/>
      <c r="L1" s="161"/>
      <c r="M1" s="161"/>
      <c r="N1" s="161"/>
      <c r="O1" s="161"/>
      <c r="P1" s="193" t="s">
        <v>1658</v>
      </c>
      <c r="Q1" s="194"/>
      <c r="R1" s="195">
        <f ca="1">INDIRECT(ADDRESS(4,A1,1,1,"Hřiště"))</f>
        <v>3</v>
      </c>
      <c r="S1" s="195">
        <f ca="1">INDIRECT(ADDRESS(5,A1,1,1,"Hřiště"))</f>
        <v>4</v>
      </c>
      <c r="T1" s="195"/>
      <c r="U1" s="161"/>
      <c r="V1" s="161"/>
      <c r="W1" s="161"/>
      <c r="X1" s="161"/>
      <c r="Y1" s="161"/>
      <c r="Z1" s="190" t="s">
        <v>1659</v>
      </c>
      <c r="AA1" s="191">
        <f ca="1">IF(G1=0,0,CHOOSE(G1,0,1,1,2,2,3))</f>
        <v>2</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HAPEK - Bureš Pavel st.</v>
      </c>
      <c r="C6" s="225" t="str">
        <f t="shared" ref="C6:C11" si="0">IF(CB6=0,"",CB6)</f>
        <v/>
      </c>
      <c r="D6" s="226"/>
      <c r="E6" s="227"/>
      <c r="F6" s="228"/>
      <c r="G6" s="229"/>
      <c r="H6" s="300">
        <f ca="1">IF(TYPE(VLOOKUP(VALUE(CONCATENATE(TEXT($G$1,"0"),TEXT($A6,"0"),TEXT(K$3,"0"))),RozpisKK!$AA$3:$AD$76,3,0))&gt;3,"",VLOOKUP(VALUE(CONCATENATE(TEXT($G$1,"0"),TEXT($A6,"0"),TEXT(K$3,"0"))),RozpisKK!$AA$3:$AD$76,3,0))</f>
        <v>3</v>
      </c>
      <c r="I6" s="301">
        <f ca="1">IF(TYPE(VLOOKUP(VALUE(CONCATENATE(TEXT($G$1,"0"),TEXT($A6,"0"),TEXT(K$3,"0"))),RozpisKK!$AA$3:$AD$76,3,0))&gt;3,"",VLOOKUP(VALUE(CONCATENATE(TEXT($G$1,"0"),TEXT($A6,"0"),TEXT(K$3,"0"))),RozpisKK!$AA$3:$AD$76,4,0)+$R$1-1)</f>
        <v>3</v>
      </c>
      <c r="J6" s="302">
        <f>$G$7</f>
        <v>0</v>
      </c>
      <c r="K6" s="303">
        <f>$F$7</f>
        <v>0</v>
      </c>
      <c r="L6" s="300">
        <f ca="1">IF(TYPE(VLOOKUP(VALUE(CONCATENATE(TEXT($G$1,"0"),TEXT($A6,"0"),TEXT(O$3,"0"))),RozpisKK!$AA$3:$AD$76,3,0))&gt;3,"",VLOOKUP(VALUE(CONCATENATE(TEXT($G$1,"0"),TEXT($A6,"0"),TEXT(O$3,"0"))),RozpisKK!$AA$3:$AD$76,3,0))</f>
        <v>2</v>
      </c>
      <c r="M6" s="301">
        <f ca="1">IF(TYPE(VLOOKUP(VALUE(CONCATENATE(TEXT($G$1,"0"),TEXT($A6,"0"),TEXT(O$3,"0"))),RozpisKK!$AA$3:$AD$76,3,0))&gt;3,"",VLOOKUP(VALUE(CONCATENATE(TEXT($G$1,"0"),TEXT($A6,"0"),TEXT(O$3,"0"))),RozpisKK!$AA$3:$AD$76,4,0)+$R$1-1)</f>
        <v>3</v>
      </c>
      <c r="N6" s="302">
        <f>$G$8</f>
        <v>0</v>
      </c>
      <c r="O6" s="303">
        <f>$F$8</f>
        <v>0</v>
      </c>
      <c r="P6" s="300">
        <f ca="1">IF(TYPE(VLOOKUP(VALUE(CONCATENATE(TEXT($G$1,"0"),TEXT($A6,"0"),TEXT(S$3,"0"))),RozpisKK!$AA$3:$AD$76,3,0))&gt;3,"",VLOOKUP(VALUE(CONCATENATE(TEXT($G$1,"0"),TEXT($A6,"0"),TEXT(S$3,"0"))),RozpisKK!$AA$3:$AD$76,3,0))</f>
        <v>1</v>
      </c>
      <c r="Q6" s="301">
        <f ca="1">IF(TYPE(VLOOKUP(VALUE(CONCATENATE(TEXT($G$1,"0"),TEXT($A6,"0"),TEXT(S$3,"0"))),RozpisKK!$AA$3:$AD$76,3,0))&gt;3,"",VLOOKUP(VALUE(CONCATENATE(TEXT($G$1,"0"),TEXT($A6,"0"),TEXT(S$3,"0"))),RozpisKK!$AA$3:$AD$76,4,0)+$R$1-1)</f>
        <v>3</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1</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SKP Kulová osma - Sjögren Magda</v>
      </c>
      <c r="C7" s="246" t="str">
        <f t="shared" si="0"/>
        <v/>
      </c>
      <c r="D7" s="247">
        <f ca="1">IF(TYPE(VLOOKUP(VALUE(CONCATENATE(TEXT($G$1,"0"),TEXT($A7,"0"),TEXT(G$3,"0"))),RozpisKK!$AA$3:$AD$76,3,0))&gt;3,"",VLOOKUP(VALUE(CONCATENATE(TEXT($G$1,"0"),TEXT($A7,"0"),TEXT(G$3,"0"))),RozpisKK!$AA$3:$AD$76,3,0))</f>
        <v>3</v>
      </c>
      <c r="E7" s="248">
        <f ca="1">IF(TYPE(VLOOKUP(VALUE(CONCATENATE(TEXT($G$1,"0"),TEXT($A7,"0"),TEXT(G$3,"0"))),RozpisKK!$AA$3:$AD$76,3,0))&gt;3,"",VLOOKUP(VALUE(CONCATENATE(TEXT($G$1,"0"),TEXT($A7,"0"),TEXT(G$3,"0"))),RozpisKK!$AA$3:$AD$76,4,0)+$R$1-1)</f>
        <v>3</v>
      </c>
      <c r="F7" s="249"/>
      <c r="G7" s="250"/>
      <c r="H7" s="251"/>
      <c r="I7" s="252"/>
      <c r="J7" s="253"/>
      <c r="K7" s="254"/>
      <c r="L7" s="304">
        <f ca="1">IF(TYPE(VLOOKUP(VALUE(CONCATENATE(TEXT($G$1,"0"),TEXT($A7,"0"),TEXT(O$3,"0"))),RozpisKK!$AA$3:$AD$76,3,0))&gt;3,"",VLOOKUP(VALUE(CONCATENATE(TEXT($G$1,"0"),TEXT($A7,"0"),TEXT(O$3,"0"))),RozpisKK!$AA$3:$AD$76,3,0))</f>
        <v>1</v>
      </c>
      <c r="M7" s="305">
        <f ca="1">IF(TYPE(VLOOKUP(VALUE(CONCATENATE(TEXT($G$1,"0"),TEXT($A7,"0"),TEXT(O$3,"0"))),RozpisKK!$AA$3:$AD$76,3,0))&gt;3,"",VLOOKUP(VALUE(CONCATENATE(TEXT($G$1,"0"),TEXT($A7,"0"),TEXT(O$3,"0"))),RozpisKK!$AA$3:$AD$76,4,0)+$R$1-1)</f>
        <v>4</v>
      </c>
      <c r="N7" s="306">
        <f>$K$8</f>
        <v>0</v>
      </c>
      <c r="O7" s="303">
        <f>$J$8</f>
        <v>0</v>
      </c>
      <c r="P7" s="304">
        <f ca="1">IF(TYPE(VLOOKUP(VALUE(CONCATENATE(TEXT($G$1,"0"),TEXT($A7,"0"),TEXT(S$3,"0"))),RozpisKK!$AA$3:$AD$76,3,0))&gt;3,"",VLOOKUP(VALUE(CONCATENATE(TEXT($G$1,"0"),TEXT($A7,"0"),TEXT(S$3,"0"))),RozpisKK!$AA$3:$AD$76,3,0))</f>
        <v>2</v>
      </c>
      <c r="Q7" s="305">
        <f ca="1">IF(TYPE(VLOOKUP(VALUE(CONCATENATE(TEXT($G$1,"0"),TEXT($A7,"0"),TEXT(S$3,"0"))),RozpisKK!$AA$3:$AD$76,3,0))&gt;3,"",VLOOKUP(VALUE(CONCATENATE(TEXT($G$1,"0"),TEXT($A7,"0"),TEXT(S$3,"0"))),RozpisKK!$AA$3:$AD$76,4,0)+$R$1-1)</f>
        <v>4</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1</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1. Starobrněnský PK - Ilgner Vladimír</v>
      </c>
      <c r="C8" s="246" t="str">
        <f t="shared" si="0"/>
        <v/>
      </c>
      <c r="D8" s="247">
        <f ca="1">IF(TYPE(VLOOKUP(VALUE(CONCATENATE(TEXT($G$1,"0"),TEXT($A8,"0"),TEXT(G$3,"0"))),RozpisKK!$AA$3:$AD$76,3,0))&gt;3,"",VLOOKUP(VALUE(CONCATENATE(TEXT($G$1,"0"),TEXT($A8,"0"),TEXT(G$3,"0"))),RozpisKK!$AA$3:$AD$76,3,0))</f>
        <v>2</v>
      </c>
      <c r="E8" s="248">
        <f ca="1">IF(TYPE(VLOOKUP(VALUE(CONCATENATE(TEXT($G$1,"0"),TEXT($A8,"0"),TEXT(G$3,"0"))),RozpisKK!$AA$3:$AD$76,3,0))&gt;3,"",VLOOKUP(VALUE(CONCATENATE(TEXT($G$1,"0"),TEXT($A8,"0"),TEXT(G$3,"0"))),RozpisKK!$AA$3:$AD$76,4,0)+$R$1-1)</f>
        <v>3</v>
      </c>
      <c r="F8" s="249"/>
      <c r="G8" s="250"/>
      <c r="H8" s="263">
        <f ca="1">IF(TYPE(VLOOKUP(VALUE(CONCATENATE(TEXT($G$1,"0"),TEXT($A8,"0"),TEXT(K$3,"0"))),RozpisKK!$AA$3:$AD$76,3,0))&gt;3,"",VLOOKUP(VALUE(CONCATENATE(TEXT($G$1,"0"),TEXT($A8,"0"),TEXT(K$3,"0"))),RozpisKK!$AA$3:$AD$76,3,0))</f>
        <v>1</v>
      </c>
      <c r="I8" s="264">
        <f ca="1">IF(TYPE(VLOOKUP(VALUE(CONCATENATE(TEXT($G$1,"0"),TEXT($A8,"0"),TEXT(K$3,"0"))),RozpisKK!$AA$3:$AD$76,3,0))&gt;3,"",VLOOKUP(VALUE(CONCATENATE(TEXT($G$1,"0"),TEXT($A8,"0"),TEXT(K$3,"0"))),RozpisKK!$AA$3:$AD$76,4,0)+$R$1-1)</f>
        <v>4</v>
      </c>
      <c r="J8" s="249"/>
      <c r="K8" s="250"/>
      <c r="L8" s="251"/>
      <c r="M8" s="252"/>
      <c r="N8" s="253"/>
      <c r="O8" s="254"/>
      <c r="P8" s="304">
        <f ca="1">IF(TYPE(VLOOKUP(VALUE(CONCATENATE(TEXT($G$1,"0"),TEXT($A8,"0"),TEXT(S$3,"0"))),RozpisKK!$AA$3:$AD$76,3,0))&gt;3,"",VLOOKUP(VALUE(CONCATENATE(TEXT($G$1,"0"),TEXT($A8,"0"),TEXT(S$3,"0"))),RozpisKK!$AA$3:$AD$76,3,0))</f>
        <v>3</v>
      </c>
      <c r="Q8" s="305">
        <f ca="1">IF(TYPE(VLOOKUP(VALUE(CONCATENATE(TEXT($G$1,"0"),TEXT($A8,"0"),TEXT(S$3,"0"))),RozpisKK!$AA$3:$AD$76,3,0))&gt;3,"",VLOOKUP(VALUE(CONCATENATE(TEXT($G$1,"0"),TEXT($A8,"0"),TEXT(S$3,"0"))),RozpisKK!$AA$3:$AD$76,4,0)+$R$1-1)</f>
        <v>4</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1</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SKP Hranice VI-Valšovice - Suková Eva</v>
      </c>
      <c r="C9" s="246" t="str">
        <f t="shared" si="0"/>
        <v/>
      </c>
      <c r="D9" s="247">
        <f ca="1">IF(TYPE(VLOOKUP(VALUE(CONCATENATE(TEXT($G$1,"0"),TEXT($A9,"0"),TEXT(G$3,"0"))),RozpisKK!$AA$3:$AD$76,3,0))&gt;3,"",VLOOKUP(VALUE(CONCATENATE(TEXT($G$1,"0"),TEXT($A9,"0"),TEXT(G$3,"0"))),RozpisKK!$AA$3:$AD$76,3,0))</f>
        <v>1</v>
      </c>
      <c r="E9" s="248">
        <f ca="1">IF(TYPE(VLOOKUP(VALUE(CONCATENATE(TEXT($G$1,"0"),TEXT($A9,"0"),TEXT(G$3,"0"))),RozpisKK!$AA$3:$AD$76,3,0))&gt;3,"",VLOOKUP(VALUE(CONCATENATE(TEXT($G$1,"0"),TEXT($A9,"0"),TEXT(G$3,"0"))),RozpisKK!$AA$3:$AD$76,4,0)+$R$1-1)</f>
        <v>3</v>
      </c>
      <c r="F9" s="249"/>
      <c r="G9" s="250"/>
      <c r="H9" s="263">
        <f ca="1">IF(TYPE(VLOOKUP(VALUE(CONCATENATE(TEXT($G$1,"0"),TEXT($A9,"0"),TEXT(K$3,"0"))),RozpisKK!$AA$3:$AD$76,3,0))&gt;3,"",VLOOKUP(VALUE(CONCATENATE(TEXT($G$1,"0"),TEXT($A9,"0"),TEXT(K$3,"0"))),RozpisKK!$AA$3:$AD$76,3,0))</f>
        <v>2</v>
      </c>
      <c r="I9" s="264">
        <f ca="1">IF(TYPE(VLOOKUP(VALUE(CONCATENATE(TEXT($G$1,"0"),TEXT($A9,"0"),TEXT(K$3,"0"))),RozpisKK!$AA$3:$AD$76,3,0))&gt;3,"",VLOOKUP(VALUE(CONCATENATE(TEXT($G$1,"0"),TEXT($A9,"0"),TEXT(K$3,"0"))),RozpisKK!$AA$3:$AD$76,4,0)+$R$1-1)</f>
        <v>4</v>
      </c>
      <c r="J9" s="249"/>
      <c r="K9" s="250"/>
      <c r="L9" s="263">
        <f ca="1">IF(TYPE(VLOOKUP(VALUE(CONCATENATE(TEXT($G$1,"0"),TEXT($A9,"0"),TEXT(O$3,"0"))),RozpisKK!$AA$3:$AD$76,3,0))&gt;3,"",VLOOKUP(VALUE(CONCATENATE(TEXT($G$1,"0"),TEXT($A9,"0"),TEXT(O$3,"0"))),RozpisKK!$AA$3:$AD$76,3,0))</f>
        <v>3</v>
      </c>
      <c r="M9" s="264">
        <f ca="1">IF(TYPE(VLOOKUP(VALUE(CONCATENATE(TEXT($G$1,"0"),TEXT($A9,"0"),TEXT(O$3,"0"))),RozpisKK!$AA$3:$AD$76,3,0))&gt;3,"",VLOOKUP(VALUE(CONCATENATE(TEXT($G$1,"0"),TEXT($A9,"0"),TEXT(O$3,"0"))),RozpisKK!$AA$3:$AD$76,4,0)+$R$1-1)</f>
        <v>4</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1</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4</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B1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B2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B3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B4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72" priority="2" operator="equal">
      <formula>0</formula>
    </cfRule>
  </conditionalFormatting>
  <conditionalFormatting sqref="J6:K6 N6:O7 R6:S8 V6:W9 Z6:AA10">
    <cfRule type="cellIs" dxfId="171" priority="3" operator="equal">
      <formula>0</formula>
    </cfRule>
  </conditionalFormatting>
  <conditionalFormatting sqref="B6:B11">
    <cfRule type="expression" dxfId="170" priority="4">
      <formula>IF(C6=1,1,0)</formula>
    </cfRule>
    <cfRule type="expression" dxfId="169" priority="5">
      <formula>IF(C6=2,1,0)</formula>
    </cfRule>
  </conditionalFormatting>
  <printOptions horizontalCentered="1"/>
  <pageMargins left="0.78749999999999998" right="0.78749999999999998" top="1.1812499999999999" bottom="0.98402777777777795" header="0.59027777777777801" footer="0.51180555555555496"/>
  <pageSetup paperSize="9" firstPageNumber="0" orientation="landscape" horizontalDpi="300" verticalDpi="300"/>
  <headerFooter>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3</v>
      </c>
      <c r="B1" s="188" t="s">
        <v>1655</v>
      </c>
      <c r="C1" s="299" t="s">
        <v>1694</v>
      </c>
      <c r="D1" s="161"/>
      <c r="E1" s="161"/>
      <c r="F1" s="190" t="s">
        <v>1589</v>
      </c>
      <c r="G1" s="191">
        <f ca="1">$AV$12</f>
        <v>4</v>
      </c>
      <c r="H1" s="192" t="s">
        <v>1657</v>
      </c>
      <c r="I1" s="161"/>
      <c r="J1" s="161"/>
      <c r="K1" s="161"/>
      <c r="L1" s="161"/>
      <c r="M1" s="161"/>
      <c r="N1" s="161"/>
      <c r="O1" s="161"/>
      <c r="P1" s="193" t="s">
        <v>1658</v>
      </c>
      <c r="Q1" s="194"/>
      <c r="R1" s="195">
        <f ca="1">INDIRECT(ADDRESS(4,A1,1,1,"Hřiště"))</f>
        <v>5</v>
      </c>
      <c r="S1" s="195">
        <f ca="1">INDIRECT(ADDRESS(5,A1,1,1,"Hřiště"))</f>
        <v>6</v>
      </c>
      <c r="T1" s="195"/>
      <c r="U1" s="161"/>
      <c r="V1" s="161"/>
      <c r="W1" s="161"/>
      <c r="X1" s="161"/>
      <c r="Y1" s="161"/>
      <c r="Z1" s="190" t="s">
        <v>1659</v>
      </c>
      <c r="AA1" s="191">
        <f ca="1">IF(G1=0,0,CHOOSE(G1,0,1,1,2,2,3))</f>
        <v>2</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TOP - ORLOVÁ - Ulmann Jiří</v>
      </c>
      <c r="C6" s="225" t="str">
        <f t="shared" ref="C6:C11" si="0">IF(CB6=0,"",CB6)</f>
        <v/>
      </c>
      <c r="D6" s="226"/>
      <c r="E6" s="227"/>
      <c r="F6" s="228"/>
      <c r="G6" s="229"/>
      <c r="H6" s="300">
        <f ca="1">IF(TYPE(VLOOKUP(VALUE(CONCATENATE(TEXT($G$1,"0"),TEXT($A6,"0"),TEXT(K$3,"0"))),RozpisKK!$AA$3:$AD$76,3,0))&gt;3,"",VLOOKUP(VALUE(CONCATENATE(TEXT($G$1,"0"),TEXT($A6,"0"),TEXT(K$3,"0"))),RozpisKK!$AA$3:$AD$76,3,0))</f>
        <v>3</v>
      </c>
      <c r="I6" s="301">
        <f ca="1">IF(TYPE(VLOOKUP(VALUE(CONCATENATE(TEXT($G$1,"0"),TEXT($A6,"0"),TEXT(K$3,"0"))),RozpisKK!$AA$3:$AD$76,3,0))&gt;3,"",VLOOKUP(VALUE(CONCATENATE(TEXT($G$1,"0"),TEXT($A6,"0"),TEXT(K$3,"0"))),RozpisKK!$AA$3:$AD$76,4,0)+$R$1-1)</f>
        <v>5</v>
      </c>
      <c r="J6" s="302">
        <f>$G$7</f>
        <v>0</v>
      </c>
      <c r="K6" s="303">
        <f>$F$7</f>
        <v>0</v>
      </c>
      <c r="L6" s="300">
        <f ca="1">IF(TYPE(VLOOKUP(VALUE(CONCATENATE(TEXT($G$1,"0"),TEXT($A6,"0"),TEXT(O$3,"0"))),RozpisKK!$AA$3:$AD$76,3,0))&gt;3,"",VLOOKUP(VALUE(CONCATENATE(TEXT($G$1,"0"),TEXT($A6,"0"),TEXT(O$3,"0"))),RozpisKK!$AA$3:$AD$76,3,0))</f>
        <v>2</v>
      </c>
      <c r="M6" s="301">
        <f ca="1">IF(TYPE(VLOOKUP(VALUE(CONCATENATE(TEXT($G$1,"0"),TEXT($A6,"0"),TEXT(O$3,"0"))),RozpisKK!$AA$3:$AD$76,3,0))&gt;3,"",VLOOKUP(VALUE(CONCATENATE(TEXT($G$1,"0"),TEXT($A6,"0"),TEXT(O$3,"0"))),RozpisKK!$AA$3:$AD$76,4,0)+$R$1-1)</f>
        <v>5</v>
      </c>
      <c r="N6" s="302">
        <f>$G$8</f>
        <v>0</v>
      </c>
      <c r="O6" s="303">
        <f>$F$8</f>
        <v>0</v>
      </c>
      <c r="P6" s="300">
        <f ca="1">IF(TYPE(VLOOKUP(VALUE(CONCATENATE(TEXT($G$1,"0"),TEXT($A6,"0"),TEXT(S$3,"0"))),RozpisKK!$AA$3:$AD$76,3,0))&gt;3,"",VLOOKUP(VALUE(CONCATENATE(TEXT($G$1,"0"),TEXT($A6,"0"),TEXT(S$3,"0"))),RozpisKK!$AA$3:$AD$76,3,0))</f>
        <v>1</v>
      </c>
      <c r="Q6" s="301">
        <f ca="1">IF(TYPE(VLOOKUP(VALUE(CONCATENATE(TEXT($G$1,"0"),TEXT($A6,"0"),TEXT(S$3,"0"))),RozpisKK!$AA$3:$AD$76,3,0))&gt;3,"",VLOOKUP(VALUE(CONCATENATE(TEXT($G$1,"0"),TEXT($A6,"0"),TEXT(S$3,"0"))),RozpisKK!$AA$3:$AD$76,4,0)+$R$1-1)</f>
        <v>5</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1</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FENYX Adamov - Mrlina Karel</v>
      </c>
      <c r="C7" s="246" t="str">
        <f t="shared" si="0"/>
        <v/>
      </c>
      <c r="D7" s="247">
        <f ca="1">IF(TYPE(VLOOKUP(VALUE(CONCATENATE(TEXT($G$1,"0"),TEXT($A7,"0"),TEXT(G$3,"0"))),RozpisKK!$AA$3:$AD$76,3,0))&gt;3,"",VLOOKUP(VALUE(CONCATENATE(TEXT($G$1,"0"),TEXT($A7,"0"),TEXT(G$3,"0"))),RozpisKK!$AA$3:$AD$76,3,0))</f>
        <v>3</v>
      </c>
      <c r="E7" s="248">
        <f ca="1">IF(TYPE(VLOOKUP(VALUE(CONCATENATE(TEXT($G$1,"0"),TEXT($A7,"0"),TEXT(G$3,"0"))),RozpisKK!$AA$3:$AD$76,3,0))&gt;3,"",VLOOKUP(VALUE(CONCATENATE(TEXT($G$1,"0"),TEXT($A7,"0"),TEXT(G$3,"0"))),RozpisKK!$AA$3:$AD$76,4,0)+$R$1-1)</f>
        <v>5</v>
      </c>
      <c r="F7" s="249"/>
      <c r="G7" s="250"/>
      <c r="H7" s="251"/>
      <c r="I7" s="252"/>
      <c r="J7" s="253"/>
      <c r="K7" s="254"/>
      <c r="L7" s="304">
        <f ca="1">IF(TYPE(VLOOKUP(VALUE(CONCATENATE(TEXT($G$1,"0"),TEXT($A7,"0"),TEXT(O$3,"0"))),RozpisKK!$AA$3:$AD$76,3,0))&gt;3,"",VLOOKUP(VALUE(CONCATENATE(TEXT($G$1,"0"),TEXT($A7,"0"),TEXT(O$3,"0"))),RozpisKK!$AA$3:$AD$76,3,0))</f>
        <v>1</v>
      </c>
      <c r="M7" s="305">
        <f ca="1">IF(TYPE(VLOOKUP(VALUE(CONCATENATE(TEXT($G$1,"0"),TEXT($A7,"0"),TEXT(O$3,"0"))),RozpisKK!$AA$3:$AD$76,3,0))&gt;3,"",VLOOKUP(VALUE(CONCATENATE(TEXT($G$1,"0"),TEXT($A7,"0"),TEXT(O$3,"0"))),RozpisKK!$AA$3:$AD$76,4,0)+$R$1-1)</f>
        <v>6</v>
      </c>
      <c r="N7" s="306">
        <f>$K$8</f>
        <v>0</v>
      </c>
      <c r="O7" s="303">
        <f>$J$8</f>
        <v>0</v>
      </c>
      <c r="P7" s="304">
        <f ca="1">IF(TYPE(VLOOKUP(VALUE(CONCATENATE(TEXT($G$1,"0"),TEXT($A7,"0"),TEXT(S$3,"0"))),RozpisKK!$AA$3:$AD$76,3,0))&gt;3,"",VLOOKUP(VALUE(CONCATENATE(TEXT($G$1,"0"),TEXT($A7,"0"),TEXT(S$3,"0"))),RozpisKK!$AA$3:$AD$76,3,0))</f>
        <v>2</v>
      </c>
      <c r="Q7" s="305">
        <f ca="1">IF(TYPE(VLOOKUP(VALUE(CONCATENATE(TEXT($G$1,"0"),TEXT($A7,"0"),TEXT(S$3,"0"))),RozpisKK!$AA$3:$AD$76,3,0))&gt;3,"",VLOOKUP(VALUE(CONCATENATE(TEXT($G$1,"0"),TEXT($A7,"0"),TEXT(S$3,"0"))),RozpisKK!$AA$3:$AD$76,4,0)+$R$1-1)</f>
        <v>6</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1</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PK Polouvsí - Koudelka Josef</v>
      </c>
      <c r="C8" s="246" t="str">
        <f t="shared" si="0"/>
        <v/>
      </c>
      <c r="D8" s="247">
        <f ca="1">IF(TYPE(VLOOKUP(VALUE(CONCATENATE(TEXT($G$1,"0"),TEXT($A8,"0"),TEXT(G$3,"0"))),RozpisKK!$AA$3:$AD$76,3,0))&gt;3,"",VLOOKUP(VALUE(CONCATENATE(TEXT($G$1,"0"),TEXT($A8,"0"),TEXT(G$3,"0"))),RozpisKK!$AA$3:$AD$76,3,0))</f>
        <v>2</v>
      </c>
      <c r="E8" s="248">
        <f ca="1">IF(TYPE(VLOOKUP(VALUE(CONCATENATE(TEXT($G$1,"0"),TEXT($A8,"0"),TEXT(G$3,"0"))),RozpisKK!$AA$3:$AD$76,3,0))&gt;3,"",VLOOKUP(VALUE(CONCATENATE(TEXT($G$1,"0"),TEXT($A8,"0"),TEXT(G$3,"0"))),RozpisKK!$AA$3:$AD$76,4,0)+$R$1-1)</f>
        <v>5</v>
      </c>
      <c r="F8" s="249"/>
      <c r="G8" s="250"/>
      <c r="H8" s="263">
        <f ca="1">IF(TYPE(VLOOKUP(VALUE(CONCATENATE(TEXT($G$1,"0"),TEXT($A8,"0"),TEXT(K$3,"0"))),RozpisKK!$AA$3:$AD$76,3,0))&gt;3,"",VLOOKUP(VALUE(CONCATENATE(TEXT($G$1,"0"),TEXT($A8,"0"),TEXT(K$3,"0"))),RozpisKK!$AA$3:$AD$76,3,0))</f>
        <v>1</v>
      </c>
      <c r="I8" s="264">
        <f ca="1">IF(TYPE(VLOOKUP(VALUE(CONCATENATE(TEXT($G$1,"0"),TEXT($A8,"0"),TEXT(K$3,"0"))),RozpisKK!$AA$3:$AD$76,3,0))&gt;3,"",VLOOKUP(VALUE(CONCATENATE(TEXT($G$1,"0"),TEXT($A8,"0"),TEXT(K$3,"0"))),RozpisKK!$AA$3:$AD$76,4,0)+$R$1-1)</f>
        <v>6</v>
      </c>
      <c r="J8" s="249"/>
      <c r="K8" s="250"/>
      <c r="L8" s="251"/>
      <c r="M8" s="252"/>
      <c r="N8" s="253"/>
      <c r="O8" s="254"/>
      <c r="P8" s="304">
        <f ca="1">IF(TYPE(VLOOKUP(VALUE(CONCATENATE(TEXT($G$1,"0"),TEXT($A8,"0"),TEXT(S$3,"0"))),RozpisKK!$AA$3:$AD$76,3,0))&gt;3,"",VLOOKUP(VALUE(CONCATENATE(TEXT($G$1,"0"),TEXT($A8,"0"),TEXT(S$3,"0"))),RozpisKK!$AA$3:$AD$76,3,0))</f>
        <v>3</v>
      </c>
      <c r="Q8" s="305">
        <f ca="1">IF(TYPE(VLOOKUP(VALUE(CONCATENATE(TEXT($G$1,"0"),TEXT($A8,"0"),TEXT(S$3,"0"))),RozpisKK!$AA$3:$AD$76,3,0))&gt;3,"",VLOOKUP(VALUE(CONCATENATE(TEXT($G$1,"0"),TEXT($A8,"0"),TEXT(S$3,"0"))),RozpisKK!$AA$3:$AD$76,4,0)+$R$1-1)</f>
        <v>6</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1</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SKP Hranice VI-Valšovice - Suk Miroslav</v>
      </c>
      <c r="C9" s="246" t="str">
        <f t="shared" si="0"/>
        <v/>
      </c>
      <c r="D9" s="247">
        <f ca="1">IF(TYPE(VLOOKUP(VALUE(CONCATENATE(TEXT($G$1,"0"),TEXT($A9,"0"),TEXT(G$3,"0"))),RozpisKK!$AA$3:$AD$76,3,0))&gt;3,"",VLOOKUP(VALUE(CONCATENATE(TEXT($G$1,"0"),TEXT($A9,"0"),TEXT(G$3,"0"))),RozpisKK!$AA$3:$AD$76,3,0))</f>
        <v>1</v>
      </c>
      <c r="E9" s="248">
        <f ca="1">IF(TYPE(VLOOKUP(VALUE(CONCATENATE(TEXT($G$1,"0"),TEXT($A9,"0"),TEXT(G$3,"0"))),RozpisKK!$AA$3:$AD$76,3,0))&gt;3,"",VLOOKUP(VALUE(CONCATENATE(TEXT($G$1,"0"),TEXT($A9,"0"),TEXT(G$3,"0"))),RozpisKK!$AA$3:$AD$76,4,0)+$R$1-1)</f>
        <v>5</v>
      </c>
      <c r="F9" s="249"/>
      <c r="G9" s="250"/>
      <c r="H9" s="263">
        <f ca="1">IF(TYPE(VLOOKUP(VALUE(CONCATENATE(TEXT($G$1,"0"),TEXT($A9,"0"),TEXT(K$3,"0"))),RozpisKK!$AA$3:$AD$76,3,0))&gt;3,"",VLOOKUP(VALUE(CONCATENATE(TEXT($G$1,"0"),TEXT($A9,"0"),TEXT(K$3,"0"))),RozpisKK!$AA$3:$AD$76,3,0))</f>
        <v>2</v>
      </c>
      <c r="I9" s="264">
        <f ca="1">IF(TYPE(VLOOKUP(VALUE(CONCATENATE(TEXT($G$1,"0"),TEXT($A9,"0"),TEXT(K$3,"0"))),RozpisKK!$AA$3:$AD$76,3,0))&gt;3,"",VLOOKUP(VALUE(CONCATENATE(TEXT($G$1,"0"),TEXT($A9,"0"),TEXT(K$3,"0"))),RozpisKK!$AA$3:$AD$76,4,0)+$R$1-1)</f>
        <v>6</v>
      </c>
      <c r="J9" s="249"/>
      <c r="K9" s="250"/>
      <c r="L9" s="263">
        <f ca="1">IF(TYPE(VLOOKUP(VALUE(CONCATENATE(TEXT($G$1,"0"),TEXT($A9,"0"),TEXT(O$3,"0"))),RozpisKK!$AA$3:$AD$76,3,0))&gt;3,"",VLOOKUP(VALUE(CONCATENATE(TEXT($G$1,"0"),TEXT($A9,"0"),TEXT(O$3,"0"))),RozpisKK!$AA$3:$AD$76,3,0))</f>
        <v>3</v>
      </c>
      <c r="M9" s="264">
        <f ca="1">IF(TYPE(VLOOKUP(VALUE(CONCATENATE(TEXT($G$1,"0"),TEXT($A9,"0"),TEXT(O$3,"0"))),RozpisKK!$AA$3:$AD$76,3,0))&gt;3,"",VLOOKUP(VALUE(CONCATENATE(TEXT($G$1,"0"),TEXT($A9,"0"),TEXT(O$3,"0"))),RozpisKK!$AA$3:$AD$76,4,0)+$R$1-1)</f>
        <v>6</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1</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4</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C1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C2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C3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C4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68" priority="2" operator="equal">
      <formula>0</formula>
    </cfRule>
  </conditionalFormatting>
  <conditionalFormatting sqref="J6:K6 N6:O7 R6:S8 V6:W9 Z6:AA10">
    <cfRule type="cellIs" dxfId="167" priority="3" operator="equal">
      <formula>0</formula>
    </cfRule>
  </conditionalFormatting>
  <conditionalFormatting sqref="B6:B11">
    <cfRule type="expression" dxfId="166" priority="4">
      <formula>IF(C6=1,1,0)</formula>
    </cfRule>
    <cfRule type="expression" dxfId="165" priority="5">
      <formula>IF(C6=2,1,0)</formula>
    </cfRule>
  </conditionalFormatting>
  <printOptions horizontalCentered="1"/>
  <pageMargins left="0.78749999999999998" right="0.78749999999999998" top="1.1812499999999999" bottom="0.98402777777777795" header="0.59027777777777801" footer="0.51180555555555496"/>
  <pageSetup paperSize="9" firstPageNumber="0" orientation="landscape" horizontalDpi="300" verticalDpi="300"/>
  <headerFooter>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4</v>
      </c>
      <c r="B1" s="188" t="s">
        <v>1655</v>
      </c>
      <c r="C1" s="299" t="s">
        <v>1695</v>
      </c>
      <c r="D1" s="161"/>
      <c r="E1" s="161"/>
      <c r="F1" s="190" t="s">
        <v>1589</v>
      </c>
      <c r="G1" s="191">
        <f ca="1">$AV$12</f>
        <v>4</v>
      </c>
      <c r="H1" s="192" t="s">
        <v>1657</v>
      </c>
      <c r="I1" s="161"/>
      <c r="J1" s="161"/>
      <c r="K1" s="161"/>
      <c r="L1" s="161"/>
      <c r="M1" s="161"/>
      <c r="N1" s="161"/>
      <c r="O1" s="161"/>
      <c r="P1" s="193" t="s">
        <v>1658</v>
      </c>
      <c r="Q1" s="194"/>
      <c r="R1" s="195">
        <f ca="1">INDIRECT(ADDRESS(4,A1,1,1,"Hřiště"))</f>
        <v>7</v>
      </c>
      <c r="S1" s="195">
        <f ca="1">INDIRECT(ADDRESS(5,A1,1,1,"Hřiště"))</f>
        <v>8</v>
      </c>
      <c r="T1" s="195"/>
      <c r="U1" s="161"/>
      <c r="V1" s="161"/>
      <c r="W1" s="161"/>
      <c r="X1" s="161"/>
      <c r="Y1" s="161"/>
      <c r="Z1" s="190" t="s">
        <v>1659</v>
      </c>
      <c r="AA1" s="191">
        <f ca="1">IF(G1=0,0,CHOOSE(G1,0,1,1,2,2,3))</f>
        <v>2</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HRODE KRUMSÍN - Krpec František</v>
      </c>
      <c r="C6" s="225" t="str">
        <f t="shared" ref="C6:C11" si="0">IF(CB6=0,"",CB6)</f>
        <v/>
      </c>
      <c r="D6" s="226"/>
      <c r="E6" s="227"/>
      <c r="F6" s="228"/>
      <c r="G6" s="229"/>
      <c r="H6" s="300">
        <f ca="1">IF(TYPE(VLOOKUP(VALUE(CONCATENATE(TEXT($G$1,"0"),TEXT($A6,"0"),TEXT(K$3,"0"))),RozpisKK!$AA$3:$AD$76,3,0))&gt;3,"",VLOOKUP(VALUE(CONCATENATE(TEXT($G$1,"0"),TEXT($A6,"0"),TEXT(K$3,"0"))),RozpisKK!$AA$3:$AD$76,3,0))</f>
        <v>3</v>
      </c>
      <c r="I6" s="301">
        <f ca="1">IF(TYPE(VLOOKUP(VALUE(CONCATENATE(TEXT($G$1,"0"),TEXT($A6,"0"),TEXT(K$3,"0"))),RozpisKK!$AA$3:$AD$76,3,0))&gt;3,"",VLOOKUP(VALUE(CONCATENATE(TEXT($G$1,"0"),TEXT($A6,"0"),TEXT(K$3,"0"))),RozpisKK!$AA$3:$AD$76,4,0)+$R$1-1)</f>
        <v>7</v>
      </c>
      <c r="J6" s="302">
        <f>$G$7</f>
        <v>0</v>
      </c>
      <c r="K6" s="303">
        <f>$F$7</f>
        <v>0</v>
      </c>
      <c r="L6" s="300">
        <f ca="1">IF(TYPE(VLOOKUP(VALUE(CONCATENATE(TEXT($G$1,"0"),TEXT($A6,"0"),TEXT(O$3,"0"))),RozpisKK!$AA$3:$AD$76,3,0))&gt;3,"",VLOOKUP(VALUE(CONCATENATE(TEXT($G$1,"0"),TEXT($A6,"0"),TEXT(O$3,"0"))),RozpisKK!$AA$3:$AD$76,3,0))</f>
        <v>2</v>
      </c>
      <c r="M6" s="301">
        <f ca="1">IF(TYPE(VLOOKUP(VALUE(CONCATENATE(TEXT($G$1,"0"),TEXT($A6,"0"),TEXT(O$3,"0"))),RozpisKK!$AA$3:$AD$76,3,0))&gt;3,"",VLOOKUP(VALUE(CONCATENATE(TEXT($G$1,"0"),TEXT($A6,"0"),TEXT(O$3,"0"))),RozpisKK!$AA$3:$AD$76,4,0)+$R$1-1)</f>
        <v>7</v>
      </c>
      <c r="N6" s="302">
        <f>$G$8</f>
        <v>0</v>
      </c>
      <c r="O6" s="303">
        <f>$F$8</f>
        <v>0</v>
      </c>
      <c r="P6" s="300">
        <f ca="1">IF(TYPE(VLOOKUP(VALUE(CONCATENATE(TEXT($G$1,"0"),TEXT($A6,"0"),TEXT(S$3,"0"))),RozpisKK!$AA$3:$AD$76,3,0))&gt;3,"",VLOOKUP(VALUE(CONCATENATE(TEXT($G$1,"0"),TEXT($A6,"0"),TEXT(S$3,"0"))),RozpisKK!$AA$3:$AD$76,3,0))</f>
        <v>1</v>
      </c>
      <c r="Q6" s="301">
        <f ca="1">IF(TYPE(VLOOKUP(VALUE(CONCATENATE(TEXT($G$1,"0"),TEXT($A6,"0"),TEXT(S$3,"0"))),RozpisKK!$AA$3:$AD$76,3,0))&gt;3,"",VLOOKUP(VALUE(CONCATENATE(TEXT($G$1,"0"),TEXT($A6,"0"),TEXT(S$3,"0"))),RozpisKK!$AA$3:$AD$76,4,0)+$R$1-1)</f>
        <v>7</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1</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HRODE KRUMSÍN - Karásek Jiří</v>
      </c>
      <c r="C7" s="246" t="str">
        <f t="shared" si="0"/>
        <v/>
      </c>
      <c r="D7" s="247">
        <f ca="1">IF(TYPE(VLOOKUP(VALUE(CONCATENATE(TEXT($G$1,"0"),TEXT($A7,"0"),TEXT(G$3,"0"))),RozpisKK!$AA$3:$AD$76,3,0))&gt;3,"",VLOOKUP(VALUE(CONCATENATE(TEXT($G$1,"0"),TEXT($A7,"0"),TEXT(G$3,"0"))),RozpisKK!$AA$3:$AD$76,3,0))</f>
        <v>3</v>
      </c>
      <c r="E7" s="248">
        <f ca="1">IF(TYPE(VLOOKUP(VALUE(CONCATENATE(TEXT($G$1,"0"),TEXT($A7,"0"),TEXT(G$3,"0"))),RozpisKK!$AA$3:$AD$76,3,0))&gt;3,"",VLOOKUP(VALUE(CONCATENATE(TEXT($G$1,"0"),TEXT($A7,"0"),TEXT(G$3,"0"))),RozpisKK!$AA$3:$AD$76,4,0)+$R$1-1)</f>
        <v>7</v>
      </c>
      <c r="F7" s="249"/>
      <c r="G7" s="250"/>
      <c r="H7" s="251"/>
      <c r="I7" s="252"/>
      <c r="J7" s="253"/>
      <c r="K7" s="254"/>
      <c r="L7" s="304">
        <f ca="1">IF(TYPE(VLOOKUP(VALUE(CONCATENATE(TEXT($G$1,"0"),TEXT($A7,"0"),TEXT(O$3,"0"))),RozpisKK!$AA$3:$AD$76,3,0))&gt;3,"",VLOOKUP(VALUE(CONCATENATE(TEXT($G$1,"0"),TEXT($A7,"0"),TEXT(O$3,"0"))),RozpisKK!$AA$3:$AD$76,3,0))</f>
        <v>1</v>
      </c>
      <c r="M7" s="305">
        <f ca="1">IF(TYPE(VLOOKUP(VALUE(CONCATENATE(TEXT($G$1,"0"),TEXT($A7,"0"),TEXT(O$3,"0"))),RozpisKK!$AA$3:$AD$76,3,0))&gt;3,"",VLOOKUP(VALUE(CONCATENATE(TEXT($G$1,"0"),TEXT($A7,"0"),TEXT(O$3,"0"))),RozpisKK!$AA$3:$AD$76,4,0)+$R$1-1)</f>
        <v>8</v>
      </c>
      <c r="N7" s="306">
        <f>$K$8</f>
        <v>0</v>
      </c>
      <c r="O7" s="303">
        <f>$J$8</f>
        <v>0</v>
      </c>
      <c r="P7" s="304">
        <f ca="1">IF(TYPE(VLOOKUP(VALUE(CONCATENATE(TEXT($G$1,"0"),TEXT($A7,"0"),TEXT(S$3,"0"))),RozpisKK!$AA$3:$AD$76,3,0))&gt;3,"",VLOOKUP(VALUE(CONCATENATE(TEXT($G$1,"0"),TEXT($A7,"0"),TEXT(S$3,"0"))),RozpisKK!$AA$3:$AD$76,3,0))</f>
        <v>2</v>
      </c>
      <c r="Q7" s="305">
        <f ca="1">IF(TYPE(VLOOKUP(VALUE(CONCATENATE(TEXT($G$1,"0"),TEXT($A7,"0"),TEXT(S$3,"0"))),RozpisKK!$AA$3:$AD$76,3,0))&gt;3,"",VLOOKUP(VALUE(CONCATENATE(TEXT($G$1,"0"),TEXT($A7,"0"),TEXT(S$3,"0"))),RozpisKK!$AA$3:$AD$76,4,0)+$R$1-1)</f>
        <v>8</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1</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PK Polouvsí - Valošková Sára</v>
      </c>
      <c r="C8" s="246" t="str">
        <f t="shared" si="0"/>
        <v/>
      </c>
      <c r="D8" s="247">
        <f ca="1">IF(TYPE(VLOOKUP(VALUE(CONCATENATE(TEXT($G$1,"0"),TEXT($A8,"0"),TEXT(G$3,"0"))),RozpisKK!$AA$3:$AD$76,3,0))&gt;3,"",VLOOKUP(VALUE(CONCATENATE(TEXT($G$1,"0"),TEXT($A8,"0"),TEXT(G$3,"0"))),RozpisKK!$AA$3:$AD$76,3,0))</f>
        <v>2</v>
      </c>
      <c r="E8" s="248">
        <f ca="1">IF(TYPE(VLOOKUP(VALUE(CONCATENATE(TEXT($G$1,"0"),TEXT($A8,"0"),TEXT(G$3,"0"))),RozpisKK!$AA$3:$AD$76,3,0))&gt;3,"",VLOOKUP(VALUE(CONCATENATE(TEXT($G$1,"0"),TEXT($A8,"0"),TEXT(G$3,"0"))),RozpisKK!$AA$3:$AD$76,4,0)+$R$1-1)</f>
        <v>7</v>
      </c>
      <c r="F8" s="249"/>
      <c r="G8" s="250"/>
      <c r="H8" s="263">
        <f ca="1">IF(TYPE(VLOOKUP(VALUE(CONCATENATE(TEXT($G$1,"0"),TEXT($A8,"0"),TEXT(K$3,"0"))),RozpisKK!$AA$3:$AD$76,3,0))&gt;3,"",VLOOKUP(VALUE(CONCATENATE(TEXT($G$1,"0"),TEXT($A8,"0"),TEXT(K$3,"0"))),RozpisKK!$AA$3:$AD$76,3,0))</f>
        <v>1</v>
      </c>
      <c r="I8" s="264">
        <f ca="1">IF(TYPE(VLOOKUP(VALUE(CONCATENATE(TEXT($G$1,"0"),TEXT($A8,"0"),TEXT(K$3,"0"))),RozpisKK!$AA$3:$AD$76,3,0))&gt;3,"",VLOOKUP(VALUE(CONCATENATE(TEXT($G$1,"0"),TEXT($A8,"0"),TEXT(K$3,"0"))),RozpisKK!$AA$3:$AD$76,4,0)+$R$1-1)</f>
        <v>8</v>
      </c>
      <c r="J8" s="249"/>
      <c r="K8" s="250"/>
      <c r="L8" s="251"/>
      <c r="M8" s="252"/>
      <c r="N8" s="253"/>
      <c r="O8" s="254"/>
      <c r="P8" s="304">
        <f ca="1">IF(TYPE(VLOOKUP(VALUE(CONCATENATE(TEXT($G$1,"0"),TEXT($A8,"0"),TEXT(S$3,"0"))),RozpisKK!$AA$3:$AD$76,3,0))&gt;3,"",VLOOKUP(VALUE(CONCATENATE(TEXT($G$1,"0"),TEXT($A8,"0"),TEXT(S$3,"0"))),RozpisKK!$AA$3:$AD$76,3,0))</f>
        <v>3</v>
      </c>
      <c r="Q8" s="305">
        <f ca="1">IF(TYPE(VLOOKUP(VALUE(CONCATENATE(TEXT($G$1,"0"),TEXT($A8,"0"),TEXT(S$3,"0"))),RozpisKK!$AA$3:$AD$76,3,0))&gt;3,"",VLOOKUP(VALUE(CONCATENATE(TEXT($G$1,"0"),TEXT($A8,"0"),TEXT(S$3,"0"))),RozpisKK!$AA$3:$AD$76,4,0)+$R$1-1)</f>
        <v>8</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1</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HAPEK - Navrátil Petr</v>
      </c>
      <c r="C9" s="246" t="str">
        <f t="shared" si="0"/>
        <v/>
      </c>
      <c r="D9" s="247">
        <f ca="1">IF(TYPE(VLOOKUP(VALUE(CONCATENATE(TEXT($G$1,"0"),TEXT($A9,"0"),TEXT(G$3,"0"))),RozpisKK!$AA$3:$AD$76,3,0))&gt;3,"",VLOOKUP(VALUE(CONCATENATE(TEXT($G$1,"0"),TEXT($A9,"0"),TEXT(G$3,"0"))),RozpisKK!$AA$3:$AD$76,3,0))</f>
        <v>1</v>
      </c>
      <c r="E9" s="248">
        <f ca="1">IF(TYPE(VLOOKUP(VALUE(CONCATENATE(TEXT($G$1,"0"),TEXT($A9,"0"),TEXT(G$3,"0"))),RozpisKK!$AA$3:$AD$76,3,0))&gt;3,"",VLOOKUP(VALUE(CONCATENATE(TEXT($G$1,"0"),TEXT($A9,"0"),TEXT(G$3,"0"))),RozpisKK!$AA$3:$AD$76,4,0)+$R$1-1)</f>
        <v>7</v>
      </c>
      <c r="F9" s="249"/>
      <c r="G9" s="250"/>
      <c r="H9" s="263">
        <f ca="1">IF(TYPE(VLOOKUP(VALUE(CONCATENATE(TEXT($G$1,"0"),TEXT($A9,"0"),TEXT(K$3,"0"))),RozpisKK!$AA$3:$AD$76,3,0))&gt;3,"",VLOOKUP(VALUE(CONCATENATE(TEXT($G$1,"0"),TEXT($A9,"0"),TEXT(K$3,"0"))),RozpisKK!$AA$3:$AD$76,3,0))</f>
        <v>2</v>
      </c>
      <c r="I9" s="264">
        <f ca="1">IF(TYPE(VLOOKUP(VALUE(CONCATENATE(TEXT($G$1,"0"),TEXT($A9,"0"),TEXT(K$3,"0"))),RozpisKK!$AA$3:$AD$76,3,0))&gt;3,"",VLOOKUP(VALUE(CONCATENATE(TEXT($G$1,"0"),TEXT($A9,"0"),TEXT(K$3,"0"))),RozpisKK!$AA$3:$AD$76,4,0)+$R$1-1)</f>
        <v>8</v>
      </c>
      <c r="J9" s="249"/>
      <c r="K9" s="250"/>
      <c r="L9" s="263">
        <f ca="1">IF(TYPE(VLOOKUP(VALUE(CONCATENATE(TEXT($G$1,"0"),TEXT($A9,"0"),TEXT(O$3,"0"))),RozpisKK!$AA$3:$AD$76,3,0))&gt;3,"",VLOOKUP(VALUE(CONCATENATE(TEXT($G$1,"0"),TEXT($A9,"0"),TEXT(O$3,"0"))),RozpisKK!$AA$3:$AD$76,3,0))</f>
        <v>3</v>
      </c>
      <c r="M9" s="264">
        <f ca="1">IF(TYPE(VLOOKUP(VALUE(CONCATENATE(TEXT($G$1,"0"),TEXT($A9,"0"),TEXT(O$3,"0"))),RozpisKK!$AA$3:$AD$76,3,0))&gt;3,"",VLOOKUP(VALUE(CONCATENATE(TEXT($G$1,"0"),TEXT($A9,"0"),TEXT(O$3,"0"))),RozpisKK!$AA$3:$AD$76,4,0)+$R$1-1)</f>
        <v>8</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1</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4</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D1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D2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D3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D4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64" priority="2" operator="equal">
      <formula>0</formula>
    </cfRule>
  </conditionalFormatting>
  <conditionalFormatting sqref="J6:K6 N6:O7 R6:S8 V6:W9 Z6:AA10">
    <cfRule type="cellIs" dxfId="163" priority="3" operator="equal">
      <formula>0</formula>
    </cfRule>
  </conditionalFormatting>
  <conditionalFormatting sqref="B6:B11">
    <cfRule type="expression" dxfId="162" priority="4">
      <formula>IF(C6=1,1,0)</formula>
    </cfRule>
    <cfRule type="expression" dxfId="161" priority="5">
      <formula>IF(C6=2,1,0)</formula>
    </cfRule>
  </conditionalFormatting>
  <printOptions horizontalCentered="1"/>
  <pageMargins left="0.78749999999999998" right="0.78749999999999998" top="1.1812499999999999" bottom="0.98402777777777795" header="0.59027777777777801" footer="0.51180555555555496"/>
  <pageSetup paperSize="9" firstPageNumber="0" orientation="landscape" horizontalDpi="300" verticalDpi="300"/>
  <headerFooter>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5</v>
      </c>
      <c r="B1" s="188" t="s">
        <v>1655</v>
      </c>
      <c r="C1" s="299" t="s">
        <v>1696</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E1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E2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E3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E4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60" priority="2" operator="equal">
      <formula>0</formula>
    </cfRule>
  </conditionalFormatting>
  <conditionalFormatting sqref="J6:K6 N6:O7 R6:S8 V6:W9 Z6:AA10">
    <cfRule type="cellIs" dxfId="159" priority="3" operator="equal">
      <formula>0</formula>
    </cfRule>
  </conditionalFormatting>
  <conditionalFormatting sqref="B6:B11">
    <cfRule type="expression" dxfId="158" priority="4">
      <formula>IF(C6=1,1,0)</formula>
    </cfRule>
    <cfRule type="expression" dxfId="157" priority="5">
      <formula>IF(C6=2,1,0)</formula>
    </cfRule>
  </conditionalFormatting>
  <printOptions horizontalCentered="1"/>
  <pageMargins left="0.78749999999999998" right="0.78749999999999998" top="1.1812499999999999" bottom="0.98402777777777795" header="0.59027777777777801" footer="0.51180555555555496"/>
  <pageSetup paperSize="9" firstPageNumber="0" orientation="landscape" horizontalDpi="300" verticalDpi="300"/>
  <headerFooter>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6</v>
      </c>
      <c r="B1" s="188" t="s">
        <v>1655</v>
      </c>
      <c r="C1" s="299" t="s">
        <v>1697</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F1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F2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F3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F4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56" priority="2" operator="equal">
      <formula>0</formula>
    </cfRule>
  </conditionalFormatting>
  <conditionalFormatting sqref="J6:K6 N6:O7 R6:S8 V6:W9 Z6:AA10">
    <cfRule type="cellIs" dxfId="155" priority="3" operator="equal">
      <formula>0</formula>
    </cfRule>
  </conditionalFormatting>
  <conditionalFormatting sqref="B6:B11">
    <cfRule type="expression" dxfId="154" priority="4">
      <formula>IF(C6=1,1,0)</formula>
    </cfRule>
    <cfRule type="expression" dxfId="153" priority="5">
      <formula>IF(C6=2,1,0)</formula>
    </cfRule>
  </conditionalFormatting>
  <printOptions horizontalCentered="1"/>
  <pageMargins left="0.78749999999999998" right="0.78749999999999998" top="1.1812499999999999" bottom="0.98402777777777795" header="0.59027777777777801" footer="0.51180555555555496"/>
  <pageSetup paperSize="9" firstPageNumber="0" orientation="landscape" horizontalDpi="300" verticalDpi="300"/>
  <headerFooter>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7</v>
      </c>
      <c r="B1" s="188" t="s">
        <v>1655</v>
      </c>
      <c r="C1" s="299" t="s">
        <v>1698</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G1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G2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G3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G4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52" priority="2" operator="equal">
      <formula>0</formula>
    </cfRule>
  </conditionalFormatting>
  <conditionalFormatting sqref="J6:K6 N6:O7 R6:S8 V6:W9 Z6:AA10">
    <cfRule type="cellIs" dxfId="151" priority="3" operator="equal">
      <formula>0</formula>
    </cfRule>
  </conditionalFormatting>
  <conditionalFormatting sqref="B6:B11">
    <cfRule type="expression" dxfId="150" priority="4">
      <formula>IF(C6=1,1,0)</formula>
    </cfRule>
    <cfRule type="expression" dxfId="149" priority="5">
      <formula>IF(C6=2,1,0)</formula>
    </cfRule>
  </conditionalFormatting>
  <printOptions horizontalCentered="1"/>
  <pageMargins left="0.78749999999999998" right="0.78749999999999998" top="1.1812499999999999" bottom="0.98402777777777795" header="0.59027777777777801" footer="0.51180555555555496"/>
  <pageSetup paperSize="9" firstPageNumber="0" orientation="landscape" horizontalDpi="300" verticalDpi="300"/>
  <headerFooter>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8</v>
      </c>
      <c r="B1" s="188" t="s">
        <v>1655</v>
      </c>
      <c r="C1" s="299" t="s">
        <v>1699</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H1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H2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H3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H4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48" priority="2" operator="equal">
      <formula>0</formula>
    </cfRule>
  </conditionalFormatting>
  <conditionalFormatting sqref="J6:K6 N6:O7 R6:S8 V6:W9 Z6:AA10">
    <cfRule type="cellIs" dxfId="147" priority="3" operator="equal">
      <formula>0</formula>
    </cfRule>
  </conditionalFormatting>
  <conditionalFormatting sqref="B6:B11">
    <cfRule type="expression" dxfId="146" priority="4">
      <formula>IF(C6=1,1,0)</formula>
    </cfRule>
    <cfRule type="expression" dxfId="145" priority="5">
      <formula>IF(C6=2,1,0)</formula>
    </cfRule>
  </conditionalFormatting>
  <printOptions horizontalCentered="1"/>
  <pageMargins left="0.78749999999999998" right="0.78749999999999998" top="1.1812499999999999" bottom="0.98402777777777795" header="0.59027777777777801" footer="0.51180555555555496"/>
  <pageSetup paperSize="9" firstPageNumber="0" orientation="landscape" horizontalDpi="300" verticalDpi="300"/>
  <headerFooter>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9</v>
      </c>
      <c r="B1" s="188" t="s">
        <v>1655</v>
      </c>
      <c r="C1" s="299" t="s">
        <v>1700</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I1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I2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I3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I4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44" priority="2" operator="equal">
      <formula>0</formula>
    </cfRule>
  </conditionalFormatting>
  <conditionalFormatting sqref="J6:K6 N6:O7 R6:S8 V6:W9 Z6:AA10">
    <cfRule type="cellIs" dxfId="143" priority="3" operator="equal">
      <formula>0</formula>
    </cfRule>
  </conditionalFormatting>
  <conditionalFormatting sqref="B6:B11">
    <cfRule type="expression" dxfId="142" priority="4">
      <formula>IF(C6=1,1,0)</formula>
    </cfRule>
    <cfRule type="expression" dxfId="141"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0"/>
  <sheetViews>
    <sheetView zoomScaleNormal="100" workbookViewId="0">
      <pane ySplit="3" topLeftCell="A49" activePane="bottomLeft" state="frozen"/>
      <selection pane="bottomLeft" activeCell="F57" sqref="F57"/>
    </sheetView>
  </sheetViews>
  <sheetFormatPr defaultColWidth="8.7109375" defaultRowHeight="12.75"/>
  <cols>
    <col min="1" max="1" width="6.42578125" customWidth="1"/>
    <col min="2" max="2" width="35.85546875" customWidth="1"/>
    <col min="3" max="3" width="10" customWidth="1"/>
    <col min="4" max="4" width="25.140625" customWidth="1"/>
    <col min="5" max="5" width="32.140625" customWidth="1"/>
    <col min="6" max="6" width="10.140625" customWidth="1"/>
  </cols>
  <sheetData>
    <row r="1" spans="1:6" ht="30">
      <c r="A1" s="24" t="s">
        <v>106</v>
      </c>
      <c r="B1" s="25"/>
      <c r="C1" s="25"/>
      <c r="D1" s="25"/>
      <c r="E1" s="26"/>
      <c r="F1" s="27">
        <v>43978</v>
      </c>
    </row>
    <row r="2" spans="1:6" ht="13.5">
      <c r="B2" s="28"/>
      <c r="C2" s="28"/>
      <c r="D2" s="28"/>
      <c r="E2" s="28"/>
      <c r="F2" s="28"/>
    </row>
    <row r="3" spans="1:6" ht="13.5">
      <c r="A3" s="29" t="s">
        <v>107</v>
      </c>
      <c r="B3" s="29" t="s">
        <v>108</v>
      </c>
      <c r="C3" s="29" t="s">
        <v>109</v>
      </c>
      <c r="D3" s="29" t="s">
        <v>110</v>
      </c>
      <c r="E3" s="29" t="s">
        <v>111</v>
      </c>
      <c r="F3" s="29" t="s">
        <v>112</v>
      </c>
    </row>
    <row r="4" spans="1:6">
      <c r="A4">
        <v>20001</v>
      </c>
      <c r="B4" t="s">
        <v>113</v>
      </c>
      <c r="C4" s="30" t="s">
        <v>114</v>
      </c>
      <c r="D4" t="s">
        <v>115</v>
      </c>
      <c r="E4" t="s">
        <v>116</v>
      </c>
      <c r="F4">
        <v>3</v>
      </c>
    </row>
    <row r="5" spans="1:6">
      <c r="A5">
        <v>20002</v>
      </c>
      <c r="B5" t="s">
        <v>117</v>
      </c>
      <c r="C5" s="30" t="s">
        <v>118</v>
      </c>
      <c r="D5" t="s">
        <v>119</v>
      </c>
      <c r="E5" t="s">
        <v>120</v>
      </c>
      <c r="F5">
        <v>3</v>
      </c>
    </row>
    <row r="6" spans="1:6">
      <c r="A6">
        <v>20072</v>
      </c>
      <c r="B6" t="s">
        <v>121</v>
      </c>
      <c r="C6" s="30" t="s">
        <v>122</v>
      </c>
      <c r="D6" t="s">
        <v>123</v>
      </c>
      <c r="E6" t="s">
        <v>124</v>
      </c>
      <c r="F6">
        <v>2</v>
      </c>
    </row>
    <row r="7" spans="1:6">
      <c r="A7">
        <v>20007</v>
      </c>
      <c r="B7" t="s">
        <v>125</v>
      </c>
      <c r="C7" s="30" t="s">
        <v>126</v>
      </c>
      <c r="F7">
        <v>0</v>
      </c>
    </row>
    <row r="8" spans="1:6">
      <c r="A8">
        <v>20012</v>
      </c>
      <c r="B8" t="s">
        <v>127</v>
      </c>
      <c r="C8" s="30" t="s">
        <v>128</v>
      </c>
      <c r="D8" t="s">
        <v>129</v>
      </c>
      <c r="E8" t="s">
        <v>130</v>
      </c>
      <c r="F8">
        <v>2</v>
      </c>
    </row>
    <row r="9" spans="1:6">
      <c r="A9">
        <v>20021</v>
      </c>
      <c r="B9" t="s">
        <v>131</v>
      </c>
      <c r="C9" s="30" t="s">
        <v>128</v>
      </c>
      <c r="D9" t="s">
        <v>132</v>
      </c>
      <c r="E9" t="s">
        <v>133</v>
      </c>
      <c r="F9">
        <v>1</v>
      </c>
    </row>
    <row r="10" spans="1:6">
      <c r="A10">
        <v>20028</v>
      </c>
      <c r="B10" t="s">
        <v>134</v>
      </c>
      <c r="C10" s="30" t="s">
        <v>135</v>
      </c>
      <c r="F10">
        <v>0</v>
      </c>
    </row>
    <row r="11" spans="1:6">
      <c r="A11">
        <v>20062</v>
      </c>
      <c r="B11" t="s">
        <v>136</v>
      </c>
      <c r="C11" s="30" t="s">
        <v>135</v>
      </c>
      <c r="D11" t="s">
        <v>137</v>
      </c>
      <c r="E11" t="s">
        <v>138</v>
      </c>
      <c r="F11">
        <v>2</v>
      </c>
    </row>
    <row r="12" spans="1:6">
      <c r="A12">
        <v>20023</v>
      </c>
      <c r="B12" t="s">
        <v>139</v>
      </c>
      <c r="C12" s="30" t="s">
        <v>140</v>
      </c>
      <c r="D12" t="s">
        <v>141</v>
      </c>
      <c r="E12" t="s">
        <v>142</v>
      </c>
      <c r="F12">
        <v>3</v>
      </c>
    </row>
    <row r="13" spans="1:6">
      <c r="A13">
        <v>20024</v>
      </c>
      <c r="B13" t="s">
        <v>143</v>
      </c>
      <c r="C13" s="30" t="s">
        <v>144</v>
      </c>
      <c r="D13" t="s">
        <v>141</v>
      </c>
      <c r="E13" t="s">
        <v>142</v>
      </c>
      <c r="F13">
        <v>3</v>
      </c>
    </row>
    <row r="14" spans="1:6">
      <c r="A14">
        <v>20053</v>
      </c>
      <c r="B14" t="s">
        <v>145</v>
      </c>
      <c r="C14" s="30" t="s">
        <v>146</v>
      </c>
      <c r="D14" t="s">
        <v>147</v>
      </c>
      <c r="E14" t="s">
        <v>148</v>
      </c>
      <c r="F14">
        <v>2</v>
      </c>
    </row>
    <row r="15" spans="1:6">
      <c r="A15">
        <v>20075</v>
      </c>
      <c r="B15" t="s">
        <v>149</v>
      </c>
      <c r="C15" s="30" t="s">
        <v>146</v>
      </c>
      <c r="D15" t="s">
        <v>150</v>
      </c>
      <c r="E15" t="s">
        <v>151</v>
      </c>
      <c r="F15">
        <v>3</v>
      </c>
    </row>
    <row r="16" spans="1:6">
      <c r="A16">
        <v>20070</v>
      </c>
      <c r="B16" t="s">
        <v>152</v>
      </c>
      <c r="C16" s="30" t="s">
        <v>146</v>
      </c>
      <c r="D16" t="s">
        <v>141</v>
      </c>
      <c r="E16" t="s">
        <v>153</v>
      </c>
      <c r="F16">
        <v>3</v>
      </c>
    </row>
    <row r="17" spans="1:6">
      <c r="A17">
        <v>20027</v>
      </c>
      <c r="B17" t="s">
        <v>154</v>
      </c>
      <c r="C17" s="30" t="s">
        <v>155</v>
      </c>
      <c r="D17" t="s">
        <v>156</v>
      </c>
      <c r="E17" t="s">
        <v>157</v>
      </c>
      <c r="F17">
        <v>3</v>
      </c>
    </row>
    <row r="18" spans="1:6">
      <c r="A18">
        <v>20076</v>
      </c>
      <c r="B18" t="s">
        <v>158</v>
      </c>
      <c r="C18" s="30" t="s">
        <v>155</v>
      </c>
      <c r="D18" t="s">
        <v>159</v>
      </c>
      <c r="E18" t="s">
        <v>160</v>
      </c>
      <c r="F18">
        <v>3</v>
      </c>
    </row>
    <row r="19" spans="1:6">
      <c r="A19">
        <v>20016</v>
      </c>
      <c r="B19" t="s">
        <v>161</v>
      </c>
      <c r="C19" s="30" t="s">
        <v>155</v>
      </c>
      <c r="D19" t="s">
        <v>115</v>
      </c>
      <c r="E19" t="s">
        <v>116</v>
      </c>
      <c r="F19">
        <v>2</v>
      </c>
    </row>
    <row r="20" spans="1:6">
      <c r="A20">
        <v>20068</v>
      </c>
      <c r="B20" t="s">
        <v>162</v>
      </c>
      <c r="C20" s="30" t="s">
        <v>163</v>
      </c>
      <c r="D20" t="s">
        <v>129</v>
      </c>
      <c r="E20" t="s">
        <v>130</v>
      </c>
      <c r="F20">
        <v>2</v>
      </c>
    </row>
    <row r="21" spans="1:6">
      <c r="A21">
        <v>20043</v>
      </c>
      <c r="B21" t="s">
        <v>164</v>
      </c>
      <c r="C21" s="30" t="s">
        <v>165</v>
      </c>
      <c r="F21">
        <v>0</v>
      </c>
    </row>
    <row r="22" spans="1:6">
      <c r="A22">
        <v>20054</v>
      </c>
      <c r="B22" t="s">
        <v>166</v>
      </c>
      <c r="C22" s="30" t="s">
        <v>167</v>
      </c>
      <c r="D22" t="s">
        <v>147</v>
      </c>
      <c r="E22" t="s">
        <v>148</v>
      </c>
      <c r="F22">
        <v>2</v>
      </c>
    </row>
    <row r="23" spans="1:6">
      <c r="A23">
        <v>20030</v>
      </c>
      <c r="B23" t="s">
        <v>168</v>
      </c>
      <c r="C23" s="30" t="s">
        <v>167</v>
      </c>
      <c r="D23" t="s">
        <v>169</v>
      </c>
      <c r="E23" t="s">
        <v>170</v>
      </c>
      <c r="F23">
        <v>3</v>
      </c>
    </row>
    <row r="24" spans="1:6">
      <c r="A24">
        <v>20031</v>
      </c>
      <c r="B24" t="s">
        <v>171</v>
      </c>
      <c r="C24" s="30" t="s">
        <v>167</v>
      </c>
      <c r="D24" t="s">
        <v>172</v>
      </c>
      <c r="E24" t="s">
        <v>173</v>
      </c>
      <c r="F24">
        <v>1</v>
      </c>
    </row>
    <row r="25" spans="1:6">
      <c r="A25">
        <v>20032</v>
      </c>
      <c r="B25" t="s">
        <v>174</v>
      </c>
      <c r="C25" s="30" t="s">
        <v>175</v>
      </c>
      <c r="D25" t="s">
        <v>176</v>
      </c>
      <c r="E25" t="s">
        <v>138</v>
      </c>
      <c r="F25">
        <v>3</v>
      </c>
    </row>
    <row r="26" spans="1:6">
      <c r="A26">
        <v>20045</v>
      </c>
      <c r="B26" t="s">
        <v>177</v>
      </c>
      <c r="C26" s="30" t="s">
        <v>178</v>
      </c>
      <c r="F26">
        <v>2</v>
      </c>
    </row>
    <row r="27" spans="1:6">
      <c r="A27">
        <v>20069</v>
      </c>
      <c r="B27" t="s">
        <v>179</v>
      </c>
      <c r="C27" s="30" t="s">
        <v>180</v>
      </c>
      <c r="D27" t="s">
        <v>129</v>
      </c>
      <c r="E27" t="s">
        <v>130</v>
      </c>
      <c r="F27">
        <v>3</v>
      </c>
    </row>
    <row r="28" spans="1:6">
      <c r="A28">
        <v>20033</v>
      </c>
      <c r="B28" t="s">
        <v>181</v>
      </c>
      <c r="C28" s="30" t="s">
        <v>180</v>
      </c>
      <c r="D28" t="s">
        <v>159</v>
      </c>
      <c r="E28" t="s">
        <v>160</v>
      </c>
      <c r="F28">
        <v>3</v>
      </c>
    </row>
    <row r="29" spans="1:6">
      <c r="A29">
        <v>20034</v>
      </c>
      <c r="B29" t="s">
        <v>182</v>
      </c>
      <c r="C29" s="30" t="s">
        <v>183</v>
      </c>
      <c r="D29" t="s">
        <v>129</v>
      </c>
      <c r="E29" t="s">
        <v>130</v>
      </c>
      <c r="F29">
        <v>2</v>
      </c>
    </row>
    <row r="30" spans="1:6">
      <c r="A30">
        <v>20073</v>
      </c>
      <c r="B30" t="s">
        <v>184</v>
      </c>
      <c r="C30" s="30" t="s">
        <v>185</v>
      </c>
      <c r="D30" t="s">
        <v>186</v>
      </c>
      <c r="E30" t="s">
        <v>187</v>
      </c>
      <c r="F30">
        <v>3</v>
      </c>
    </row>
    <row r="31" spans="1:6">
      <c r="A31">
        <v>20014</v>
      </c>
      <c r="B31" t="s">
        <v>188</v>
      </c>
      <c r="C31" s="30" t="s">
        <v>189</v>
      </c>
      <c r="D31" t="s">
        <v>190</v>
      </c>
      <c r="E31" t="s">
        <v>191</v>
      </c>
      <c r="F31">
        <v>2</v>
      </c>
    </row>
    <row r="32" spans="1:6">
      <c r="A32">
        <v>20037</v>
      </c>
      <c r="B32" t="s">
        <v>192</v>
      </c>
      <c r="C32" s="30" t="s">
        <v>189</v>
      </c>
      <c r="D32" t="s">
        <v>193</v>
      </c>
      <c r="E32" t="s">
        <v>120</v>
      </c>
      <c r="F32">
        <v>3</v>
      </c>
    </row>
    <row r="33" spans="1:6">
      <c r="A33">
        <v>20020</v>
      </c>
      <c r="B33" t="s">
        <v>194</v>
      </c>
      <c r="C33" s="30" t="s">
        <v>195</v>
      </c>
      <c r="D33" t="s">
        <v>176</v>
      </c>
      <c r="E33" t="s">
        <v>138</v>
      </c>
      <c r="F33">
        <v>3</v>
      </c>
    </row>
    <row r="34" spans="1:6">
      <c r="A34">
        <v>20074</v>
      </c>
      <c r="B34" t="s">
        <v>196</v>
      </c>
      <c r="C34" s="30" t="s">
        <v>195</v>
      </c>
      <c r="D34" t="s">
        <v>197</v>
      </c>
      <c r="E34" t="s">
        <v>198</v>
      </c>
      <c r="F34">
        <v>3</v>
      </c>
    </row>
    <row r="35" spans="1:6">
      <c r="A35">
        <v>20010</v>
      </c>
      <c r="B35" t="s">
        <v>199</v>
      </c>
      <c r="C35" s="30" t="s">
        <v>200</v>
      </c>
      <c r="D35" t="s">
        <v>201</v>
      </c>
      <c r="E35" t="s">
        <v>202</v>
      </c>
      <c r="F35">
        <v>2</v>
      </c>
    </row>
    <row r="36" spans="1:6">
      <c r="A36">
        <v>20039</v>
      </c>
      <c r="B36" t="s">
        <v>203</v>
      </c>
      <c r="C36" s="30" t="s">
        <v>200</v>
      </c>
      <c r="D36" t="s">
        <v>204</v>
      </c>
      <c r="E36" t="s">
        <v>205</v>
      </c>
      <c r="F36">
        <v>3</v>
      </c>
    </row>
    <row r="37" spans="1:6">
      <c r="A37">
        <v>20011</v>
      </c>
      <c r="B37" t="s">
        <v>206</v>
      </c>
      <c r="C37" s="30" t="s">
        <v>207</v>
      </c>
      <c r="D37" t="s">
        <v>201</v>
      </c>
      <c r="E37" t="s">
        <v>202</v>
      </c>
      <c r="F37">
        <v>1</v>
      </c>
    </row>
    <row r="38" spans="1:6">
      <c r="A38">
        <v>20035</v>
      </c>
      <c r="B38" t="s">
        <v>208</v>
      </c>
      <c r="C38" s="30" t="s">
        <v>209</v>
      </c>
      <c r="D38" t="s">
        <v>193</v>
      </c>
      <c r="E38" t="s">
        <v>120</v>
      </c>
      <c r="F38">
        <v>1</v>
      </c>
    </row>
    <row r="39" spans="1:6">
      <c r="A39">
        <v>20036</v>
      </c>
      <c r="B39" t="s">
        <v>210</v>
      </c>
      <c r="C39" s="30" t="s">
        <v>211</v>
      </c>
      <c r="D39" t="s">
        <v>193</v>
      </c>
      <c r="E39" t="s">
        <v>120</v>
      </c>
      <c r="F39">
        <v>1</v>
      </c>
    </row>
    <row r="40" spans="1:6">
      <c r="A40">
        <v>20042</v>
      </c>
      <c r="B40" t="s">
        <v>212</v>
      </c>
      <c r="C40" s="30" t="s">
        <v>213</v>
      </c>
      <c r="D40" t="s">
        <v>123</v>
      </c>
      <c r="E40" t="s">
        <v>124</v>
      </c>
      <c r="F40">
        <v>2</v>
      </c>
    </row>
    <row r="41" spans="1:6">
      <c r="A41">
        <v>20060</v>
      </c>
      <c r="B41" t="s">
        <v>214</v>
      </c>
      <c r="C41" s="30" t="s">
        <v>213</v>
      </c>
      <c r="D41" t="s">
        <v>215</v>
      </c>
      <c r="E41" t="s">
        <v>142</v>
      </c>
      <c r="F41">
        <v>2</v>
      </c>
    </row>
    <row r="42" spans="1:6">
      <c r="A42">
        <v>20056</v>
      </c>
      <c r="B42" t="s">
        <v>216</v>
      </c>
      <c r="C42" s="30" t="s">
        <v>213</v>
      </c>
      <c r="D42" t="s">
        <v>217</v>
      </c>
      <c r="E42" t="s">
        <v>218</v>
      </c>
      <c r="F42">
        <v>3</v>
      </c>
    </row>
    <row r="43" spans="1:6">
      <c r="A43">
        <v>20026</v>
      </c>
      <c r="B43" t="s">
        <v>219</v>
      </c>
      <c r="C43" s="30" t="s">
        <v>220</v>
      </c>
      <c r="D43" t="s">
        <v>115</v>
      </c>
      <c r="E43" t="s">
        <v>116</v>
      </c>
      <c r="F43">
        <v>2</v>
      </c>
    </row>
    <row r="44" spans="1:6">
      <c r="A44">
        <v>20044</v>
      </c>
      <c r="B44" t="s">
        <v>221</v>
      </c>
      <c r="C44" s="30" t="s">
        <v>220</v>
      </c>
      <c r="D44" t="s">
        <v>172</v>
      </c>
      <c r="E44" t="s">
        <v>173</v>
      </c>
      <c r="F44">
        <v>2</v>
      </c>
    </row>
    <row r="45" spans="1:6">
      <c r="A45">
        <v>20046</v>
      </c>
      <c r="B45" t="s">
        <v>222</v>
      </c>
      <c r="C45" s="30" t="s">
        <v>223</v>
      </c>
      <c r="D45" t="s">
        <v>129</v>
      </c>
      <c r="E45" t="s">
        <v>130</v>
      </c>
      <c r="F45">
        <v>3</v>
      </c>
    </row>
    <row r="46" spans="1:6">
      <c r="A46">
        <v>20048</v>
      </c>
      <c r="B46" t="s">
        <v>224</v>
      </c>
      <c r="C46" s="30" t="s">
        <v>225</v>
      </c>
      <c r="D46" t="s">
        <v>132</v>
      </c>
      <c r="E46" t="s">
        <v>133</v>
      </c>
      <c r="F46">
        <v>2</v>
      </c>
    </row>
    <row r="47" spans="1:6">
      <c r="A47">
        <v>20047</v>
      </c>
      <c r="B47" t="s">
        <v>226</v>
      </c>
      <c r="C47" s="30" t="s">
        <v>225</v>
      </c>
      <c r="D47" t="s">
        <v>193</v>
      </c>
      <c r="E47" t="s">
        <v>120</v>
      </c>
      <c r="F47">
        <v>0</v>
      </c>
    </row>
    <row r="48" spans="1:6">
      <c r="A48">
        <v>20049</v>
      </c>
      <c r="B48" t="s">
        <v>227</v>
      </c>
      <c r="C48" s="30" t="s">
        <v>228</v>
      </c>
      <c r="D48" t="s">
        <v>193</v>
      </c>
      <c r="E48" t="s">
        <v>120</v>
      </c>
      <c r="F48">
        <v>2</v>
      </c>
    </row>
    <row r="49" spans="1:6">
      <c r="A49">
        <v>20015</v>
      </c>
      <c r="B49" t="s">
        <v>229</v>
      </c>
      <c r="C49" s="30" t="s">
        <v>230</v>
      </c>
      <c r="D49" t="s">
        <v>231</v>
      </c>
      <c r="E49" t="s">
        <v>232</v>
      </c>
      <c r="F49">
        <v>2</v>
      </c>
    </row>
    <row r="50" spans="1:6">
      <c r="A50">
        <v>20050</v>
      </c>
      <c r="B50" t="s">
        <v>233</v>
      </c>
      <c r="C50" s="30" t="s">
        <v>230</v>
      </c>
      <c r="D50" t="s">
        <v>231</v>
      </c>
      <c r="E50" t="s">
        <v>232</v>
      </c>
      <c r="F50">
        <v>1</v>
      </c>
    </row>
    <row r="51" spans="1:6">
      <c r="A51">
        <v>20061</v>
      </c>
      <c r="B51" t="s">
        <v>234</v>
      </c>
      <c r="C51" s="30" t="s">
        <v>235</v>
      </c>
      <c r="D51" t="s">
        <v>215</v>
      </c>
      <c r="E51" t="s">
        <v>142</v>
      </c>
      <c r="F51">
        <v>2</v>
      </c>
    </row>
    <row r="52" spans="1:6">
      <c r="A52">
        <v>20064</v>
      </c>
      <c r="B52" t="s">
        <v>236</v>
      </c>
      <c r="C52" s="30" t="s">
        <v>237</v>
      </c>
      <c r="D52" t="s">
        <v>238</v>
      </c>
      <c r="E52" t="s">
        <v>138</v>
      </c>
      <c r="F52">
        <v>2</v>
      </c>
    </row>
    <row r="53" spans="1:6">
      <c r="A53">
        <v>20051</v>
      </c>
      <c r="B53" t="s">
        <v>239</v>
      </c>
      <c r="C53" s="30" t="s">
        <v>240</v>
      </c>
      <c r="D53" t="s">
        <v>115</v>
      </c>
      <c r="E53" t="s">
        <v>116</v>
      </c>
      <c r="F53">
        <v>2</v>
      </c>
    </row>
    <row r="54" spans="1:6">
      <c r="A54">
        <v>20065</v>
      </c>
      <c r="B54" t="s">
        <v>241</v>
      </c>
      <c r="C54" s="30" t="s">
        <v>242</v>
      </c>
      <c r="D54" t="s">
        <v>176</v>
      </c>
      <c r="E54" t="s">
        <v>138</v>
      </c>
      <c r="F54">
        <v>2</v>
      </c>
    </row>
    <row r="55" spans="1:6">
      <c r="A55">
        <v>20071</v>
      </c>
      <c r="B55" t="s">
        <v>243</v>
      </c>
      <c r="C55" s="30" t="s">
        <v>242</v>
      </c>
      <c r="D55" t="s">
        <v>141</v>
      </c>
      <c r="E55" t="s">
        <v>153</v>
      </c>
      <c r="F55">
        <v>3</v>
      </c>
    </row>
    <row r="56" spans="1:6">
      <c r="A56">
        <v>20052</v>
      </c>
      <c r="B56" t="s">
        <v>244</v>
      </c>
      <c r="C56" s="30" t="s">
        <v>245</v>
      </c>
      <c r="D56" t="s">
        <v>201</v>
      </c>
      <c r="E56" t="s">
        <v>202</v>
      </c>
      <c r="F56">
        <v>2</v>
      </c>
    </row>
    <row r="57" spans="1:6">
      <c r="A57">
        <v>20077</v>
      </c>
      <c r="B57" t="s">
        <v>246</v>
      </c>
      <c r="C57" s="30" t="s">
        <v>247</v>
      </c>
      <c r="E57" t="s">
        <v>248</v>
      </c>
      <c r="F57">
        <v>3</v>
      </c>
    </row>
    <row r="58" spans="1:6">
      <c r="C58" s="30"/>
    </row>
    <row r="59" spans="1:6">
      <c r="C59" s="30"/>
    </row>
    <row r="60" spans="1:6">
      <c r="C60" s="30"/>
    </row>
    <row r="61" spans="1:6">
      <c r="C61" s="30"/>
    </row>
    <row r="62" spans="1:6">
      <c r="C62" s="30"/>
    </row>
    <row r="63" spans="1:6">
      <c r="C63" s="30"/>
    </row>
    <row r="64" spans="1:6">
      <c r="C64" s="30"/>
    </row>
    <row r="65" spans="3:3">
      <c r="C65" s="30"/>
    </row>
    <row r="66" spans="3:3">
      <c r="C66" s="30"/>
    </row>
    <row r="67" spans="3:3">
      <c r="C67" s="30"/>
    </row>
    <row r="68" spans="3:3">
      <c r="C68" s="30"/>
    </row>
    <row r="69" spans="3:3">
      <c r="C69" s="30"/>
    </row>
    <row r="70" spans="3:3">
      <c r="C70" s="30"/>
    </row>
    <row r="71" spans="3:3">
      <c r="C71" s="30"/>
    </row>
    <row r="72" spans="3:3">
      <c r="C72" s="30"/>
    </row>
    <row r="73" spans="3:3">
      <c r="C73" s="30"/>
    </row>
    <row r="74" spans="3:3">
      <c r="C74" s="30"/>
    </row>
    <row r="75" spans="3:3">
      <c r="C75" s="30"/>
    </row>
    <row r="76" spans="3:3">
      <c r="C76" s="30"/>
    </row>
    <row r="77" spans="3:3">
      <c r="C77" s="30"/>
    </row>
    <row r="78" spans="3:3">
      <c r="C78" s="30"/>
    </row>
    <row r="79" spans="3:3">
      <c r="C79" s="30"/>
    </row>
    <row r="80" spans="3:3">
      <c r="C80" s="30"/>
    </row>
    <row r="81" spans="3:3">
      <c r="C81" s="30"/>
    </row>
    <row r="82" spans="3:3">
      <c r="C82" s="30"/>
    </row>
    <row r="83" spans="3:3">
      <c r="C83" s="30"/>
    </row>
    <row r="84" spans="3:3">
      <c r="C84" s="30"/>
    </row>
    <row r="85" spans="3:3">
      <c r="C85" s="30"/>
    </row>
    <row r="86" spans="3:3">
      <c r="C86" s="30"/>
    </row>
    <row r="87" spans="3:3">
      <c r="C87" s="30"/>
    </row>
    <row r="88" spans="3:3">
      <c r="C88" s="30"/>
    </row>
    <row r="89" spans="3:3">
      <c r="C89" s="30"/>
    </row>
    <row r="90" spans="3:3">
      <c r="C90" s="30"/>
    </row>
    <row r="91" spans="3:3">
      <c r="C91" s="30"/>
    </row>
    <row r="92" spans="3:3">
      <c r="C92" s="30"/>
    </row>
    <row r="93" spans="3:3">
      <c r="C93" s="30"/>
    </row>
    <row r="94" spans="3:3">
      <c r="C94" s="30"/>
    </row>
    <row r="95" spans="3:3">
      <c r="C95" s="30"/>
    </row>
    <row r="96" spans="3:3">
      <c r="C96" s="30"/>
    </row>
    <row r="97" spans="3:3">
      <c r="C97" s="30"/>
    </row>
    <row r="98" spans="3:3">
      <c r="C98" s="30"/>
    </row>
    <row r="99" spans="3:3">
      <c r="C99" s="30"/>
    </row>
    <row r="100" spans="3:3">
      <c r="C100" s="30"/>
    </row>
    <row r="101" spans="3:3">
      <c r="C101" s="30"/>
    </row>
    <row r="102" spans="3:3">
      <c r="C102" s="30"/>
    </row>
    <row r="103" spans="3:3">
      <c r="C103" s="30"/>
    </row>
    <row r="104" spans="3:3">
      <c r="C104" s="30"/>
    </row>
    <row r="105" spans="3:3">
      <c r="C105" s="30"/>
    </row>
    <row r="106" spans="3:3">
      <c r="C106" s="30"/>
    </row>
    <row r="107" spans="3:3">
      <c r="C107" s="30"/>
    </row>
    <row r="108" spans="3:3">
      <c r="C108" s="30"/>
    </row>
    <row r="109" spans="3:3">
      <c r="C109" s="30"/>
    </row>
    <row r="110" spans="3:3">
      <c r="C110" s="30"/>
    </row>
    <row r="111" spans="3:3">
      <c r="C111" s="30"/>
    </row>
    <row r="112" spans="3:3">
      <c r="C112" s="30"/>
    </row>
    <row r="113" spans="3:3">
      <c r="C113" s="30"/>
    </row>
    <row r="114" spans="3:3">
      <c r="C114" s="30"/>
    </row>
    <row r="115" spans="3:3">
      <c r="C115" s="30"/>
    </row>
    <row r="116" spans="3:3">
      <c r="C116" s="30"/>
    </row>
    <row r="117" spans="3:3">
      <c r="C117" s="30"/>
    </row>
    <row r="118" spans="3:3">
      <c r="C118" s="30"/>
    </row>
    <row r="119" spans="3:3">
      <c r="C119" s="30"/>
    </row>
    <row r="120" spans="3:3">
      <c r="C120" s="30"/>
    </row>
  </sheetData>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10</v>
      </c>
      <c r="B1" s="188" t="s">
        <v>1655</v>
      </c>
      <c r="C1" s="299" t="s">
        <v>397</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J1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J2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J3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J4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40" priority="2" operator="equal">
      <formula>0</formula>
    </cfRule>
  </conditionalFormatting>
  <conditionalFormatting sqref="J6:K6 N6:O7 R6:S8 V6:W9 Z6:AA10">
    <cfRule type="cellIs" dxfId="139" priority="3" operator="equal">
      <formula>0</formula>
    </cfRule>
  </conditionalFormatting>
  <conditionalFormatting sqref="B6:B11">
    <cfRule type="expression" dxfId="138" priority="4">
      <formula>IF(C6=1,1,0)</formula>
    </cfRule>
    <cfRule type="expression" dxfId="137"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11</v>
      </c>
      <c r="B1" s="188" t="s">
        <v>1655</v>
      </c>
      <c r="C1" s="299" t="s">
        <v>1701</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K1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K2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K3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K4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36" priority="2" operator="equal">
      <formula>0</formula>
    </cfRule>
  </conditionalFormatting>
  <conditionalFormatting sqref="J6:K6 N6:O7 R6:S8 V6:W9 Z6:AA10">
    <cfRule type="cellIs" dxfId="135" priority="3" operator="equal">
      <formula>0</formula>
    </cfRule>
  </conditionalFormatting>
  <conditionalFormatting sqref="B6:B11">
    <cfRule type="expression" dxfId="134" priority="4">
      <formula>IF(C6=1,1,0)</formula>
    </cfRule>
    <cfRule type="expression" dxfId="133"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12</v>
      </c>
      <c r="B1" s="188" t="s">
        <v>1655</v>
      </c>
      <c r="C1" s="299" t="s">
        <v>1702</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L1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L2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L3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L4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32" priority="2" operator="equal">
      <formula>0</formula>
    </cfRule>
  </conditionalFormatting>
  <conditionalFormatting sqref="J6:K6 N6:O7 R6:S8 V6:W9 Z6:AA10">
    <cfRule type="cellIs" dxfId="131" priority="3" operator="equal">
      <formula>0</formula>
    </cfRule>
  </conditionalFormatting>
  <conditionalFormatting sqref="B6:B11">
    <cfRule type="expression" dxfId="130" priority="4">
      <formula>IF(C6=1,1,0)</formula>
    </cfRule>
    <cfRule type="expression" dxfId="129"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13</v>
      </c>
      <c r="B1" s="188" t="s">
        <v>1655</v>
      </c>
      <c r="C1" s="299" t="s">
        <v>1703</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M1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M2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M3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M4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28" priority="2" operator="equal">
      <formula>0</formula>
    </cfRule>
  </conditionalFormatting>
  <conditionalFormatting sqref="J6:K6 N6:O7 R6:S8 V6:W9 Z6:AA10">
    <cfRule type="cellIs" dxfId="127" priority="3" operator="equal">
      <formula>0</formula>
    </cfRule>
  </conditionalFormatting>
  <conditionalFormatting sqref="B6:B11">
    <cfRule type="expression" dxfId="126" priority="4">
      <formula>IF(C6=1,1,0)</formula>
    </cfRule>
    <cfRule type="expression" dxfId="125"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14</v>
      </c>
      <c r="B1" s="188" t="s">
        <v>1655</v>
      </c>
      <c r="C1" s="299" t="s">
        <v>1704</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N1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N2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N3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N4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24" priority="2" operator="equal">
      <formula>0</formula>
    </cfRule>
  </conditionalFormatting>
  <conditionalFormatting sqref="J6:K6 N6:O7 R6:S8 V6:W9 Z6:AA10">
    <cfRule type="cellIs" dxfId="123" priority="3" operator="equal">
      <formula>0</formula>
    </cfRule>
  </conditionalFormatting>
  <conditionalFormatting sqref="B6:B11">
    <cfRule type="expression" dxfId="122" priority="4">
      <formula>IF(C6=1,1,0)</formula>
    </cfRule>
    <cfRule type="expression" dxfId="121"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15</v>
      </c>
      <c r="B1" s="188" t="s">
        <v>1655</v>
      </c>
      <c r="C1" s="299" t="s">
        <v>1705</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O1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O2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O3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O4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20" priority="2" operator="equal">
      <formula>0</formula>
    </cfRule>
  </conditionalFormatting>
  <conditionalFormatting sqref="J6:K6 N6:O7 R6:S8 V6:W9 Z6:AA10">
    <cfRule type="cellIs" dxfId="119" priority="3" operator="equal">
      <formula>0</formula>
    </cfRule>
  </conditionalFormatting>
  <conditionalFormatting sqref="B6:B11">
    <cfRule type="expression" dxfId="118" priority="4">
      <formula>IF(C6=1,1,0)</formula>
    </cfRule>
    <cfRule type="expression" dxfId="117"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16</v>
      </c>
      <c r="B1" s="188" t="s">
        <v>1655</v>
      </c>
      <c r="C1" s="299" t="s">
        <v>1706</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P1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P2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P3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P4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16" priority="2" operator="equal">
      <formula>0</formula>
    </cfRule>
  </conditionalFormatting>
  <conditionalFormatting sqref="J6:K6 N6:O7 R6:S8 V6:W9 Z6:AA10">
    <cfRule type="cellIs" dxfId="115" priority="3" operator="equal">
      <formula>0</formula>
    </cfRule>
  </conditionalFormatting>
  <conditionalFormatting sqref="B6:B11">
    <cfRule type="expression" dxfId="114" priority="4">
      <formula>IF(C6=1,1,0)</formula>
    </cfRule>
    <cfRule type="expression" dxfId="113"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17</v>
      </c>
      <c r="B1" s="188" t="s">
        <v>1655</v>
      </c>
      <c r="C1" s="299" t="s">
        <v>1707</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Q1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Q2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Q3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Q4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12" priority="2" operator="equal">
      <formula>0</formula>
    </cfRule>
  </conditionalFormatting>
  <conditionalFormatting sqref="J6:K6 N6:O7 R6:S8 V6:W9 Z6:AA10">
    <cfRule type="cellIs" dxfId="111" priority="3" operator="equal">
      <formula>0</formula>
    </cfRule>
  </conditionalFormatting>
  <conditionalFormatting sqref="B6:B11">
    <cfRule type="expression" dxfId="110" priority="4">
      <formula>IF(C6=1,1,0)</formula>
    </cfRule>
    <cfRule type="expression" dxfId="109"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18</v>
      </c>
      <c r="B1" s="188" t="s">
        <v>1655</v>
      </c>
      <c r="C1" s="299" t="s">
        <v>1708</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R1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R2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R3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R4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08" priority="2" operator="equal">
      <formula>0</formula>
    </cfRule>
  </conditionalFormatting>
  <conditionalFormatting sqref="J6:K6 N6:O7 R6:S8 V6:W9 Z6:AA10">
    <cfRule type="cellIs" dxfId="107" priority="3" operator="equal">
      <formula>0</formula>
    </cfRule>
  </conditionalFormatting>
  <conditionalFormatting sqref="B6:B11">
    <cfRule type="expression" dxfId="106" priority="4">
      <formula>IF(C6=1,1,0)</formula>
    </cfRule>
    <cfRule type="expression" dxfId="105"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19</v>
      </c>
      <c r="B1" s="188" t="s">
        <v>1655</v>
      </c>
      <c r="C1" s="299" t="s">
        <v>257</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S1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S2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S3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S4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04" priority="2" operator="equal">
      <formula>0</formula>
    </cfRule>
  </conditionalFormatting>
  <conditionalFormatting sqref="J6:K6 N6:O7 R6:S8 V6:W9 Z6:AA10">
    <cfRule type="cellIs" dxfId="103" priority="3" operator="equal">
      <formula>0</formula>
    </cfRule>
  </conditionalFormatting>
  <conditionalFormatting sqref="B6:B11">
    <cfRule type="expression" dxfId="102" priority="4">
      <formula>IF(C6=1,1,0)</formula>
    </cfRule>
    <cfRule type="expression" dxfId="101"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53"/>
  <sheetViews>
    <sheetView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8.7109375" defaultRowHeight="12.75"/>
  <cols>
    <col min="1" max="1" width="6" customWidth="1"/>
    <col min="2" max="2" width="51.42578125" customWidth="1"/>
  </cols>
  <sheetData>
    <row r="1" spans="1:3" ht="29.25" customHeight="1">
      <c r="A1" s="31" t="s">
        <v>249</v>
      </c>
      <c r="B1" s="32"/>
      <c r="C1" s="33"/>
    </row>
    <row r="2" spans="1:3">
      <c r="A2" t="s">
        <v>250</v>
      </c>
    </row>
    <row r="4" spans="1:3">
      <c r="A4" s="34" t="s">
        <v>251</v>
      </c>
      <c r="B4" s="35" t="s">
        <v>252</v>
      </c>
      <c r="C4" s="36" t="s">
        <v>253</v>
      </c>
    </row>
    <row r="5" spans="1:3">
      <c r="A5" s="37" t="s">
        <v>254</v>
      </c>
      <c r="B5" s="38"/>
      <c r="C5" s="39"/>
    </row>
    <row r="6" spans="1:3" ht="15.75">
      <c r="A6" s="40" t="s">
        <v>255</v>
      </c>
      <c r="B6" s="41" t="s">
        <v>256</v>
      </c>
      <c r="C6" s="42" t="s">
        <v>257</v>
      </c>
    </row>
    <row r="7" spans="1:3" ht="15.75">
      <c r="A7" s="43" t="s">
        <v>258</v>
      </c>
      <c r="B7" s="44" t="s">
        <v>259</v>
      </c>
      <c r="C7" s="42" t="s">
        <v>260</v>
      </c>
    </row>
    <row r="8" spans="1:3" ht="15.75">
      <c r="A8" s="43" t="s">
        <v>261</v>
      </c>
      <c r="B8" s="45" t="s">
        <v>202</v>
      </c>
      <c r="C8" s="42" t="s">
        <v>262</v>
      </c>
    </row>
    <row r="9" spans="1:3" ht="15.75">
      <c r="A9" s="43" t="s">
        <v>263</v>
      </c>
      <c r="B9" s="44" t="s">
        <v>264</v>
      </c>
      <c r="C9" s="42" t="s">
        <v>262</v>
      </c>
    </row>
    <row r="10" spans="1:3" ht="15.75">
      <c r="A10" s="43" t="s">
        <v>265</v>
      </c>
      <c r="B10" s="44" t="s">
        <v>266</v>
      </c>
      <c r="C10" s="42" t="s">
        <v>257</v>
      </c>
    </row>
    <row r="11" spans="1:3" ht="15.75">
      <c r="A11" s="43" t="s">
        <v>267</v>
      </c>
      <c r="B11" s="44" t="s">
        <v>268</v>
      </c>
      <c r="C11" s="42" t="s">
        <v>262</v>
      </c>
    </row>
    <row r="12" spans="1:3" ht="15.75">
      <c r="A12" s="43" t="s">
        <v>269</v>
      </c>
      <c r="B12" s="44" t="s">
        <v>270</v>
      </c>
      <c r="C12" s="42" t="s">
        <v>260</v>
      </c>
    </row>
    <row r="13" spans="1:3" ht="15.75">
      <c r="A13" s="43" t="s">
        <v>271</v>
      </c>
      <c r="B13" s="45" t="s">
        <v>272</v>
      </c>
      <c r="C13" s="42" t="s">
        <v>257</v>
      </c>
    </row>
    <row r="14" spans="1:3" ht="15.75">
      <c r="A14" s="43" t="s">
        <v>273</v>
      </c>
      <c r="B14" s="44" t="s">
        <v>274</v>
      </c>
      <c r="C14" s="42" t="s">
        <v>260</v>
      </c>
    </row>
    <row r="15" spans="1:3" ht="15.75">
      <c r="A15" s="43" t="s">
        <v>275</v>
      </c>
      <c r="B15" s="44" t="s">
        <v>276</v>
      </c>
      <c r="C15" s="42" t="s">
        <v>260</v>
      </c>
    </row>
    <row r="16" spans="1:3" ht="15.75">
      <c r="A16" s="43" t="s">
        <v>277</v>
      </c>
      <c r="B16" s="44" t="s">
        <v>278</v>
      </c>
      <c r="C16" s="42" t="s">
        <v>260</v>
      </c>
    </row>
    <row r="17" spans="1:3" ht="15.75">
      <c r="A17" s="43" t="s">
        <v>279</v>
      </c>
      <c r="B17" s="44" t="s">
        <v>280</v>
      </c>
      <c r="C17" s="42" t="s">
        <v>260</v>
      </c>
    </row>
    <row r="18" spans="1:3" ht="15.75">
      <c r="A18" s="43" t="s">
        <v>281</v>
      </c>
      <c r="B18" s="45" t="s">
        <v>205</v>
      </c>
      <c r="C18" s="42" t="s">
        <v>260</v>
      </c>
    </row>
    <row r="19" spans="1:3" ht="15.75">
      <c r="A19" s="43" t="s">
        <v>282</v>
      </c>
      <c r="B19" s="45" t="s">
        <v>116</v>
      </c>
      <c r="C19" s="42" t="s">
        <v>262</v>
      </c>
    </row>
    <row r="20" spans="1:3" ht="15.75">
      <c r="A20" s="43" t="s">
        <v>283</v>
      </c>
      <c r="B20" s="44" t="s">
        <v>284</v>
      </c>
      <c r="C20" s="42" t="s">
        <v>257</v>
      </c>
    </row>
    <row r="21" spans="1:3" ht="15.75">
      <c r="A21" s="43" t="s">
        <v>285</v>
      </c>
      <c r="B21" s="44" t="s">
        <v>286</v>
      </c>
      <c r="C21" s="42" t="s">
        <v>257</v>
      </c>
    </row>
    <row r="22" spans="1:3" ht="15.75">
      <c r="A22" s="43" t="s">
        <v>287</v>
      </c>
      <c r="B22" s="45" t="s">
        <v>288</v>
      </c>
      <c r="C22" s="42" t="s">
        <v>260</v>
      </c>
    </row>
    <row r="23" spans="1:3" ht="15.75">
      <c r="A23" s="43" t="s">
        <v>289</v>
      </c>
      <c r="B23" s="45" t="s">
        <v>290</v>
      </c>
      <c r="C23" s="42" t="s">
        <v>262</v>
      </c>
    </row>
    <row r="24" spans="1:3" ht="15.75">
      <c r="A24" s="43" t="s">
        <v>291</v>
      </c>
      <c r="B24" s="44" t="s">
        <v>292</v>
      </c>
      <c r="C24" s="42" t="s">
        <v>262</v>
      </c>
    </row>
    <row r="25" spans="1:3" ht="15.75">
      <c r="A25" s="43" t="s">
        <v>293</v>
      </c>
      <c r="B25" s="44" t="s">
        <v>294</v>
      </c>
      <c r="C25" s="42" t="s">
        <v>260</v>
      </c>
    </row>
    <row r="26" spans="1:3" ht="15.75">
      <c r="A26" s="43" t="s">
        <v>295</v>
      </c>
      <c r="B26" s="44" t="s">
        <v>296</v>
      </c>
      <c r="C26" s="42" t="s">
        <v>260</v>
      </c>
    </row>
    <row r="27" spans="1:3" ht="15.75">
      <c r="A27" s="43" t="s">
        <v>297</v>
      </c>
      <c r="B27" s="45" t="s">
        <v>298</v>
      </c>
      <c r="C27" s="42" t="s">
        <v>260</v>
      </c>
    </row>
    <row r="28" spans="1:3" ht="15.75">
      <c r="A28" s="43" t="s">
        <v>299</v>
      </c>
      <c r="B28" s="44" t="s">
        <v>300</v>
      </c>
      <c r="C28" s="42" t="s">
        <v>260</v>
      </c>
    </row>
    <row r="29" spans="1:3" ht="15.75">
      <c r="A29" s="43" t="s">
        <v>301</v>
      </c>
      <c r="B29" s="44" t="s">
        <v>302</v>
      </c>
      <c r="C29" s="42" t="s">
        <v>262</v>
      </c>
    </row>
    <row r="30" spans="1:3" ht="15.75">
      <c r="A30" s="43" t="s">
        <v>303</v>
      </c>
      <c r="B30" s="44" t="s">
        <v>304</v>
      </c>
      <c r="C30" s="42" t="s">
        <v>257</v>
      </c>
    </row>
    <row r="31" spans="1:3" ht="15.75">
      <c r="A31" s="43" t="s">
        <v>305</v>
      </c>
      <c r="B31" s="44" t="s">
        <v>306</v>
      </c>
      <c r="C31" s="42" t="s">
        <v>260</v>
      </c>
    </row>
    <row r="32" spans="1:3" ht="15.75">
      <c r="A32" s="46" t="s">
        <v>307</v>
      </c>
      <c r="B32" s="47" t="s">
        <v>308</v>
      </c>
      <c r="C32" s="42" t="s">
        <v>262</v>
      </c>
    </row>
    <row r="33" spans="1:3" ht="15.75">
      <c r="A33" s="46" t="s">
        <v>309</v>
      </c>
      <c r="B33" s="47" t="s">
        <v>310</v>
      </c>
      <c r="C33" s="42" t="s">
        <v>262</v>
      </c>
    </row>
    <row r="34" spans="1:3" ht="15.75">
      <c r="A34" s="46" t="s">
        <v>311</v>
      </c>
      <c r="B34" s="47" t="s">
        <v>312</v>
      </c>
      <c r="C34" s="42" t="s">
        <v>257</v>
      </c>
    </row>
    <row r="35" spans="1:3" ht="15.75">
      <c r="A35" s="46" t="s">
        <v>313</v>
      </c>
      <c r="B35" s="47" t="s">
        <v>314</v>
      </c>
      <c r="C35" s="42" t="s">
        <v>262</v>
      </c>
    </row>
    <row r="36" spans="1:3" ht="15.75">
      <c r="A36" s="46" t="s">
        <v>315</v>
      </c>
      <c r="B36" s="47" t="s">
        <v>316</v>
      </c>
      <c r="C36" s="42" t="s">
        <v>262</v>
      </c>
    </row>
    <row r="37" spans="1:3" ht="15.75">
      <c r="A37" s="46" t="s">
        <v>317</v>
      </c>
      <c r="B37" s="47" t="s">
        <v>318</v>
      </c>
      <c r="C37" s="42" t="s">
        <v>262</v>
      </c>
    </row>
    <row r="38" spans="1:3" ht="15.75">
      <c r="A38" s="46" t="s">
        <v>319</v>
      </c>
      <c r="B38" s="47" t="s">
        <v>320</v>
      </c>
      <c r="C38" s="42" t="s">
        <v>262</v>
      </c>
    </row>
    <row r="39" spans="1:3" ht="15.75">
      <c r="A39" s="46" t="s">
        <v>321</v>
      </c>
      <c r="B39" s="47" t="s">
        <v>322</v>
      </c>
      <c r="C39" s="42" t="s">
        <v>257</v>
      </c>
    </row>
    <row r="40" spans="1:3" ht="15.75">
      <c r="A40" s="46" t="s">
        <v>323</v>
      </c>
      <c r="B40" s="47" t="s">
        <v>324</v>
      </c>
      <c r="C40" s="42" t="s">
        <v>262</v>
      </c>
    </row>
    <row r="41" spans="1:3" ht="15.75">
      <c r="A41" s="46" t="s">
        <v>325</v>
      </c>
      <c r="B41" s="47" t="s">
        <v>326</v>
      </c>
      <c r="C41" s="42" t="s">
        <v>257</v>
      </c>
    </row>
    <row r="42" spans="1:3" ht="15.75">
      <c r="A42" s="46" t="s">
        <v>327</v>
      </c>
      <c r="B42" s="47" t="s">
        <v>328</v>
      </c>
      <c r="C42" s="42" t="s">
        <v>262</v>
      </c>
    </row>
    <row r="43" spans="1:3" ht="15.75">
      <c r="A43" s="46" t="s">
        <v>329</v>
      </c>
      <c r="B43" s="47" t="s">
        <v>330</v>
      </c>
      <c r="C43" s="42" t="s">
        <v>262</v>
      </c>
    </row>
    <row r="44" spans="1:3" ht="15.75">
      <c r="A44" s="46" t="s">
        <v>331</v>
      </c>
      <c r="B44" s="47" t="s">
        <v>332</v>
      </c>
      <c r="C44" s="42" t="s">
        <v>262</v>
      </c>
    </row>
    <row r="45" spans="1:3" ht="15.75">
      <c r="A45" s="46" t="s">
        <v>333</v>
      </c>
      <c r="B45" s="47" t="s">
        <v>334</v>
      </c>
      <c r="C45" s="42" t="s">
        <v>257</v>
      </c>
    </row>
    <row r="46" spans="1:3" ht="15.75">
      <c r="A46" s="46" t="s">
        <v>335</v>
      </c>
      <c r="B46" s="47" t="s">
        <v>336</v>
      </c>
      <c r="C46" s="42" t="s">
        <v>262</v>
      </c>
    </row>
    <row r="47" spans="1:3" ht="15.75">
      <c r="A47" s="46" t="s">
        <v>337</v>
      </c>
      <c r="B47" s="47" t="s">
        <v>338</v>
      </c>
      <c r="C47" s="42" t="s">
        <v>262</v>
      </c>
    </row>
    <row r="48" spans="1:3" ht="15.75">
      <c r="A48" s="46" t="s">
        <v>339</v>
      </c>
      <c r="B48" s="47" t="s">
        <v>340</v>
      </c>
      <c r="C48" s="42" t="s">
        <v>262</v>
      </c>
    </row>
    <row r="49" spans="1:3" ht="15.75">
      <c r="A49" s="46" t="s">
        <v>341</v>
      </c>
      <c r="B49" s="47" t="s">
        <v>342</v>
      </c>
      <c r="C49" s="42" t="s">
        <v>257</v>
      </c>
    </row>
    <row r="50" spans="1:3" ht="15.75">
      <c r="A50" s="46" t="s">
        <v>343</v>
      </c>
      <c r="B50" s="47" t="s">
        <v>344</v>
      </c>
      <c r="C50" s="42" t="s">
        <v>257</v>
      </c>
    </row>
    <row r="51" spans="1:3" ht="15.75">
      <c r="A51" s="46" t="s">
        <v>345</v>
      </c>
      <c r="B51" s="47" t="s">
        <v>120</v>
      </c>
      <c r="C51" s="42" t="s">
        <v>262</v>
      </c>
    </row>
    <row r="52" spans="1:3" ht="15.75">
      <c r="A52" s="46" t="s">
        <v>346</v>
      </c>
      <c r="B52" s="47" t="s">
        <v>347</v>
      </c>
      <c r="C52" s="42" t="s">
        <v>262</v>
      </c>
    </row>
    <row r="53" spans="1:3" ht="15.75">
      <c r="A53" s="46" t="s">
        <v>348</v>
      </c>
      <c r="B53" s="47" t="s">
        <v>349</v>
      </c>
      <c r="C53" s="42" t="s">
        <v>260</v>
      </c>
    </row>
  </sheetData>
  <sheetProtection sheet="1" objects="1" scenarios="1"/>
  <conditionalFormatting sqref="C6:C53">
    <cfRule type="cellIs" dxfId="194" priority="2" operator="equal">
      <formula>"V"</formula>
    </cfRule>
    <cfRule type="cellIs" dxfId="193" priority="3" operator="equal">
      <formula>"Z"</formula>
    </cfRule>
  </conditionalFormatting>
  <pageMargins left="0.78749999999999998" right="0.78749999999999998" top="0.98402777777777795" bottom="0.98402777777777795" header="0.51180555555555496" footer="0.51180555555555496"/>
  <pageSetup paperSize="9" firstPageNumber="0" orientation="portrait" horizontalDpi="300" verticalDpi="30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20</v>
      </c>
      <c r="B1" s="188" t="s">
        <v>1655</v>
      </c>
      <c r="C1" s="299" t="s">
        <v>1709</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T1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T2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T3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T4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100" priority="2" operator="equal">
      <formula>0</formula>
    </cfRule>
  </conditionalFormatting>
  <conditionalFormatting sqref="J6:K6 N6:O7 R6:S8 V6:W9 Z6:AA10">
    <cfRule type="cellIs" dxfId="99" priority="3" operator="equal">
      <formula>0</formula>
    </cfRule>
  </conditionalFormatting>
  <conditionalFormatting sqref="B6:B11">
    <cfRule type="expression" dxfId="98" priority="4">
      <formula>IF(C6=1,1,0)</formula>
    </cfRule>
    <cfRule type="expression" dxfId="97"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21</v>
      </c>
      <c r="B1" s="188" t="s">
        <v>1655</v>
      </c>
      <c r="C1" s="299" t="s">
        <v>1710</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U1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U2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U3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U4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96" priority="2" operator="equal">
      <formula>0</formula>
    </cfRule>
  </conditionalFormatting>
  <conditionalFormatting sqref="J6:K6 N6:O7 R6:S8 V6:W9 Z6:AA10">
    <cfRule type="cellIs" dxfId="95" priority="3" operator="equal">
      <formula>0</formula>
    </cfRule>
  </conditionalFormatting>
  <conditionalFormatting sqref="B6:B11">
    <cfRule type="expression" dxfId="94" priority="4">
      <formula>IF(C6=1,1,0)</formula>
    </cfRule>
    <cfRule type="expression" dxfId="93"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4.15" customHeight="1">
      <c r="A1" s="187">
        <v>22</v>
      </c>
      <c r="B1" s="188" t="s">
        <v>1655</v>
      </c>
      <c r="C1" s="299" t="s">
        <v>260</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8" t="s">
        <v>1665</v>
      </c>
      <c r="G4" s="548"/>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V1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V2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V3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V4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92" priority="2" operator="equal">
      <formula>0</formula>
    </cfRule>
  </conditionalFormatting>
  <conditionalFormatting sqref="J6:K6 N6:O7 R6:S8 V6:W9 Z6:AA10">
    <cfRule type="cellIs" dxfId="91" priority="3" operator="equal">
      <formula>0</formula>
    </cfRule>
  </conditionalFormatting>
  <conditionalFormatting sqref="B6:B11">
    <cfRule type="expression" dxfId="90" priority="4">
      <formula>IF(C6=1,1,0)</formula>
    </cfRule>
    <cfRule type="expression" dxfId="89"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23</v>
      </c>
      <c r="B1" s="188" t="s">
        <v>1655</v>
      </c>
      <c r="C1" s="299" t="s">
        <v>1711</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W1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W2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W3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W4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88" priority="2" operator="equal">
      <formula>0</formula>
    </cfRule>
  </conditionalFormatting>
  <conditionalFormatting sqref="J6:K6 N6:O7 R6:S8 V6:W9 Z6:AA10">
    <cfRule type="cellIs" dxfId="87" priority="3" operator="equal">
      <formula>0</formula>
    </cfRule>
  </conditionalFormatting>
  <conditionalFormatting sqref="B6:B11">
    <cfRule type="expression" dxfId="86" priority="4">
      <formula>IF(C6=1,1,0)</formula>
    </cfRule>
    <cfRule type="expression" dxfId="85"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24</v>
      </c>
      <c r="B1" s="188" t="s">
        <v>1655</v>
      </c>
      <c r="C1" s="299" t="s">
        <v>1712</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X1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X2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X3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X4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84" priority="2" operator="equal">
      <formula>0</formula>
    </cfRule>
  </conditionalFormatting>
  <conditionalFormatting sqref="J6:K6 N6:O7 R6:S8 V6:W9 Z6:AA10">
    <cfRule type="cellIs" dxfId="83" priority="3" operator="equal">
      <formula>0</formula>
    </cfRule>
  </conditionalFormatting>
  <conditionalFormatting sqref="B6:B11">
    <cfRule type="expression" dxfId="82" priority="4">
      <formula>IF(C6=1,1,0)</formula>
    </cfRule>
    <cfRule type="expression" dxfId="81"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25</v>
      </c>
      <c r="B1" s="188" t="s">
        <v>1655</v>
      </c>
      <c r="C1" s="299" t="s">
        <v>1713</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Y1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Y2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Y3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Y4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80" priority="2" operator="equal">
      <formula>0</formula>
    </cfRule>
  </conditionalFormatting>
  <conditionalFormatting sqref="J6:K6 N6:O7 R6:S8 V6:W9 Z6:AA10">
    <cfRule type="cellIs" dxfId="79" priority="3" operator="equal">
      <formula>0</formula>
    </cfRule>
  </conditionalFormatting>
  <conditionalFormatting sqref="B6:B11">
    <cfRule type="expression" dxfId="78" priority="4">
      <formula>IF(C6=1,1,0)</formula>
    </cfRule>
    <cfRule type="expression" dxfId="77"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26</v>
      </c>
      <c r="B1" s="188" t="s">
        <v>1655</v>
      </c>
      <c r="C1" s="299" t="s">
        <v>262</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Z1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Z2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Z3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Z4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76" priority="2" operator="equal">
      <formula>0</formula>
    </cfRule>
  </conditionalFormatting>
  <conditionalFormatting sqref="J6:K6 N6:O7 R6:S8 V6:W9 Z6:AA10">
    <cfRule type="cellIs" dxfId="75" priority="3" operator="equal">
      <formula>0</formula>
    </cfRule>
  </conditionalFormatting>
  <conditionalFormatting sqref="B6:B11">
    <cfRule type="expression" dxfId="74" priority="4">
      <formula>IF(C6=1,1,0)</formula>
    </cfRule>
    <cfRule type="expression" dxfId="73"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27</v>
      </c>
      <c r="B1" s="188" t="s">
        <v>1655</v>
      </c>
      <c r="C1" s="299" t="s">
        <v>1714</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AA1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AA2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AA3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AA4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72" priority="2" operator="equal">
      <formula>0</formula>
    </cfRule>
  </conditionalFormatting>
  <conditionalFormatting sqref="J6:K6 N6:O7 R6:S8 V6:W9 Z6:AA10">
    <cfRule type="cellIs" dxfId="71" priority="3" operator="equal">
      <formula>0</formula>
    </cfRule>
  </conditionalFormatting>
  <conditionalFormatting sqref="B6:B11">
    <cfRule type="expression" dxfId="70" priority="4">
      <formula>IF(C6=1,1,0)</formula>
    </cfRule>
    <cfRule type="expression" dxfId="69"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28</v>
      </c>
      <c r="B1" s="188" t="s">
        <v>1655</v>
      </c>
      <c r="C1" s="299" t="s">
        <v>1715</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AB1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AB2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AB3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AB4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68" priority="2" operator="equal">
      <formula>0</formula>
    </cfRule>
  </conditionalFormatting>
  <conditionalFormatting sqref="J6:K6 N6:O7 R6:S8 V6:W9 Z6:AA10">
    <cfRule type="cellIs" dxfId="67" priority="3" operator="equal">
      <formula>0</formula>
    </cfRule>
  </conditionalFormatting>
  <conditionalFormatting sqref="B6:B11">
    <cfRule type="expression" dxfId="66" priority="4">
      <formula>IF(C6=1,1,0)</formula>
    </cfRule>
    <cfRule type="expression" dxfId="65"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29</v>
      </c>
      <c r="B1" s="188" t="s">
        <v>1655</v>
      </c>
      <c r="C1" s="299" t="s">
        <v>1716</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AC1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AC2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AC3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AC4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64" priority="2" operator="equal">
      <formula>0</formula>
    </cfRule>
  </conditionalFormatting>
  <conditionalFormatting sqref="J6:K6 N6:O7 R6:S8 V6:W9 Z6:AA10">
    <cfRule type="cellIs" dxfId="63" priority="3" operator="equal">
      <formula>0</formula>
    </cfRule>
  </conditionalFormatting>
  <conditionalFormatting sqref="B6:B11">
    <cfRule type="expression" dxfId="62" priority="4">
      <formula>IF(C6=1,1,0)</formula>
    </cfRule>
    <cfRule type="expression" dxfId="61"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70"/>
  <sheetViews>
    <sheetView zoomScaleNormal="100" workbookViewId="0">
      <pane ySplit="4" topLeftCell="A5" activePane="bottomLeft" state="frozen"/>
      <selection pane="bottomLeft" activeCell="A5" sqref="A5"/>
    </sheetView>
  </sheetViews>
  <sheetFormatPr defaultColWidth="9.140625" defaultRowHeight="12.75"/>
  <cols>
    <col min="1" max="1" width="8.5703125" customWidth="1"/>
    <col min="2" max="2" width="17.28515625" customWidth="1"/>
    <col min="3" max="3" width="16.140625" customWidth="1"/>
    <col min="4" max="4" width="4" customWidth="1"/>
    <col min="5" max="5" width="31" customWidth="1"/>
    <col min="6" max="6" width="6.7109375" customWidth="1"/>
    <col min="7" max="9" width="7.42578125" customWidth="1"/>
    <col min="10" max="10" width="9.42578125" customWidth="1"/>
    <col min="11" max="11" width="8" customWidth="1"/>
  </cols>
  <sheetData>
    <row r="1" spans="1:11" ht="30">
      <c r="A1" s="31" t="s">
        <v>350</v>
      </c>
      <c r="B1" s="32"/>
      <c r="C1" s="32"/>
      <c r="D1" s="32"/>
      <c r="E1" s="33"/>
      <c r="F1" s="32"/>
      <c r="G1" s="32"/>
      <c r="H1" s="32"/>
      <c r="I1" s="48"/>
      <c r="J1" s="49"/>
      <c r="K1" s="50"/>
    </row>
    <row r="2" spans="1:11" ht="19.149999999999999" customHeight="1">
      <c r="A2" s="51" t="s">
        <v>351</v>
      </c>
      <c r="B2" s="51"/>
      <c r="C2" s="51"/>
      <c r="D2" s="51"/>
      <c r="E2" s="52">
        <v>43978</v>
      </c>
      <c r="F2" s="51"/>
      <c r="G2" s="51"/>
      <c r="H2" s="51"/>
      <c r="I2" s="51"/>
      <c r="J2" s="51"/>
      <c r="K2" s="51"/>
    </row>
    <row r="3" spans="1:11" ht="14.25">
      <c r="F3" s="53" t="s">
        <v>352</v>
      </c>
    </row>
    <row r="4" spans="1:11" ht="13.5">
      <c r="A4" s="54" t="s">
        <v>353</v>
      </c>
      <c r="B4" s="54" t="s">
        <v>354</v>
      </c>
      <c r="C4" s="54" t="s">
        <v>355</v>
      </c>
      <c r="D4" s="54" t="s">
        <v>356</v>
      </c>
      <c r="E4" s="54" t="s">
        <v>357</v>
      </c>
      <c r="F4" s="54" t="s">
        <v>254</v>
      </c>
      <c r="G4" s="54" t="s">
        <v>358</v>
      </c>
      <c r="H4" s="54" t="s">
        <v>359</v>
      </c>
      <c r="I4" s="54" t="s">
        <v>360</v>
      </c>
      <c r="J4" s="54" t="s">
        <v>361</v>
      </c>
      <c r="K4" s="54" t="s">
        <v>362</v>
      </c>
    </row>
    <row r="5" spans="1:11">
      <c r="A5">
        <v>20529</v>
      </c>
      <c r="B5" t="s">
        <v>363</v>
      </c>
      <c r="C5" t="s">
        <v>364</v>
      </c>
      <c r="E5" t="s">
        <v>365</v>
      </c>
      <c r="F5">
        <v>86</v>
      </c>
      <c r="G5">
        <v>1988</v>
      </c>
      <c r="H5">
        <v>636</v>
      </c>
      <c r="I5">
        <v>0</v>
      </c>
      <c r="J5">
        <v>0</v>
      </c>
      <c r="K5">
        <v>0</v>
      </c>
    </row>
    <row r="6" spans="1:11">
      <c r="A6">
        <v>19009</v>
      </c>
      <c r="B6" t="s">
        <v>366</v>
      </c>
      <c r="C6" t="s">
        <v>367</v>
      </c>
      <c r="D6" t="s">
        <v>262</v>
      </c>
      <c r="E6" t="s">
        <v>368</v>
      </c>
      <c r="F6">
        <v>81</v>
      </c>
      <c r="G6">
        <v>1976</v>
      </c>
      <c r="H6">
        <v>595</v>
      </c>
      <c r="I6">
        <v>0.98399999999999999</v>
      </c>
      <c r="J6">
        <v>33.125999999999998</v>
      </c>
      <c r="K6">
        <v>0</v>
      </c>
    </row>
    <row r="7" spans="1:11">
      <c r="A7">
        <v>24317</v>
      </c>
      <c r="B7" t="s">
        <v>369</v>
      </c>
      <c r="C7" t="s">
        <v>370</v>
      </c>
      <c r="E7" t="s">
        <v>306</v>
      </c>
      <c r="F7">
        <v>33</v>
      </c>
      <c r="G7">
        <v>1954</v>
      </c>
      <c r="H7">
        <v>157</v>
      </c>
      <c r="I7">
        <v>17.141999999999999</v>
      </c>
      <c r="J7">
        <v>1069.23</v>
      </c>
      <c r="K7">
        <v>380</v>
      </c>
    </row>
    <row r="8" spans="1:11">
      <c r="A8">
        <v>14091</v>
      </c>
      <c r="B8" t="s">
        <v>371</v>
      </c>
      <c r="C8" t="s">
        <v>372</v>
      </c>
      <c r="E8" t="s">
        <v>373</v>
      </c>
      <c r="F8">
        <v>79</v>
      </c>
      <c r="G8">
        <v>1987</v>
      </c>
      <c r="H8">
        <v>637</v>
      </c>
      <c r="I8">
        <v>0</v>
      </c>
      <c r="J8">
        <v>0</v>
      </c>
      <c r="K8">
        <v>0</v>
      </c>
    </row>
    <row r="9" spans="1:11">
      <c r="A9">
        <v>17046</v>
      </c>
      <c r="B9" t="s">
        <v>374</v>
      </c>
      <c r="C9" t="s">
        <v>375</v>
      </c>
      <c r="E9" t="s">
        <v>376</v>
      </c>
      <c r="F9">
        <v>70</v>
      </c>
      <c r="G9">
        <v>1952</v>
      </c>
      <c r="H9">
        <v>638</v>
      </c>
      <c r="I9">
        <v>0</v>
      </c>
      <c r="J9">
        <v>0</v>
      </c>
      <c r="K9">
        <v>0</v>
      </c>
    </row>
    <row r="10" spans="1:11">
      <c r="A10">
        <v>23036</v>
      </c>
      <c r="B10" t="s">
        <v>377</v>
      </c>
      <c r="C10" t="s">
        <v>378</v>
      </c>
      <c r="D10" t="s">
        <v>262</v>
      </c>
      <c r="E10" t="s">
        <v>379</v>
      </c>
      <c r="F10">
        <v>44</v>
      </c>
      <c r="G10">
        <v>1969</v>
      </c>
      <c r="H10">
        <v>639</v>
      </c>
      <c r="I10">
        <v>0</v>
      </c>
      <c r="J10">
        <v>0</v>
      </c>
      <c r="K10">
        <v>0</v>
      </c>
    </row>
    <row r="11" spans="1:11">
      <c r="A11">
        <v>10136</v>
      </c>
      <c r="B11" t="s">
        <v>380</v>
      </c>
      <c r="C11" t="s">
        <v>381</v>
      </c>
      <c r="E11" t="s">
        <v>382</v>
      </c>
      <c r="F11">
        <v>61</v>
      </c>
      <c r="G11">
        <v>1978</v>
      </c>
      <c r="H11">
        <v>613</v>
      </c>
      <c r="I11">
        <v>0.93799999999999994</v>
      </c>
      <c r="J11">
        <v>23.425999999999998</v>
      </c>
      <c r="K11">
        <v>0</v>
      </c>
    </row>
    <row r="12" spans="1:11">
      <c r="A12">
        <v>18081</v>
      </c>
      <c r="B12" t="s">
        <v>383</v>
      </c>
      <c r="C12" t="s">
        <v>384</v>
      </c>
      <c r="E12" t="s">
        <v>138</v>
      </c>
      <c r="F12">
        <v>89</v>
      </c>
      <c r="G12">
        <v>1950</v>
      </c>
      <c r="H12">
        <v>270</v>
      </c>
      <c r="I12">
        <v>9.282</v>
      </c>
      <c r="J12">
        <v>464.92399999999998</v>
      </c>
      <c r="K12">
        <v>98</v>
      </c>
    </row>
    <row r="13" spans="1:11">
      <c r="A13">
        <v>96209</v>
      </c>
      <c r="B13" t="s">
        <v>383</v>
      </c>
      <c r="C13" t="s">
        <v>372</v>
      </c>
      <c r="E13" t="s">
        <v>148</v>
      </c>
      <c r="F13">
        <v>1</v>
      </c>
      <c r="G13">
        <v>1962</v>
      </c>
      <c r="H13">
        <v>225</v>
      </c>
      <c r="I13">
        <v>10.438000000000001</v>
      </c>
      <c r="J13">
        <v>627.55799999999999</v>
      </c>
      <c r="K13">
        <v>144</v>
      </c>
    </row>
    <row r="14" spans="1:11">
      <c r="A14">
        <v>18080</v>
      </c>
      <c r="B14" t="s">
        <v>385</v>
      </c>
      <c r="C14" t="s">
        <v>386</v>
      </c>
      <c r="D14" t="s">
        <v>262</v>
      </c>
      <c r="E14" t="s">
        <v>138</v>
      </c>
      <c r="F14">
        <v>89</v>
      </c>
      <c r="G14">
        <v>1949</v>
      </c>
      <c r="H14">
        <v>365</v>
      </c>
      <c r="I14">
        <v>6.7510000000000003</v>
      </c>
      <c r="J14">
        <v>251.60900000000001</v>
      </c>
      <c r="K14">
        <v>0</v>
      </c>
    </row>
    <row r="15" spans="1:11">
      <c r="A15">
        <v>23051</v>
      </c>
      <c r="B15" t="s">
        <v>385</v>
      </c>
      <c r="C15" t="s">
        <v>387</v>
      </c>
      <c r="D15" t="s">
        <v>262</v>
      </c>
      <c r="E15" t="s">
        <v>148</v>
      </c>
      <c r="F15">
        <v>1</v>
      </c>
      <c r="G15">
        <v>1992</v>
      </c>
      <c r="H15">
        <v>640</v>
      </c>
      <c r="I15">
        <v>0</v>
      </c>
      <c r="J15">
        <v>0</v>
      </c>
      <c r="K15">
        <v>0</v>
      </c>
    </row>
    <row r="16" spans="1:11">
      <c r="A16">
        <v>96210</v>
      </c>
      <c r="B16" t="s">
        <v>385</v>
      </c>
      <c r="C16" t="s">
        <v>388</v>
      </c>
      <c r="D16" t="s">
        <v>262</v>
      </c>
      <c r="E16" t="s">
        <v>148</v>
      </c>
      <c r="F16">
        <v>1</v>
      </c>
      <c r="G16">
        <v>1962</v>
      </c>
      <c r="H16">
        <v>641</v>
      </c>
      <c r="I16">
        <v>0</v>
      </c>
      <c r="J16">
        <v>0</v>
      </c>
      <c r="K16">
        <v>0</v>
      </c>
    </row>
    <row r="17" spans="1:11">
      <c r="A17">
        <v>28003</v>
      </c>
      <c r="B17" t="s">
        <v>389</v>
      </c>
      <c r="C17" t="s">
        <v>384</v>
      </c>
      <c r="E17" t="s">
        <v>142</v>
      </c>
      <c r="F17">
        <v>20</v>
      </c>
      <c r="G17">
        <v>1951</v>
      </c>
      <c r="H17">
        <v>642</v>
      </c>
      <c r="I17">
        <v>0</v>
      </c>
      <c r="J17">
        <v>0</v>
      </c>
      <c r="K17">
        <v>0</v>
      </c>
    </row>
    <row r="18" spans="1:11">
      <c r="A18">
        <v>13079</v>
      </c>
      <c r="B18" t="s">
        <v>390</v>
      </c>
      <c r="C18" t="s">
        <v>391</v>
      </c>
      <c r="E18" t="s">
        <v>392</v>
      </c>
      <c r="F18">
        <v>51</v>
      </c>
      <c r="G18">
        <v>1956</v>
      </c>
      <c r="H18">
        <v>89</v>
      </c>
      <c r="I18">
        <v>21.439</v>
      </c>
      <c r="J18">
        <v>1608.662</v>
      </c>
      <c r="K18">
        <v>628</v>
      </c>
    </row>
    <row r="19" spans="1:11">
      <c r="A19">
        <v>99527</v>
      </c>
      <c r="B19" t="s">
        <v>390</v>
      </c>
      <c r="C19" t="s">
        <v>391</v>
      </c>
      <c r="E19" t="s">
        <v>393</v>
      </c>
      <c r="F19">
        <v>29</v>
      </c>
      <c r="G19">
        <v>1961</v>
      </c>
      <c r="H19">
        <v>349</v>
      </c>
      <c r="I19">
        <v>7</v>
      </c>
      <c r="J19">
        <v>266.92599999999999</v>
      </c>
      <c r="K19">
        <v>0</v>
      </c>
    </row>
    <row r="20" spans="1:11">
      <c r="A20">
        <v>99528</v>
      </c>
      <c r="B20" t="s">
        <v>390</v>
      </c>
      <c r="C20" t="s">
        <v>394</v>
      </c>
      <c r="E20" t="s">
        <v>393</v>
      </c>
      <c r="F20">
        <v>29</v>
      </c>
      <c r="G20">
        <v>1967</v>
      </c>
      <c r="H20">
        <v>274</v>
      </c>
      <c r="I20">
        <v>13.875999999999999</v>
      </c>
      <c r="J20">
        <v>445.67500000000001</v>
      </c>
      <c r="K20">
        <v>0</v>
      </c>
    </row>
    <row r="21" spans="1:11">
      <c r="A21">
        <v>21808</v>
      </c>
      <c r="B21" t="s">
        <v>390</v>
      </c>
      <c r="C21" t="s">
        <v>395</v>
      </c>
      <c r="E21" t="s">
        <v>393</v>
      </c>
      <c r="F21">
        <v>29</v>
      </c>
      <c r="G21">
        <v>1989</v>
      </c>
      <c r="H21">
        <v>605</v>
      </c>
      <c r="I21">
        <v>0.59399999999999997</v>
      </c>
      <c r="J21">
        <v>24.492000000000001</v>
      </c>
      <c r="K21">
        <v>0</v>
      </c>
    </row>
    <row r="22" spans="1:11">
      <c r="A22">
        <v>17082</v>
      </c>
      <c r="B22" t="s">
        <v>390</v>
      </c>
      <c r="C22" t="s">
        <v>396</v>
      </c>
      <c r="D22" t="s">
        <v>397</v>
      </c>
      <c r="E22" t="s">
        <v>398</v>
      </c>
      <c r="F22">
        <v>27</v>
      </c>
      <c r="G22">
        <v>2010</v>
      </c>
      <c r="H22">
        <v>508</v>
      </c>
      <c r="I22">
        <v>1.4530000000000001</v>
      </c>
      <c r="J22">
        <v>78.328000000000003</v>
      </c>
      <c r="K22">
        <v>19</v>
      </c>
    </row>
    <row r="23" spans="1:11">
      <c r="A23">
        <v>14010</v>
      </c>
      <c r="B23" t="s">
        <v>399</v>
      </c>
      <c r="C23" t="s">
        <v>400</v>
      </c>
      <c r="D23" t="s">
        <v>262</v>
      </c>
      <c r="E23" t="s">
        <v>401</v>
      </c>
      <c r="F23">
        <v>16</v>
      </c>
      <c r="G23">
        <v>1975</v>
      </c>
      <c r="H23">
        <v>617</v>
      </c>
      <c r="I23">
        <v>0.53100000000000003</v>
      </c>
      <c r="J23">
        <v>21.914000000000001</v>
      </c>
      <c r="K23">
        <v>0</v>
      </c>
    </row>
    <row r="24" spans="1:11">
      <c r="A24">
        <v>15042</v>
      </c>
      <c r="B24" t="s">
        <v>402</v>
      </c>
      <c r="C24" t="s">
        <v>378</v>
      </c>
      <c r="D24" t="s">
        <v>262</v>
      </c>
      <c r="E24" t="s">
        <v>392</v>
      </c>
      <c r="F24">
        <v>51</v>
      </c>
      <c r="G24">
        <v>1955</v>
      </c>
      <c r="H24">
        <v>90</v>
      </c>
      <c r="I24">
        <v>21.079000000000001</v>
      </c>
      <c r="J24">
        <v>1608.662</v>
      </c>
      <c r="K24">
        <v>628</v>
      </c>
    </row>
    <row r="25" spans="1:11">
      <c r="A25">
        <v>14008</v>
      </c>
      <c r="B25" t="s">
        <v>403</v>
      </c>
      <c r="C25" t="s">
        <v>404</v>
      </c>
      <c r="E25" t="s">
        <v>300</v>
      </c>
      <c r="F25">
        <v>30</v>
      </c>
      <c r="G25">
        <v>1978</v>
      </c>
      <c r="H25">
        <v>44</v>
      </c>
      <c r="I25">
        <v>39.375</v>
      </c>
      <c r="J25">
        <v>2353.252</v>
      </c>
      <c r="K25">
        <v>854</v>
      </c>
    </row>
    <row r="26" spans="1:11">
      <c r="A26">
        <v>27012</v>
      </c>
      <c r="B26" t="s">
        <v>405</v>
      </c>
      <c r="C26" t="s">
        <v>372</v>
      </c>
      <c r="E26" t="s">
        <v>406</v>
      </c>
      <c r="F26">
        <v>59</v>
      </c>
      <c r="G26">
        <v>1984</v>
      </c>
      <c r="H26">
        <v>645</v>
      </c>
      <c r="I26">
        <v>0</v>
      </c>
      <c r="J26">
        <v>0</v>
      </c>
      <c r="K26">
        <v>0</v>
      </c>
    </row>
    <row r="27" spans="1:11">
      <c r="A27">
        <v>27002</v>
      </c>
      <c r="B27" t="s">
        <v>405</v>
      </c>
      <c r="C27" t="s">
        <v>407</v>
      </c>
      <c r="E27" t="s">
        <v>406</v>
      </c>
      <c r="F27">
        <v>59</v>
      </c>
      <c r="G27">
        <v>1986</v>
      </c>
      <c r="H27">
        <v>644</v>
      </c>
      <c r="I27">
        <v>0</v>
      </c>
      <c r="J27">
        <v>0</v>
      </c>
      <c r="K27">
        <v>0</v>
      </c>
    </row>
    <row r="28" spans="1:11">
      <c r="A28">
        <v>27001</v>
      </c>
      <c r="B28" t="s">
        <v>405</v>
      </c>
      <c r="C28" t="s">
        <v>408</v>
      </c>
      <c r="E28" t="s">
        <v>406</v>
      </c>
      <c r="F28">
        <v>59</v>
      </c>
      <c r="G28">
        <v>1956</v>
      </c>
      <c r="H28">
        <v>643</v>
      </c>
      <c r="I28">
        <v>0</v>
      </c>
      <c r="J28">
        <v>0</v>
      </c>
      <c r="K28">
        <v>0</v>
      </c>
    </row>
    <row r="29" spans="1:11">
      <c r="A29">
        <v>19022</v>
      </c>
      <c r="B29" t="s">
        <v>409</v>
      </c>
      <c r="C29" t="s">
        <v>410</v>
      </c>
      <c r="D29" t="s">
        <v>262</v>
      </c>
      <c r="E29" t="s">
        <v>376</v>
      </c>
      <c r="F29">
        <v>70</v>
      </c>
      <c r="G29">
        <v>1942</v>
      </c>
      <c r="H29">
        <v>545</v>
      </c>
      <c r="I29">
        <v>1.5009999999999999</v>
      </c>
      <c r="J29">
        <v>59.683999999999997</v>
      </c>
      <c r="K29">
        <v>0</v>
      </c>
    </row>
    <row r="30" spans="1:11">
      <c r="A30">
        <v>27009</v>
      </c>
      <c r="B30" t="s">
        <v>409</v>
      </c>
      <c r="C30" t="s">
        <v>411</v>
      </c>
      <c r="D30" t="s">
        <v>262</v>
      </c>
      <c r="E30" t="s">
        <v>406</v>
      </c>
      <c r="F30">
        <v>59</v>
      </c>
      <c r="G30">
        <v>1992</v>
      </c>
      <c r="H30">
        <v>646</v>
      </c>
      <c r="I30">
        <v>0</v>
      </c>
      <c r="J30">
        <v>0</v>
      </c>
      <c r="K30">
        <v>0</v>
      </c>
    </row>
    <row r="31" spans="1:11">
      <c r="A31">
        <v>18107</v>
      </c>
      <c r="B31" t="s">
        <v>412</v>
      </c>
      <c r="C31" t="s">
        <v>407</v>
      </c>
      <c r="D31" t="s">
        <v>397</v>
      </c>
      <c r="E31" t="s">
        <v>413</v>
      </c>
      <c r="F31">
        <v>94</v>
      </c>
      <c r="G31">
        <v>2009</v>
      </c>
      <c r="H31">
        <v>541</v>
      </c>
      <c r="I31">
        <v>1.5</v>
      </c>
      <c r="J31">
        <v>63.335000000000001</v>
      </c>
      <c r="K31">
        <v>0</v>
      </c>
    </row>
    <row r="32" spans="1:11">
      <c r="A32">
        <v>17060</v>
      </c>
      <c r="B32" t="s">
        <v>412</v>
      </c>
      <c r="C32" t="s">
        <v>414</v>
      </c>
      <c r="D32" t="s">
        <v>397</v>
      </c>
      <c r="E32" t="s">
        <v>413</v>
      </c>
      <c r="F32">
        <v>94</v>
      </c>
      <c r="G32">
        <v>2004</v>
      </c>
      <c r="H32">
        <v>80</v>
      </c>
      <c r="I32">
        <v>29.437999999999999</v>
      </c>
      <c r="J32">
        <v>1772.0340000000001</v>
      </c>
      <c r="K32">
        <v>583</v>
      </c>
    </row>
    <row r="33" spans="1:11">
      <c r="A33">
        <v>15012</v>
      </c>
      <c r="B33" t="s">
        <v>415</v>
      </c>
      <c r="C33" t="s">
        <v>416</v>
      </c>
      <c r="E33" t="s">
        <v>417</v>
      </c>
      <c r="F33">
        <v>69</v>
      </c>
      <c r="G33">
        <v>1947</v>
      </c>
      <c r="H33">
        <v>616</v>
      </c>
      <c r="I33">
        <v>0.68799999999999994</v>
      </c>
      <c r="J33">
        <v>21.928999999999998</v>
      </c>
      <c r="K33">
        <v>0</v>
      </c>
    </row>
    <row r="34" spans="1:11">
      <c r="A34">
        <v>13001</v>
      </c>
      <c r="B34" t="s">
        <v>418</v>
      </c>
      <c r="C34" t="s">
        <v>419</v>
      </c>
      <c r="D34" t="s">
        <v>262</v>
      </c>
      <c r="E34" t="s">
        <v>142</v>
      </c>
      <c r="F34">
        <v>20</v>
      </c>
      <c r="G34">
        <v>1970</v>
      </c>
      <c r="H34">
        <v>45</v>
      </c>
      <c r="I34">
        <v>27.501000000000001</v>
      </c>
      <c r="J34">
        <v>2349.4540000000002</v>
      </c>
      <c r="K34">
        <v>1110</v>
      </c>
    </row>
    <row r="35" spans="1:11">
      <c r="A35">
        <v>10100</v>
      </c>
      <c r="B35" t="s">
        <v>420</v>
      </c>
      <c r="C35" t="s">
        <v>394</v>
      </c>
      <c r="E35" t="s">
        <v>376</v>
      </c>
      <c r="F35">
        <v>70</v>
      </c>
      <c r="G35">
        <v>1940</v>
      </c>
      <c r="H35">
        <v>647</v>
      </c>
      <c r="I35">
        <v>0</v>
      </c>
      <c r="J35">
        <v>0</v>
      </c>
      <c r="K35">
        <v>0</v>
      </c>
    </row>
    <row r="36" spans="1:11">
      <c r="A36">
        <v>10101</v>
      </c>
      <c r="B36" t="s">
        <v>421</v>
      </c>
      <c r="C36" t="s">
        <v>422</v>
      </c>
      <c r="D36" t="s">
        <v>262</v>
      </c>
      <c r="E36" t="s">
        <v>376</v>
      </c>
      <c r="F36">
        <v>70</v>
      </c>
      <c r="G36">
        <v>1938</v>
      </c>
      <c r="H36">
        <v>648</v>
      </c>
      <c r="I36">
        <v>0</v>
      </c>
      <c r="J36">
        <v>0</v>
      </c>
      <c r="K36">
        <v>0</v>
      </c>
    </row>
    <row r="37" spans="1:11">
      <c r="A37">
        <v>28050</v>
      </c>
      <c r="B37" t="s">
        <v>423</v>
      </c>
      <c r="C37" t="s">
        <v>394</v>
      </c>
      <c r="E37" t="s">
        <v>116</v>
      </c>
      <c r="F37">
        <v>19</v>
      </c>
      <c r="G37">
        <v>1952</v>
      </c>
      <c r="H37">
        <v>287</v>
      </c>
      <c r="I37">
        <v>10.375</v>
      </c>
      <c r="J37">
        <v>400.65600000000001</v>
      </c>
      <c r="K37">
        <v>97</v>
      </c>
    </row>
    <row r="38" spans="1:11">
      <c r="A38">
        <v>18033</v>
      </c>
      <c r="B38" t="s">
        <v>424</v>
      </c>
      <c r="C38" t="s">
        <v>384</v>
      </c>
      <c r="E38" t="s">
        <v>368</v>
      </c>
      <c r="F38">
        <v>81</v>
      </c>
      <c r="G38">
        <v>1999</v>
      </c>
      <c r="H38">
        <v>649</v>
      </c>
      <c r="I38">
        <v>0</v>
      </c>
      <c r="J38">
        <v>0</v>
      </c>
      <c r="K38">
        <v>0</v>
      </c>
    </row>
    <row r="39" spans="1:11">
      <c r="A39">
        <v>16049</v>
      </c>
      <c r="B39" t="s">
        <v>425</v>
      </c>
      <c r="C39" t="s">
        <v>384</v>
      </c>
      <c r="E39" t="s">
        <v>368</v>
      </c>
      <c r="F39">
        <v>81</v>
      </c>
      <c r="G39">
        <v>1973</v>
      </c>
      <c r="H39">
        <v>532</v>
      </c>
      <c r="I39">
        <v>1.625</v>
      </c>
      <c r="J39">
        <v>65.715000000000003</v>
      </c>
      <c r="K39">
        <v>0</v>
      </c>
    </row>
    <row r="40" spans="1:11">
      <c r="A40">
        <v>13025</v>
      </c>
      <c r="B40" t="s">
        <v>426</v>
      </c>
      <c r="C40" t="s">
        <v>427</v>
      </c>
      <c r="E40" t="s">
        <v>428</v>
      </c>
      <c r="F40">
        <v>76</v>
      </c>
      <c r="G40">
        <v>1979</v>
      </c>
      <c r="H40">
        <v>650</v>
      </c>
      <c r="I40">
        <v>0</v>
      </c>
      <c r="J40">
        <v>0</v>
      </c>
      <c r="K40">
        <v>0</v>
      </c>
    </row>
    <row r="41" spans="1:11">
      <c r="A41">
        <v>13050</v>
      </c>
      <c r="B41" t="s">
        <v>429</v>
      </c>
      <c r="C41" t="s">
        <v>430</v>
      </c>
      <c r="D41" t="s">
        <v>262</v>
      </c>
      <c r="E41" t="s">
        <v>376</v>
      </c>
      <c r="F41">
        <v>70</v>
      </c>
      <c r="G41">
        <v>1935</v>
      </c>
      <c r="H41">
        <v>651</v>
      </c>
      <c r="I41">
        <v>0</v>
      </c>
      <c r="J41">
        <v>0</v>
      </c>
      <c r="K41">
        <v>0</v>
      </c>
    </row>
    <row r="42" spans="1:11">
      <c r="A42">
        <v>28005</v>
      </c>
      <c r="B42" t="s">
        <v>431</v>
      </c>
      <c r="C42" t="s">
        <v>414</v>
      </c>
      <c r="E42" t="s">
        <v>432</v>
      </c>
      <c r="F42">
        <v>2</v>
      </c>
      <c r="G42">
        <v>1953</v>
      </c>
      <c r="H42">
        <v>160</v>
      </c>
      <c r="I42">
        <v>16.876999999999999</v>
      </c>
      <c r="J42">
        <v>1029.0219999999999</v>
      </c>
      <c r="K42">
        <v>334</v>
      </c>
    </row>
    <row r="43" spans="1:11">
      <c r="A43">
        <v>28056</v>
      </c>
      <c r="B43" t="s">
        <v>433</v>
      </c>
      <c r="C43" t="s">
        <v>434</v>
      </c>
      <c r="D43" t="s">
        <v>262</v>
      </c>
      <c r="E43" t="s">
        <v>432</v>
      </c>
      <c r="F43">
        <v>2</v>
      </c>
      <c r="G43">
        <v>1952</v>
      </c>
      <c r="H43">
        <v>174</v>
      </c>
      <c r="I43">
        <v>15.534000000000001</v>
      </c>
      <c r="J43">
        <v>933.93100000000004</v>
      </c>
      <c r="K43">
        <v>289</v>
      </c>
    </row>
    <row r="44" spans="1:11">
      <c r="A44">
        <v>19061</v>
      </c>
      <c r="B44" t="s">
        <v>435</v>
      </c>
      <c r="C44" t="s">
        <v>400</v>
      </c>
      <c r="D44" t="s">
        <v>262</v>
      </c>
      <c r="E44" t="s">
        <v>148</v>
      </c>
      <c r="F44">
        <v>1</v>
      </c>
      <c r="G44">
        <v>1945</v>
      </c>
      <c r="H44">
        <v>652</v>
      </c>
      <c r="I44">
        <v>0</v>
      </c>
      <c r="J44">
        <v>0</v>
      </c>
      <c r="K44">
        <v>0</v>
      </c>
    </row>
    <row r="45" spans="1:11">
      <c r="A45">
        <v>19023</v>
      </c>
      <c r="B45" t="s">
        <v>436</v>
      </c>
      <c r="C45" t="s">
        <v>437</v>
      </c>
      <c r="D45" t="s">
        <v>262</v>
      </c>
      <c r="E45" t="s">
        <v>376</v>
      </c>
      <c r="F45">
        <v>70</v>
      </c>
      <c r="G45">
        <v>1956</v>
      </c>
      <c r="H45">
        <v>452</v>
      </c>
      <c r="I45">
        <v>2.6890000000000001</v>
      </c>
      <c r="J45">
        <v>126.809</v>
      </c>
      <c r="K45">
        <v>0</v>
      </c>
    </row>
    <row r="46" spans="1:11">
      <c r="A46">
        <v>12033</v>
      </c>
      <c r="B46" t="s">
        <v>438</v>
      </c>
      <c r="C46" t="s">
        <v>439</v>
      </c>
      <c r="E46" t="s">
        <v>440</v>
      </c>
      <c r="F46">
        <v>73</v>
      </c>
      <c r="G46">
        <v>1948</v>
      </c>
      <c r="H46">
        <v>320</v>
      </c>
      <c r="I46">
        <v>4.8129999999999997</v>
      </c>
      <c r="J46">
        <v>319.70600000000002</v>
      </c>
      <c r="K46">
        <v>101</v>
      </c>
    </row>
    <row r="47" spans="1:11">
      <c r="A47">
        <v>12030</v>
      </c>
      <c r="B47" t="s">
        <v>441</v>
      </c>
      <c r="C47" t="s">
        <v>442</v>
      </c>
      <c r="D47" t="s">
        <v>262</v>
      </c>
      <c r="E47" t="s">
        <v>440</v>
      </c>
      <c r="F47">
        <v>73</v>
      </c>
      <c r="G47">
        <v>1948</v>
      </c>
      <c r="H47">
        <v>322</v>
      </c>
      <c r="I47">
        <v>4.7510000000000003</v>
      </c>
      <c r="J47">
        <v>314.62099999999998</v>
      </c>
      <c r="K47">
        <v>101</v>
      </c>
    </row>
    <row r="48" spans="1:11">
      <c r="A48">
        <v>17061</v>
      </c>
      <c r="B48" t="s">
        <v>443</v>
      </c>
      <c r="C48" t="s">
        <v>444</v>
      </c>
      <c r="D48" t="s">
        <v>397</v>
      </c>
      <c r="E48" t="s">
        <v>413</v>
      </c>
      <c r="F48">
        <v>94</v>
      </c>
      <c r="G48">
        <v>2003</v>
      </c>
      <c r="H48">
        <v>593</v>
      </c>
      <c r="I48">
        <v>0.78100000000000003</v>
      </c>
      <c r="J48">
        <v>33.307000000000002</v>
      </c>
      <c r="K48">
        <v>0</v>
      </c>
    </row>
    <row r="49" spans="1:11">
      <c r="A49">
        <v>14081</v>
      </c>
      <c r="B49" t="s">
        <v>445</v>
      </c>
      <c r="C49" t="s">
        <v>446</v>
      </c>
      <c r="D49" t="s">
        <v>262</v>
      </c>
      <c r="E49" t="s">
        <v>373</v>
      </c>
      <c r="F49">
        <v>79</v>
      </c>
      <c r="G49">
        <v>1982</v>
      </c>
      <c r="H49">
        <v>126</v>
      </c>
      <c r="I49">
        <v>19.314</v>
      </c>
      <c r="J49">
        <v>1244.7539999999999</v>
      </c>
      <c r="K49">
        <v>445</v>
      </c>
    </row>
    <row r="50" spans="1:11">
      <c r="A50">
        <v>12055</v>
      </c>
      <c r="B50" t="s">
        <v>447</v>
      </c>
      <c r="C50" t="s">
        <v>448</v>
      </c>
      <c r="D50" t="s">
        <v>262</v>
      </c>
      <c r="E50" t="s">
        <v>198</v>
      </c>
      <c r="F50">
        <v>21</v>
      </c>
      <c r="G50">
        <v>1946</v>
      </c>
      <c r="H50">
        <v>653</v>
      </c>
      <c r="I50">
        <v>0</v>
      </c>
      <c r="J50">
        <v>0</v>
      </c>
      <c r="K50">
        <v>0</v>
      </c>
    </row>
    <row r="51" spans="1:11">
      <c r="A51">
        <v>10076</v>
      </c>
      <c r="B51" t="s">
        <v>449</v>
      </c>
      <c r="C51" t="s">
        <v>450</v>
      </c>
      <c r="E51" t="s">
        <v>417</v>
      </c>
      <c r="F51">
        <v>69</v>
      </c>
      <c r="G51">
        <v>1947</v>
      </c>
      <c r="H51">
        <v>267</v>
      </c>
      <c r="I51">
        <v>7.9379999999999997</v>
      </c>
      <c r="J51">
        <v>470.57400000000001</v>
      </c>
      <c r="K51">
        <v>194</v>
      </c>
    </row>
    <row r="52" spans="1:11">
      <c r="A52">
        <v>14033</v>
      </c>
      <c r="B52" t="s">
        <v>451</v>
      </c>
      <c r="C52" t="s">
        <v>452</v>
      </c>
      <c r="E52" t="s">
        <v>453</v>
      </c>
      <c r="F52">
        <v>78</v>
      </c>
      <c r="G52">
        <v>1969</v>
      </c>
      <c r="H52">
        <v>478</v>
      </c>
      <c r="I52">
        <v>1.3129999999999999</v>
      </c>
      <c r="J52">
        <v>103.71899999999999</v>
      </c>
      <c r="K52">
        <v>44</v>
      </c>
    </row>
    <row r="53" spans="1:11">
      <c r="A53">
        <v>16002</v>
      </c>
      <c r="B53" t="s">
        <v>454</v>
      </c>
      <c r="C53" t="s">
        <v>375</v>
      </c>
      <c r="E53" t="s">
        <v>455</v>
      </c>
      <c r="F53">
        <v>62</v>
      </c>
      <c r="G53">
        <v>1978</v>
      </c>
      <c r="H53">
        <v>654</v>
      </c>
      <c r="I53">
        <v>0</v>
      </c>
      <c r="J53">
        <v>0</v>
      </c>
      <c r="K53">
        <v>0</v>
      </c>
    </row>
    <row r="54" spans="1:11">
      <c r="A54">
        <v>25092</v>
      </c>
      <c r="B54" t="s">
        <v>454</v>
      </c>
      <c r="C54" t="s">
        <v>414</v>
      </c>
      <c r="E54" t="s">
        <v>456</v>
      </c>
      <c r="F54">
        <v>24</v>
      </c>
      <c r="G54">
        <v>1969</v>
      </c>
      <c r="H54">
        <v>516</v>
      </c>
      <c r="I54">
        <v>0.68799999999999994</v>
      </c>
      <c r="J54">
        <v>72.715999999999994</v>
      </c>
      <c r="K54">
        <v>41</v>
      </c>
    </row>
    <row r="55" spans="1:11">
      <c r="A55">
        <v>16050</v>
      </c>
      <c r="B55" t="s">
        <v>457</v>
      </c>
      <c r="C55" t="s">
        <v>458</v>
      </c>
      <c r="E55" t="s">
        <v>368</v>
      </c>
      <c r="F55">
        <v>81</v>
      </c>
      <c r="G55">
        <v>1958</v>
      </c>
      <c r="H55">
        <v>655</v>
      </c>
      <c r="I55">
        <v>0</v>
      </c>
      <c r="J55">
        <v>0</v>
      </c>
      <c r="K55">
        <v>0</v>
      </c>
    </row>
    <row r="56" spans="1:11">
      <c r="A56">
        <v>16028</v>
      </c>
      <c r="B56" t="s">
        <v>459</v>
      </c>
      <c r="C56" t="s">
        <v>460</v>
      </c>
      <c r="D56" t="s">
        <v>262</v>
      </c>
      <c r="E56" t="s">
        <v>393</v>
      </c>
      <c r="F56">
        <v>29</v>
      </c>
      <c r="G56">
        <v>1968</v>
      </c>
      <c r="H56">
        <v>476</v>
      </c>
      <c r="I56">
        <v>2.6880000000000002</v>
      </c>
      <c r="J56">
        <v>104.971</v>
      </c>
      <c r="K56">
        <v>0</v>
      </c>
    </row>
    <row r="57" spans="1:11">
      <c r="A57">
        <v>13055</v>
      </c>
      <c r="B57" t="s">
        <v>461</v>
      </c>
      <c r="C57" t="s">
        <v>395</v>
      </c>
      <c r="E57" t="s">
        <v>300</v>
      </c>
      <c r="F57">
        <v>30</v>
      </c>
      <c r="G57">
        <v>1971</v>
      </c>
      <c r="H57">
        <v>457</v>
      </c>
      <c r="I57">
        <v>3.5</v>
      </c>
      <c r="J57">
        <v>121.845</v>
      </c>
      <c r="K57">
        <v>0</v>
      </c>
    </row>
    <row r="58" spans="1:11">
      <c r="A58">
        <v>14078</v>
      </c>
      <c r="B58" t="s">
        <v>462</v>
      </c>
      <c r="C58" t="s">
        <v>395</v>
      </c>
      <c r="E58" t="s">
        <v>373</v>
      </c>
      <c r="F58">
        <v>79</v>
      </c>
      <c r="G58">
        <v>1985</v>
      </c>
      <c r="H58">
        <v>656</v>
      </c>
      <c r="I58">
        <v>0</v>
      </c>
      <c r="J58">
        <v>0</v>
      </c>
      <c r="K58">
        <v>0</v>
      </c>
    </row>
    <row r="59" spans="1:11">
      <c r="A59">
        <v>96225</v>
      </c>
      <c r="B59" t="s">
        <v>463</v>
      </c>
      <c r="C59" t="s">
        <v>464</v>
      </c>
      <c r="E59" t="s">
        <v>465</v>
      </c>
      <c r="F59">
        <v>28</v>
      </c>
      <c r="G59">
        <v>1950</v>
      </c>
      <c r="H59">
        <v>658</v>
      </c>
      <c r="I59">
        <v>0</v>
      </c>
      <c r="J59">
        <v>0</v>
      </c>
      <c r="K59">
        <v>0</v>
      </c>
    </row>
    <row r="60" spans="1:11">
      <c r="A60">
        <v>23049</v>
      </c>
      <c r="B60" t="s">
        <v>463</v>
      </c>
      <c r="C60" t="s">
        <v>466</v>
      </c>
      <c r="E60" t="s">
        <v>379</v>
      </c>
      <c r="F60">
        <v>44</v>
      </c>
      <c r="G60">
        <v>1985</v>
      </c>
      <c r="H60">
        <v>657</v>
      </c>
      <c r="I60">
        <v>0</v>
      </c>
      <c r="J60">
        <v>0</v>
      </c>
      <c r="K60">
        <v>0</v>
      </c>
    </row>
    <row r="61" spans="1:11">
      <c r="A61">
        <v>23048</v>
      </c>
      <c r="B61" t="s">
        <v>463</v>
      </c>
      <c r="C61" t="s">
        <v>467</v>
      </c>
      <c r="E61" t="s">
        <v>379</v>
      </c>
      <c r="F61">
        <v>44</v>
      </c>
      <c r="G61">
        <v>1961</v>
      </c>
      <c r="H61">
        <v>406</v>
      </c>
      <c r="I61">
        <v>4.75</v>
      </c>
      <c r="J61">
        <v>187.07</v>
      </c>
      <c r="K61">
        <v>44</v>
      </c>
    </row>
    <row r="62" spans="1:11">
      <c r="A62">
        <v>23033</v>
      </c>
      <c r="B62" t="s">
        <v>468</v>
      </c>
      <c r="C62" t="s">
        <v>411</v>
      </c>
      <c r="D62" t="s">
        <v>262</v>
      </c>
      <c r="E62" t="s">
        <v>379</v>
      </c>
      <c r="F62">
        <v>44</v>
      </c>
      <c r="G62">
        <v>1963</v>
      </c>
      <c r="H62">
        <v>659</v>
      </c>
      <c r="I62">
        <v>0</v>
      </c>
      <c r="J62">
        <v>0</v>
      </c>
      <c r="K62">
        <v>0</v>
      </c>
    </row>
    <row r="63" spans="1:11">
      <c r="A63">
        <v>20510</v>
      </c>
      <c r="B63" t="s">
        <v>469</v>
      </c>
      <c r="C63" t="s">
        <v>375</v>
      </c>
      <c r="E63" t="s">
        <v>470</v>
      </c>
      <c r="F63">
        <v>55</v>
      </c>
      <c r="G63">
        <v>1980</v>
      </c>
      <c r="H63">
        <v>660</v>
      </c>
      <c r="I63">
        <v>0</v>
      </c>
      <c r="J63">
        <v>0</v>
      </c>
      <c r="K63">
        <v>0</v>
      </c>
    </row>
    <row r="64" spans="1:11">
      <c r="A64">
        <v>19060</v>
      </c>
      <c r="B64" t="s">
        <v>471</v>
      </c>
      <c r="C64" t="s">
        <v>458</v>
      </c>
      <c r="E64" t="s">
        <v>148</v>
      </c>
      <c r="F64">
        <v>1</v>
      </c>
      <c r="G64">
        <v>1954</v>
      </c>
      <c r="H64">
        <v>388</v>
      </c>
      <c r="I64">
        <v>1.5629999999999999</v>
      </c>
      <c r="J64">
        <v>212.19399999999999</v>
      </c>
      <c r="K64">
        <v>136</v>
      </c>
    </row>
    <row r="65" spans="1:11">
      <c r="A65">
        <v>26011</v>
      </c>
      <c r="B65" t="s">
        <v>471</v>
      </c>
      <c r="C65" t="s">
        <v>458</v>
      </c>
      <c r="E65" t="s">
        <v>148</v>
      </c>
      <c r="F65">
        <v>1</v>
      </c>
      <c r="G65">
        <v>1987</v>
      </c>
      <c r="H65">
        <v>40</v>
      </c>
      <c r="I65">
        <v>27.626999999999999</v>
      </c>
      <c r="J65">
        <v>2371.8449999999998</v>
      </c>
      <c r="K65">
        <v>1052</v>
      </c>
    </row>
    <row r="66" spans="1:11">
      <c r="A66">
        <v>16118</v>
      </c>
      <c r="B66" t="s">
        <v>472</v>
      </c>
      <c r="C66" t="s">
        <v>473</v>
      </c>
      <c r="D66" t="s">
        <v>262</v>
      </c>
      <c r="E66" t="s">
        <v>373</v>
      </c>
      <c r="F66">
        <v>79</v>
      </c>
      <c r="G66">
        <v>1986</v>
      </c>
      <c r="H66">
        <v>661</v>
      </c>
      <c r="I66">
        <v>0</v>
      </c>
      <c r="J66">
        <v>0</v>
      </c>
      <c r="K66">
        <v>0</v>
      </c>
    </row>
    <row r="67" spans="1:11">
      <c r="A67">
        <v>11049</v>
      </c>
      <c r="B67" t="s">
        <v>474</v>
      </c>
      <c r="C67" t="s">
        <v>475</v>
      </c>
      <c r="E67" t="s">
        <v>148</v>
      </c>
      <c r="F67">
        <v>1</v>
      </c>
      <c r="G67">
        <v>1953</v>
      </c>
      <c r="H67">
        <v>229</v>
      </c>
      <c r="I67">
        <v>10.407</v>
      </c>
      <c r="J67">
        <v>599.96600000000001</v>
      </c>
      <c r="K67">
        <v>132</v>
      </c>
    </row>
    <row r="68" spans="1:11">
      <c r="A68">
        <v>16033</v>
      </c>
      <c r="B68" t="s">
        <v>476</v>
      </c>
      <c r="C68" t="s">
        <v>444</v>
      </c>
      <c r="E68" t="s">
        <v>288</v>
      </c>
      <c r="F68">
        <v>22</v>
      </c>
      <c r="G68">
        <v>1977</v>
      </c>
      <c r="H68">
        <v>317</v>
      </c>
      <c r="I68">
        <v>10.75</v>
      </c>
      <c r="J68">
        <v>334.51600000000002</v>
      </c>
      <c r="K68">
        <v>0</v>
      </c>
    </row>
    <row r="69" spans="1:11">
      <c r="A69">
        <v>20516</v>
      </c>
      <c r="B69" t="s">
        <v>477</v>
      </c>
      <c r="C69" t="s">
        <v>478</v>
      </c>
      <c r="D69" t="s">
        <v>262</v>
      </c>
      <c r="E69" t="s">
        <v>376</v>
      </c>
      <c r="F69">
        <v>70</v>
      </c>
      <c r="G69">
        <v>1953</v>
      </c>
      <c r="H69">
        <v>493</v>
      </c>
      <c r="I69">
        <v>1.8129999999999999</v>
      </c>
      <c r="J69">
        <v>87.906000000000006</v>
      </c>
      <c r="K69">
        <v>0</v>
      </c>
    </row>
    <row r="70" spans="1:11">
      <c r="A70">
        <v>96005</v>
      </c>
      <c r="B70" t="s">
        <v>479</v>
      </c>
      <c r="C70" t="s">
        <v>444</v>
      </c>
      <c r="E70" t="s">
        <v>133</v>
      </c>
      <c r="F70">
        <v>63</v>
      </c>
      <c r="G70">
        <v>1946</v>
      </c>
      <c r="H70">
        <v>280</v>
      </c>
      <c r="I70">
        <v>9.0009999999999994</v>
      </c>
      <c r="J70">
        <v>437.09500000000003</v>
      </c>
      <c r="K70">
        <v>99</v>
      </c>
    </row>
    <row r="71" spans="1:11">
      <c r="A71">
        <v>13006</v>
      </c>
      <c r="B71" t="s">
        <v>480</v>
      </c>
      <c r="C71" t="s">
        <v>481</v>
      </c>
      <c r="E71" t="s">
        <v>482</v>
      </c>
      <c r="F71">
        <v>75</v>
      </c>
      <c r="G71">
        <v>1987</v>
      </c>
      <c r="H71">
        <v>662</v>
      </c>
      <c r="I71">
        <v>0</v>
      </c>
      <c r="J71">
        <v>0</v>
      </c>
      <c r="K71">
        <v>0</v>
      </c>
    </row>
    <row r="72" spans="1:11">
      <c r="A72">
        <v>13005</v>
      </c>
      <c r="B72" t="s">
        <v>480</v>
      </c>
      <c r="C72" t="s">
        <v>483</v>
      </c>
      <c r="E72" t="s">
        <v>482</v>
      </c>
      <c r="F72">
        <v>75</v>
      </c>
      <c r="G72">
        <v>1963</v>
      </c>
      <c r="H72">
        <v>68</v>
      </c>
      <c r="I72">
        <v>31.375</v>
      </c>
      <c r="J72">
        <v>1959.886</v>
      </c>
      <c r="K72">
        <v>829</v>
      </c>
    </row>
    <row r="73" spans="1:11">
      <c r="A73">
        <v>20523</v>
      </c>
      <c r="B73" t="s">
        <v>484</v>
      </c>
      <c r="C73" t="s">
        <v>485</v>
      </c>
      <c r="D73" t="s">
        <v>262</v>
      </c>
      <c r="E73" t="s">
        <v>373</v>
      </c>
      <c r="F73">
        <v>79</v>
      </c>
      <c r="G73">
        <v>1988</v>
      </c>
      <c r="H73">
        <v>663</v>
      </c>
      <c r="I73">
        <v>0</v>
      </c>
      <c r="J73">
        <v>0</v>
      </c>
      <c r="K73">
        <v>0</v>
      </c>
    </row>
    <row r="74" spans="1:11">
      <c r="A74">
        <v>13007</v>
      </c>
      <c r="B74" t="s">
        <v>484</v>
      </c>
      <c r="C74" t="s">
        <v>486</v>
      </c>
      <c r="D74" t="s">
        <v>262</v>
      </c>
      <c r="E74" t="s">
        <v>482</v>
      </c>
      <c r="F74">
        <v>75</v>
      </c>
      <c r="G74">
        <v>1966</v>
      </c>
      <c r="H74">
        <v>91</v>
      </c>
      <c r="I74">
        <v>21.376000000000001</v>
      </c>
      <c r="J74">
        <v>1595.1210000000001</v>
      </c>
      <c r="K74">
        <v>670</v>
      </c>
    </row>
    <row r="75" spans="1:11">
      <c r="A75">
        <v>26029</v>
      </c>
      <c r="B75" t="s">
        <v>487</v>
      </c>
      <c r="C75" t="s">
        <v>488</v>
      </c>
      <c r="E75" t="s">
        <v>300</v>
      </c>
      <c r="F75">
        <v>30</v>
      </c>
      <c r="G75">
        <v>1996</v>
      </c>
      <c r="H75">
        <v>664</v>
      </c>
      <c r="I75">
        <v>0</v>
      </c>
      <c r="J75">
        <v>0</v>
      </c>
      <c r="K75">
        <v>0</v>
      </c>
    </row>
    <row r="76" spans="1:11">
      <c r="A76">
        <v>20563</v>
      </c>
      <c r="B76" t="s">
        <v>489</v>
      </c>
      <c r="C76" t="s">
        <v>384</v>
      </c>
      <c r="E76" t="s">
        <v>490</v>
      </c>
      <c r="F76">
        <v>92</v>
      </c>
      <c r="G76">
        <v>1960</v>
      </c>
      <c r="H76">
        <v>665</v>
      </c>
      <c r="I76">
        <v>0</v>
      </c>
      <c r="J76">
        <v>0</v>
      </c>
      <c r="K76">
        <v>0</v>
      </c>
    </row>
    <row r="77" spans="1:11">
      <c r="A77">
        <v>20504</v>
      </c>
      <c r="B77" t="s">
        <v>491</v>
      </c>
      <c r="C77" t="s">
        <v>492</v>
      </c>
      <c r="E77" t="s">
        <v>205</v>
      </c>
      <c r="F77">
        <v>17</v>
      </c>
      <c r="G77">
        <v>1967</v>
      </c>
      <c r="H77">
        <v>449</v>
      </c>
      <c r="I77">
        <v>2.75</v>
      </c>
      <c r="J77">
        <v>133.375</v>
      </c>
      <c r="K77">
        <v>0</v>
      </c>
    </row>
    <row r="78" spans="1:11">
      <c r="A78">
        <v>20700</v>
      </c>
      <c r="B78" t="s">
        <v>493</v>
      </c>
      <c r="C78" t="s">
        <v>494</v>
      </c>
      <c r="D78" t="s">
        <v>262</v>
      </c>
      <c r="E78" t="s">
        <v>205</v>
      </c>
      <c r="F78">
        <v>17</v>
      </c>
      <c r="G78">
        <v>1970</v>
      </c>
      <c r="H78">
        <v>666</v>
      </c>
      <c r="I78">
        <v>0</v>
      </c>
      <c r="J78">
        <v>0</v>
      </c>
      <c r="K78">
        <v>0</v>
      </c>
    </row>
    <row r="79" spans="1:11">
      <c r="A79">
        <v>96034</v>
      </c>
      <c r="B79" t="s">
        <v>495</v>
      </c>
      <c r="C79" t="s">
        <v>427</v>
      </c>
      <c r="E79" t="s">
        <v>148</v>
      </c>
      <c r="F79">
        <v>1</v>
      </c>
      <c r="G79">
        <v>1966</v>
      </c>
      <c r="H79">
        <v>31</v>
      </c>
      <c r="I79">
        <v>36.314</v>
      </c>
      <c r="J79">
        <v>2541.0889999999999</v>
      </c>
      <c r="K79">
        <v>807</v>
      </c>
    </row>
    <row r="80" spans="1:11">
      <c r="A80">
        <v>98425</v>
      </c>
      <c r="B80" t="s">
        <v>495</v>
      </c>
      <c r="C80" t="s">
        <v>496</v>
      </c>
      <c r="E80" t="s">
        <v>153</v>
      </c>
      <c r="F80">
        <v>42</v>
      </c>
      <c r="G80">
        <v>1946</v>
      </c>
      <c r="H80">
        <v>510</v>
      </c>
      <c r="I80">
        <v>1.875</v>
      </c>
      <c r="J80">
        <v>77.183000000000007</v>
      </c>
      <c r="K80">
        <v>0</v>
      </c>
    </row>
    <row r="81" spans="1:11">
      <c r="A81">
        <v>13040</v>
      </c>
      <c r="B81" t="s">
        <v>495</v>
      </c>
      <c r="C81" t="s">
        <v>497</v>
      </c>
      <c r="D81" t="s">
        <v>397</v>
      </c>
      <c r="E81" t="s">
        <v>148</v>
      </c>
      <c r="F81">
        <v>1</v>
      </c>
      <c r="G81">
        <v>2003</v>
      </c>
      <c r="H81">
        <v>14</v>
      </c>
      <c r="I81">
        <v>43.5</v>
      </c>
      <c r="J81">
        <v>2999.2040000000002</v>
      </c>
      <c r="K81">
        <v>1187</v>
      </c>
    </row>
    <row r="82" spans="1:11">
      <c r="A82">
        <v>96043</v>
      </c>
      <c r="B82" t="s">
        <v>498</v>
      </c>
      <c r="C82" t="s">
        <v>473</v>
      </c>
      <c r="D82" t="s">
        <v>262</v>
      </c>
      <c r="E82" t="s">
        <v>148</v>
      </c>
      <c r="F82">
        <v>1</v>
      </c>
      <c r="G82">
        <v>1973</v>
      </c>
      <c r="H82">
        <v>255</v>
      </c>
      <c r="I82">
        <v>7.7510000000000003</v>
      </c>
      <c r="J82">
        <v>490.94600000000003</v>
      </c>
      <c r="K82">
        <v>178</v>
      </c>
    </row>
    <row r="83" spans="1:11">
      <c r="A83">
        <v>26009</v>
      </c>
      <c r="B83" t="s">
        <v>499</v>
      </c>
      <c r="C83" t="s">
        <v>500</v>
      </c>
      <c r="E83" t="s">
        <v>148</v>
      </c>
      <c r="F83">
        <v>1</v>
      </c>
      <c r="G83">
        <v>1956</v>
      </c>
      <c r="H83">
        <v>460</v>
      </c>
      <c r="I83">
        <v>2.5</v>
      </c>
      <c r="J83">
        <v>121.36</v>
      </c>
      <c r="K83">
        <v>0</v>
      </c>
    </row>
    <row r="84" spans="1:11">
      <c r="A84">
        <v>28008</v>
      </c>
      <c r="B84" t="s">
        <v>501</v>
      </c>
      <c r="C84" t="s">
        <v>437</v>
      </c>
      <c r="D84" t="s">
        <v>262</v>
      </c>
      <c r="E84" t="s">
        <v>148</v>
      </c>
      <c r="F84">
        <v>1</v>
      </c>
      <c r="G84">
        <v>1956</v>
      </c>
      <c r="H84">
        <v>609</v>
      </c>
      <c r="I84">
        <v>0.5</v>
      </c>
      <c r="J84">
        <v>23.532</v>
      </c>
      <c r="K84">
        <v>0</v>
      </c>
    </row>
    <row r="85" spans="1:11">
      <c r="A85">
        <v>96141</v>
      </c>
      <c r="B85" t="s">
        <v>502</v>
      </c>
      <c r="C85" t="s">
        <v>375</v>
      </c>
      <c r="E85" t="s">
        <v>503</v>
      </c>
      <c r="F85">
        <v>15</v>
      </c>
      <c r="G85">
        <v>1958</v>
      </c>
      <c r="H85">
        <v>667</v>
      </c>
      <c r="I85">
        <v>0</v>
      </c>
      <c r="J85">
        <v>0</v>
      </c>
      <c r="K85">
        <v>0</v>
      </c>
    </row>
    <row r="86" spans="1:11">
      <c r="A86">
        <v>96181</v>
      </c>
      <c r="B86" t="s">
        <v>504</v>
      </c>
      <c r="C86" t="s">
        <v>460</v>
      </c>
      <c r="D86" t="s">
        <v>262</v>
      </c>
      <c r="E86" t="s">
        <v>151</v>
      </c>
      <c r="F86">
        <v>13</v>
      </c>
      <c r="G86">
        <v>1961</v>
      </c>
      <c r="H86">
        <v>511</v>
      </c>
      <c r="I86">
        <v>3.25</v>
      </c>
      <c r="J86">
        <v>77.05</v>
      </c>
      <c r="K86">
        <v>0</v>
      </c>
    </row>
    <row r="87" spans="1:11">
      <c r="A87">
        <v>13045</v>
      </c>
      <c r="B87" t="s">
        <v>505</v>
      </c>
      <c r="C87" t="s">
        <v>394</v>
      </c>
      <c r="E87" t="s">
        <v>142</v>
      </c>
      <c r="F87">
        <v>20</v>
      </c>
      <c r="G87">
        <v>1950</v>
      </c>
      <c r="H87">
        <v>491</v>
      </c>
      <c r="I87">
        <v>1.9379999999999999</v>
      </c>
      <c r="J87">
        <v>90.899000000000001</v>
      </c>
      <c r="K87">
        <v>0</v>
      </c>
    </row>
    <row r="88" spans="1:11">
      <c r="A88">
        <v>99505</v>
      </c>
      <c r="B88" t="s">
        <v>506</v>
      </c>
      <c r="C88" t="s">
        <v>375</v>
      </c>
      <c r="E88" t="s">
        <v>142</v>
      </c>
      <c r="F88">
        <v>20</v>
      </c>
      <c r="G88">
        <v>1966</v>
      </c>
      <c r="H88">
        <v>411</v>
      </c>
      <c r="I88">
        <v>3.0790000000000002</v>
      </c>
      <c r="J88">
        <v>180.863</v>
      </c>
      <c r="K88">
        <v>38</v>
      </c>
    </row>
    <row r="89" spans="1:11">
      <c r="A89">
        <v>10051</v>
      </c>
      <c r="B89" t="s">
        <v>507</v>
      </c>
      <c r="C89" t="s">
        <v>444</v>
      </c>
      <c r="E89" t="s">
        <v>401</v>
      </c>
      <c r="F89">
        <v>16</v>
      </c>
      <c r="G89">
        <v>1998</v>
      </c>
      <c r="H89">
        <v>241</v>
      </c>
      <c r="I89">
        <v>5.125</v>
      </c>
      <c r="J89">
        <v>527.96600000000001</v>
      </c>
      <c r="K89">
        <v>277</v>
      </c>
    </row>
    <row r="90" spans="1:11">
      <c r="A90">
        <v>12002</v>
      </c>
      <c r="B90" t="s">
        <v>507</v>
      </c>
      <c r="C90" t="s">
        <v>508</v>
      </c>
      <c r="E90" t="s">
        <v>276</v>
      </c>
      <c r="F90">
        <v>14</v>
      </c>
      <c r="G90">
        <v>1994</v>
      </c>
      <c r="H90">
        <v>309</v>
      </c>
      <c r="I90">
        <v>4.375</v>
      </c>
      <c r="J90">
        <v>347.85399999999998</v>
      </c>
      <c r="K90">
        <v>143</v>
      </c>
    </row>
    <row r="91" spans="1:11">
      <c r="A91">
        <v>17040</v>
      </c>
      <c r="B91" t="s">
        <v>509</v>
      </c>
      <c r="C91" t="s">
        <v>510</v>
      </c>
      <c r="D91" t="s">
        <v>511</v>
      </c>
      <c r="E91" t="s">
        <v>432</v>
      </c>
      <c r="F91">
        <v>2</v>
      </c>
      <c r="G91">
        <v>2004</v>
      </c>
      <c r="H91">
        <v>438</v>
      </c>
      <c r="I91">
        <v>4</v>
      </c>
      <c r="J91">
        <v>147.447</v>
      </c>
      <c r="K91">
        <v>0</v>
      </c>
    </row>
    <row r="92" spans="1:11">
      <c r="A92">
        <v>20714</v>
      </c>
      <c r="B92" t="s">
        <v>512</v>
      </c>
      <c r="C92" t="s">
        <v>400</v>
      </c>
      <c r="D92" t="s">
        <v>262</v>
      </c>
      <c r="E92" t="s">
        <v>142</v>
      </c>
      <c r="F92">
        <v>20</v>
      </c>
      <c r="G92">
        <v>1950</v>
      </c>
      <c r="H92">
        <v>293</v>
      </c>
      <c r="I92">
        <v>7.657</v>
      </c>
      <c r="J92">
        <v>386.93</v>
      </c>
      <c r="K92">
        <v>38</v>
      </c>
    </row>
    <row r="93" spans="1:11">
      <c r="A93">
        <v>15011</v>
      </c>
      <c r="B93" t="s">
        <v>513</v>
      </c>
      <c r="C93" t="s">
        <v>514</v>
      </c>
      <c r="E93" t="s">
        <v>440</v>
      </c>
      <c r="F93">
        <v>73</v>
      </c>
      <c r="G93">
        <v>1965</v>
      </c>
      <c r="H93">
        <v>38</v>
      </c>
      <c r="I93">
        <v>28.312999999999999</v>
      </c>
      <c r="J93">
        <v>2374.7930000000001</v>
      </c>
      <c r="K93">
        <v>1161</v>
      </c>
    </row>
    <row r="94" spans="1:11">
      <c r="A94">
        <v>15010</v>
      </c>
      <c r="B94" t="s">
        <v>515</v>
      </c>
      <c r="C94" t="s">
        <v>516</v>
      </c>
      <c r="D94" t="s">
        <v>262</v>
      </c>
      <c r="E94" t="s">
        <v>440</v>
      </c>
      <c r="F94">
        <v>73</v>
      </c>
      <c r="G94">
        <v>1952</v>
      </c>
      <c r="H94">
        <v>39</v>
      </c>
      <c r="I94">
        <v>28.125</v>
      </c>
      <c r="J94">
        <v>2374.7930000000001</v>
      </c>
      <c r="K94">
        <v>1161</v>
      </c>
    </row>
    <row r="95" spans="1:11">
      <c r="A95">
        <v>16047</v>
      </c>
      <c r="B95" t="s">
        <v>517</v>
      </c>
      <c r="C95" t="s">
        <v>364</v>
      </c>
      <c r="E95" t="s">
        <v>368</v>
      </c>
      <c r="F95">
        <v>81</v>
      </c>
      <c r="G95">
        <v>1967</v>
      </c>
      <c r="H95">
        <v>165</v>
      </c>
      <c r="I95">
        <v>17.61</v>
      </c>
      <c r="J95">
        <v>982.76400000000001</v>
      </c>
      <c r="K95">
        <v>329</v>
      </c>
    </row>
    <row r="96" spans="1:11">
      <c r="A96">
        <v>16048</v>
      </c>
      <c r="B96" t="s">
        <v>517</v>
      </c>
      <c r="C96" t="s">
        <v>518</v>
      </c>
      <c r="E96" t="s">
        <v>368</v>
      </c>
      <c r="F96">
        <v>81</v>
      </c>
      <c r="G96">
        <v>1991</v>
      </c>
      <c r="H96">
        <v>430</v>
      </c>
      <c r="I96">
        <v>1.9219999999999999</v>
      </c>
      <c r="J96">
        <v>156.20400000000001</v>
      </c>
      <c r="K96">
        <v>78</v>
      </c>
    </row>
    <row r="97" spans="1:11">
      <c r="A97">
        <v>19021</v>
      </c>
      <c r="B97" t="s">
        <v>519</v>
      </c>
      <c r="C97" t="s">
        <v>520</v>
      </c>
      <c r="E97" t="s">
        <v>276</v>
      </c>
      <c r="F97">
        <v>14</v>
      </c>
      <c r="G97">
        <v>1966</v>
      </c>
      <c r="H97">
        <v>668</v>
      </c>
      <c r="I97">
        <v>0</v>
      </c>
      <c r="J97">
        <v>0</v>
      </c>
      <c r="K97">
        <v>0</v>
      </c>
    </row>
    <row r="98" spans="1:11">
      <c r="A98">
        <v>24207</v>
      </c>
      <c r="B98" t="s">
        <v>521</v>
      </c>
      <c r="C98" t="s">
        <v>416</v>
      </c>
      <c r="E98" t="s">
        <v>401</v>
      </c>
      <c r="F98">
        <v>16</v>
      </c>
      <c r="G98">
        <v>1994</v>
      </c>
      <c r="H98">
        <v>606</v>
      </c>
      <c r="I98">
        <v>0.59399999999999997</v>
      </c>
      <c r="J98">
        <v>24.492000000000001</v>
      </c>
      <c r="K98">
        <v>0</v>
      </c>
    </row>
    <row r="99" spans="1:11">
      <c r="A99">
        <v>18012</v>
      </c>
      <c r="B99" t="s">
        <v>522</v>
      </c>
      <c r="C99" t="s">
        <v>523</v>
      </c>
      <c r="E99" t="s">
        <v>524</v>
      </c>
      <c r="F99">
        <v>87</v>
      </c>
      <c r="G99">
        <v>1952</v>
      </c>
      <c r="H99">
        <v>181</v>
      </c>
      <c r="I99">
        <v>13.204000000000001</v>
      </c>
      <c r="J99">
        <v>873.899</v>
      </c>
      <c r="K99">
        <v>371</v>
      </c>
    </row>
    <row r="100" spans="1:11">
      <c r="A100">
        <v>18013</v>
      </c>
      <c r="B100" t="s">
        <v>525</v>
      </c>
      <c r="C100" t="s">
        <v>526</v>
      </c>
      <c r="E100" t="s">
        <v>524</v>
      </c>
      <c r="F100">
        <v>87</v>
      </c>
      <c r="G100">
        <v>1953</v>
      </c>
      <c r="H100">
        <v>191</v>
      </c>
      <c r="I100">
        <v>12.845000000000001</v>
      </c>
      <c r="J100">
        <v>825.40300000000002</v>
      </c>
      <c r="K100">
        <v>346</v>
      </c>
    </row>
    <row r="101" spans="1:11">
      <c r="A101">
        <v>10022</v>
      </c>
      <c r="B101" t="s">
        <v>527</v>
      </c>
      <c r="C101" t="s">
        <v>375</v>
      </c>
      <c r="E101" t="s">
        <v>170</v>
      </c>
      <c r="F101">
        <v>67</v>
      </c>
      <c r="G101">
        <v>1961</v>
      </c>
      <c r="H101">
        <v>351</v>
      </c>
      <c r="I101">
        <v>3.8130000000000002</v>
      </c>
      <c r="J101">
        <v>266.738</v>
      </c>
      <c r="K101">
        <v>116</v>
      </c>
    </row>
    <row r="102" spans="1:11">
      <c r="A102">
        <v>14088</v>
      </c>
      <c r="B102" t="s">
        <v>528</v>
      </c>
      <c r="C102" t="s">
        <v>388</v>
      </c>
      <c r="D102" t="s">
        <v>262</v>
      </c>
      <c r="E102" t="s">
        <v>373</v>
      </c>
      <c r="F102">
        <v>79</v>
      </c>
      <c r="G102">
        <v>1984</v>
      </c>
      <c r="H102">
        <v>669</v>
      </c>
      <c r="I102">
        <v>0</v>
      </c>
      <c r="J102">
        <v>0</v>
      </c>
      <c r="K102">
        <v>0</v>
      </c>
    </row>
    <row r="103" spans="1:11">
      <c r="A103">
        <v>19059</v>
      </c>
      <c r="B103" t="s">
        <v>529</v>
      </c>
      <c r="C103" t="s">
        <v>444</v>
      </c>
      <c r="E103" t="s">
        <v>148</v>
      </c>
      <c r="F103">
        <v>1</v>
      </c>
      <c r="G103">
        <v>1959</v>
      </c>
      <c r="H103">
        <v>670</v>
      </c>
      <c r="I103">
        <v>0</v>
      </c>
      <c r="J103">
        <v>0</v>
      </c>
      <c r="K103">
        <v>0</v>
      </c>
    </row>
    <row r="104" spans="1:11">
      <c r="A104">
        <v>20531</v>
      </c>
      <c r="B104" t="s">
        <v>530</v>
      </c>
      <c r="C104" t="s">
        <v>486</v>
      </c>
      <c r="D104" t="s">
        <v>262</v>
      </c>
      <c r="E104" t="s">
        <v>524</v>
      </c>
      <c r="F104">
        <v>87</v>
      </c>
      <c r="G104">
        <v>1947</v>
      </c>
      <c r="H104">
        <v>671</v>
      </c>
      <c r="I104">
        <v>0</v>
      </c>
      <c r="J104">
        <v>0</v>
      </c>
      <c r="K104">
        <v>0</v>
      </c>
    </row>
    <row r="105" spans="1:11">
      <c r="A105">
        <v>20549</v>
      </c>
      <c r="B105" t="s">
        <v>531</v>
      </c>
      <c r="C105" t="s">
        <v>532</v>
      </c>
      <c r="E105" t="s">
        <v>413</v>
      </c>
      <c r="F105">
        <v>94</v>
      </c>
      <c r="G105">
        <v>1979</v>
      </c>
      <c r="H105">
        <v>673</v>
      </c>
      <c r="I105">
        <v>0</v>
      </c>
      <c r="J105">
        <v>0</v>
      </c>
      <c r="K105">
        <v>0</v>
      </c>
    </row>
    <row r="106" spans="1:11">
      <c r="A106">
        <v>17066</v>
      </c>
      <c r="B106" t="s">
        <v>531</v>
      </c>
      <c r="C106" t="s">
        <v>533</v>
      </c>
      <c r="D106" t="s">
        <v>397</v>
      </c>
      <c r="E106" t="s">
        <v>413</v>
      </c>
      <c r="F106">
        <v>94</v>
      </c>
      <c r="G106">
        <v>2009</v>
      </c>
      <c r="H106">
        <v>672</v>
      </c>
      <c r="I106">
        <v>0</v>
      </c>
      <c r="J106">
        <v>0</v>
      </c>
      <c r="K106">
        <v>0</v>
      </c>
    </row>
    <row r="107" spans="1:11">
      <c r="A107">
        <v>12061</v>
      </c>
      <c r="B107" t="s">
        <v>534</v>
      </c>
      <c r="C107" t="s">
        <v>378</v>
      </c>
      <c r="D107" t="s">
        <v>262</v>
      </c>
      <c r="E107" t="s">
        <v>417</v>
      </c>
      <c r="F107">
        <v>69</v>
      </c>
      <c r="G107">
        <v>1951</v>
      </c>
      <c r="H107">
        <v>674</v>
      </c>
      <c r="I107">
        <v>0</v>
      </c>
      <c r="J107">
        <v>0</v>
      </c>
      <c r="K107">
        <v>0</v>
      </c>
    </row>
    <row r="108" spans="1:11">
      <c r="A108">
        <v>19066</v>
      </c>
      <c r="B108" t="s">
        <v>535</v>
      </c>
      <c r="C108" t="s">
        <v>536</v>
      </c>
      <c r="E108" t="s">
        <v>324</v>
      </c>
      <c r="F108">
        <v>43</v>
      </c>
      <c r="G108">
        <v>1977</v>
      </c>
      <c r="H108">
        <v>409</v>
      </c>
      <c r="I108">
        <v>3.8130000000000002</v>
      </c>
      <c r="J108">
        <v>181.65100000000001</v>
      </c>
      <c r="K108">
        <v>0</v>
      </c>
    </row>
    <row r="109" spans="1:11">
      <c r="A109">
        <v>16018</v>
      </c>
      <c r="B109" t="s">
        <v>537</v>
      </c>
      <c r="C109" t="s">
        <v>444</v>
      </c>
      <c r="E109" t="s">
        <v>465</v>
      </c>
      <c r="F109">
        <v>28</v>
      </c>
      <c r="G109">
        <v>1966</v>
      </c>
      <c r="H109">
        <v>316</v>
      </c>
      <c r="I109">
        <v>7.907</v>
      </c>
      <c r="J109">
        <v>334.60500000000002</v>
      </c>
      <c r="K109">
        <v>65</v>
      </c>
    </row>
    <row r="110" spans="1:11">
      <c r="A110">
        <v>11008</v>
      </c>
      <c r="B110" t="s">
        <v>538</v>
      </c>
      <c r="C110" t="s">
        <v>378</v>
      </c>
      <c r="D110" t="s">
        <v>262</v>
      </c>
      <c r="E110" t="s">
        <v>376</v>
      </c>
      <c r="F110">
        <v>70</v>
      </c>
      <c r="G110">
        <v>1933</v>
      </c>
      <c r="H110">
        <v>675</v>
      </c>
      <c r="I110">
        <v>0</v>
      </c>
      <c r="J110">
        <v>0</v>
      </c>
      <c r="K110">
        <v>0</v>
      </c>
    </row>
    <row r="111" spans="1:11">
      <c r="A111">
        <v>16035</v>
      </c>
      <c r="B111" t="s">
        <v>539</v>
      </c>
      <c r="C111" t="s">
        <v>540</v>
      </c>
      <c r="E111" t="s">
        <v>288</v>
      </c>
      <c r="F111">
        <v>22</v>
      </c>
      <c r="G111">
        <v>1970</v>
      </c>
      <c r="H111">
        <v>676</v>
      </c>
      <c r="I111">
        <v>0</v>
      </c>
      <c r="J111">
        <v>0</v>
      </c>
      <c r="K111">
        <v>0</v>
      </c>
    </row>
    <row r="112" spans="1:11">
      <c r="A112">
        <v>99510</v>
      </c>
      <c r="B112" t="s">
        <v>541</v>
      </c>
      <c r="C112" t="s">
        <v>542</v>
      </c>
      <c r="E112" t="s">
        <v>543</v>
      </c>
      <c r="F112">
        <v>54</v>
      </c>
      <c r="G112">
        <v>1951</v>
      </c>
      <c r="H112">
        <v>119</v>
      </c>
      <c r="I112">
        <v>23.812999999999999</v>
      </c>
      <c r="J112">
        <v>1306.9880000000001</v>
      </c>
      <c r="K112">
        <v>295</v>
      </c>
    </row>
    <row r="113" spans="1:11">
      <c r="A113">
        <v>99574</v>
      </c>
      <c r="B113" t="s">
        <v>544</v>
      </c>
      <c r="C113" t="s">
        <v>545</v>
      </c>
      <c r="D113" t="s">
        <v>262</v>
      </c>
      <c r="E113" t="s">
        <v>543</v>
      </c>
      <c r="F113">
        <v>54</v>
      </c>
      <c r="G113">
        <v>1949</v>
      </c>
      <c r="H113">
        <v>47</v>
      </c>
      <c r="I113">
        <v>28.5</v>
      </c>
      <c r="J113">
        <v>2322.2979999999998</v>
      </c>
      <c r="K113">
        <v>1080</v>
      </c>
    </row>
    <row r="114" spans="1:11">
      <c r="A114">
        <v>11007</v>
      </c>
      <c r="B114" t="s">
        <v>546</v>
      </c>
      <c r="C114" t="s">
        <v>410</v>
      </c>
      <c r="D114" t="s">
        <v>262</v>
      </c>
      <c r="E114" t="s">
        <v>376</v>
      </c>
      <c r="F114">
        <v>70</v>
      </c>
      <c r="G114">
        <v>1942</v>
      </c>
      <c r="H114">
        <v>677</v>
      </c>
      <c r="I114">
        <v>0</v>
      </c>
      <c r="J114">
        <v>0</v>
      </c>
      <c r="K114">
        <v>0</v>
      </c>
    </row>
    <row r="115" spans="1:11">
      <c r="A115">
        <v>13027</v>
      </c>
      <c r="B115" t="s">
        <v>547</v>
      </c>
      <c r="C115" t="s">
        <v>460</v>
      </c>
      <c r="D115" t="s">
        <v>262</v>
      </c>
      <c r="E115" t="s">
        <v>428</v>
      </c>
      <c r="F115">
        <v>76</v>
      </c>
      <c r="G115">
        <v>1977</v>
      </c>
      <c r="H115">
        <v>65</v>
      </c>
      <c r="I115">
        <v>29.751000000000001</v>
      </c>
      <c r="J115">
        <v>2004.6690000000001</v>
      </c>
      <c r="K115">
        <v>744</v>
      </c>
    </row>
    <row r="116" spans="1:11">
      <c r="A116">
        <v>18119</v>
      </c>
      <c r="B116" t="s">
        <v>548</v>
      </c>
      <c r="C116" t="s">
        <v>414</v>
      </c>
      <c r="E116" t="s">
        <v>549</v>
      </c>
      <c r="F116">
        <v>91</v>
      </c>
      <c r="G116">
        <v>1966</v>
      </c>
      <c r="H116">
        <v>678</v>
      </c>
      <c r="I116">
        <v>0</v>
      </c>
      <c r="J116">
        <v>0</v>
      </c>
      <c r="K116">
        <v>0</v>
      </c>
    </row>
    <row r="117" spans="1:11">
      <c r="A117">
        <v>96100</v>
      </c>
      <c r="B117" t="s">
        <v>550</v>
      </c>
      <c r="C117" t="s">
        <v>464</v>
      </c>
      <c r="E117" t="s">
        <v>456</v>
      </c>
      <c r="F117">
        <v>24</v>
      </c>
      <c r="G117">
        <v>1968</v>
      </c>
      <c r="H117">
        <v>679</v>
      </c>
      <c r="I117">
        <v>0</v>
      </c>
      <c r="J117">
        <v>0</v>
      </c>
      <c r="K117">
        <v>0</v>
      </c>
    </row>
    <row r="118" spans="1:11">
      <c r="A118">
        <v>18004</v>
      </c>
      <c r="B118" t="s">
        <v>551</v>
      </c>
      <c r="C118" t="s">
        <v>414</v>
      </c>
      <c r="E118" t="s">
        <v>138</v>
      </c>
      <c r="F118">
        <v>89</v>
      </c>
      <c r="G118">
        <v>1980</v>
      </c>
      <c r="H118">
        <v>680</v>
      </c>
      <c r="I118">
        <v>0</v>
      </c>
      <c r="J118">
        <v>0</v>
      </c>
      <c r="K118">
        <v>0</v>
      </c>
    </row>
    <row r="119" spans="1:11">
      <c r="A119">
        <v>27082</v>
      </c>
      <c r="B119" t="s">
        <v>552</v>
      </c>
      <c r="C119" t="s">
        <v>553</v>
      </c>
      <c r="E119" t="s">
        <v>432</v>
      </c>
      <c r="F119">
        <v>2</v>
      </c>
      <c r="G119">
        <v>1951</v>
      </c>
      <c r="H119">
        <v>681</v>
      </c>
      <c r="I119">
        <v>0</v>
      </c>
      <c r="J119">
        <v>0</v>
      </c>
      <c r="K119">
        <v>0</v>
      </c>
    </row>
    <row r="120" spans="1:11">
      <c r="A120">
        <v>18055</v>
      </c>
      <c r="B120" t="s">
        <v>552</v>
      </c>
      <c r="C120" t="s">
        <v>416</v>
      </c>
      <c r="E120" t="s">
        <v>373</v>
      </c>
      <c r="F120">
        <v>79</v>
      </c>
      <c r="G120">
        <v>1975</v>
      </c>
      <c r="H120">
        <v>218</v>
      </c>
      <c r="I120">
        <v>13.609</v>
      </c>
      <c r="J120">
        <v>661.42</v>
      </c>
      <c r="K120">
        <v>113</v>
      </c>
    </row>
    <row r="121" spans="1:11">
      <c r="A121">
        <v>15087</v>
      </c>
      <c r="B121" t="s">
        <v>554</v>
      </c>
      <c r="C121" t="s">
        <v>555</v>
      </c>
      <c r="E121" t="s">
        <v>153</v>
      </c>
      <c r="F121">
        <v>42</v>
      </c>
      <c r="G121">
        <v>1942</v>
      </c>
      <c r="H121">
        <v>170</v>
      </c>
      <c r="I121">
        <v>11.61</v>
      </c>
      <c r="J121">
        <v>957.55399999999997</v>
      </c>
      <c r="K121">
        <v>410</v>
      </c>
    </row>
    <row r="122" spans="1:11">
      <c r="A122">
        <v>16037</v>
      </c>
      <c r="B122" t="s">
        <v>556</v>
      </c>
      <c r="C122" t="s">
        <v>557</v>
      </c>
      <c r="D122" t="s">
        <v>262</v>
      </c>
      <c r="E122" t="s">
        <v>376</v>
      </c>
      <c r="F122">
        <v>70</v>
      </c>
      <c r="G122">
        <v>1936</v>
      </c>
      <c r="H122">
        <v>682</v>
      </c>
      <c r="I122">
        <v>0</v>
      </c>
      <c r="J122">
        <v>0</v>
      </c>
      <c r="K122">
        <v>0</v>
      </c>
    </row>
    <row r="123" spans="1:11">
      <c r="A123">
        <v>28032</v>
      </c>
      <c r="B123" t="s">
        <v>558</v>
      </c>
      <c r="C123" t="s">
        <v>372</v>
      </c>
      <c r="E123" t="s">
        <v>455</v>
      </c>
      <c r="F123">
        <v>62</v>
      </c>
      <c r="G123">
        <v>1967</v>
      </c>
      <c r="H123">
        <v>683</v>
      </c>
      <c r="I123">
        <v>0</v>
      </c>
      <c r="J123">
        <v>0</v>
      </c>
      <c r="K123">
        <v>0</v>
      </c>
    </row>
    <row r="124" spans="1:11">
      <c r="A124">
        <v>28031</v>
      </c>
      <c r="B124" t="s">
        <v>559</v>
      </c>
      <c r="C124" t="s">
        <v>560</v>
      </c>
      <c r="D124" t="s">
        <v>262</v>
      </c>
      <c r="E124" t="s">
        <v>455</v>
      </c>
      <c r="F124">
        <v>62</v>
      </c>
      <c r="G124">
        <v>1970</v>
      </c>
      <c r="H124">
        <v>684</v>
      </c>
      <c r="I124">
        <v>0</v>
      </c>
      <c r="J124">
        <v>0</v>
      </c>
      <c r="K124">
        <v>0</v>
      </c>
    </row>
    <row r="125" spans="1:11">
      <c r="A125">
        <v>19070</v>
      </c>
      <c r="B125" t="s">
        <v>561</v>
      </c>
      <c r="C125" t="s">
        <v>562</v>
      </c>
      <c r="D125" t="s">
        <v>511</v>
      </c>
      <c r="E125" t="s">
        <v>138</v>
      </c>
      <c r="F125">
        <v>89</v>
      </c>
      <c r="G125">
        <v>2013</v>
      </c>
      <c r="H125">
        <v>582</v>
      </c>
      <c r="I125">
        <v>0.90600000000000003</v>
      </c>
      <c r="J125">
        <v>39.093000000000004</v>
      </c>
      <c r="K125">
        <v>0</v>
      </c>
    </row>
    <row r="126" spans="1:11">
      <c r="A126">
        <v>19071</v>
      </c>
      <c r="B126" t="s">
        <v>563</v>
      </c>
      <c r="C126" t="s">
        <v>564</v>
      </c>
      <c r="D126" t="s">
        <v>397</v>
      </c>
      <c r="E126" t="s">
        <v>138</v>
      </c>
      <c r="F126">
        <v>89</v>
      </c>
      <c r="G126">
        <v>2014</v>
      </c>
      <c r="H126">
        <v>586</v>
      </c>
      <c r="I126">
        <v>0.875</v>
      </c>
      <c r="J126">
        <v>37.744999999999997</v>
      </c>
      <c r="K126">
        <v>0</v>
      </c>
    </row>
    <row r="127" spans="1:11">
      <c r="A127">
        <v>22953</v>
      </c>
      <c r="B127" t="s">
        <v>565</v>
      </c>
      <c r="C127" t="s">
        <v>404</v>
      </c>
      <c r="E127" t="s">
        <v>276</v>
      </c>
      <c r="F127">
        <v>14</v>
      </c>
      <c r="G127">
        <v>1979</v>
      </c>
      <c r="H127">
        <v>685</v>
      </c>
      <c r="I127">
        <v>0</v>
      </c>
      <c r="J127">
        <v>0</v>
      </c>
      <c r="K127">
        <v>0</v>
      </c>
    </row>
    <row r="128" spans="1:11">
      <c r="A128">
        <v>99496</v>
      </c>
      <c r="B128" t="s">
        <v>565</v>
      </c>
      <c r="C128" t="s">
        <v>407</v>
      </c>
      <c r="E128" t="s">
        <v>276</v>
      </c>
      <c r="F128">
        <v>14</v>
      </c>
      <c r="G128">
        <v>1975</v>
      </c>
      <c r="H128">
        <v>112</v>
      </c>
      <c r="I128">
        <v>28.155999999999999</v>
      </c>
      <c r="J128">
        <v>1364.981</v>
      </c>
      <c r="K128">
        <v>290</v>
      </c>
    </row>
    <row r="129" spans="1:11">
      <c r="A129">
        <v>24272</v>
      </c>
      <c r="B129" t="s">
        <v>565</v>
      </c>
      <c r="C129" t="s">
        <v>394</v>
      </c>
      <c r="E129" t="s">
        <v>276</v>
      </c>
      <c r="F129">
        <v>14</v>
      </c>
      <c r="G129">
        <v>1953</v>
      </c>
      <c r="H129">
        <v>117</v>
      </c>
      <c r="I129">
        <v>29.36</v>
      </c>
      <c r="J129">
        <v>1328.5930000000001</v>
      </c>
      <c r="K129">
        <v>267</v>
      </c>
    </row>
    <row r="130" spans="1:11">
      <c r="A130">
        <v>17039</v>
      </c>
      <c r="B130" t="s">
        <v>566</v>
      </c>
      <c r="C130" t="s">
        <v>567</v>
      </c>
      <c r="D130" t="s">
        <v>262</v>
      </c>
      <c r="E130" t="s">
        <v>276</v>
      </c>
      <c r="F130">
        <v>14</v>
      </c>
      <c r="G130">
        <v>1976</v>
      </c>
      <c r="H130">
        <v>306</v>
      </c>
      <c r="I130">
        <v>9.7810000000000006</v>
      </c>
      <c r="J130">
        <v>352.62400000000002</v>
      </c>
      <c r="K130">
        <v>33</v>
      </c>
    </row>
    <row r="131" spans="1:11">
      <c r="A131">
        <v>20551</v>
      </c>
      <c r="B131" t="s">
        <v>568</v>
      </c>
      <c r="C131" t="s">
        <v>473</v>
      </c>
      <c r="D131" t="s">
        <v>262</v>
      </c>
      <c r="E131" t="s">
        <v>413</v>
      </c>
      <c r="F131">
        <v>94</v>
      </c>
      <c r="G131">
        <v>1976</v>
      </c>
      <c r="H131">
        <v>686</v>
      </c>
      <c r="I131">
        <v>0</v>
      </c>
      <c r="J131">
        <v>0</v>
      </c>
      <c r="K131">
        <v>0</v>
      </c>
    </row>
    <row r="132" spans="1:11">
      <c r="A132">
        <v>17067</v>
      </c>
      <c r="B132" t="s">
        <v>568</v>
      </c>
      <c r="C132" t="s">
        <v>569</v>
      </c>
      <c r="D132" t="s">
        <v>511</v>
      </c>
      <c r="E132" t="s">
        <v>413</v>
      </c>
      <c r="F132">
        <v>94</v>
      </c>
      <c r="G132">
        <v>2006</v>
      </c>
      <c r="H132">
        <v>398</v>
      </c>
      <c r="I132">
        <v>5.25</v>
      </c>
      <c r="J132">
        <v>197.98500000000001</v>
      </c>
      <c r="K132">
        <v>0</v>
      </c>
    </row>
    <row r="133" spans="1:11">
      <c r="A133">
        <v>20519</v>
      </c>
      <c r="B133" t="s">
        <v>570</v>
      </c>
      <c r="C133" t="s">
        <v>384</v>
      </c>
      <c r="E133" t="s">
        <v>440</v>
      </c>
      <c r="F133">
        <v>73</v>
      </c>
      <c r="G133">
        <v>1945</v>
      </c>
      <c r="H133">
        <v>687</v>
      </c>
      <c r="I133">
        <v>0</v>
      </c>
      <c r="J133">
        <v>0</v>
      </c>
      <c r="K133">
        <v>0</v>
      </c>
    </row>
    <row r="134" spans="1:11">
      <c r="A134">
        <v>20528</v>
      </c>
      <c r="B134" t="s">
        <v>571</v>
      </c>
      <c r="C134" t="s">
        <v>572</v>
      </c>
      <c r="D134" t="s">
        <v>397</v>
      </c>
      <c r="E134" t="s">
        <v>365</v>
      </c>
      <c r="F134">
        <v>86</v>
      </c>
      <c r="G134">
        <v>2005</v>
      </c>
      <c r="H134">
        <v>504</v>
      </c>
      <c r="I134">
        <v>1.6879999999999999</v>
      </c>
      <c r="J134">
        <v>81.843999999999994</v>
      </c>
      <c r="K134">
        <v>0</v>
      </c>
    </row>
    <row r="135" spans="1:11">
      <c r="A135">
        <v>18125</v>
      </c>
      <c r="B135" t="s">
        <v>573</v>
      </c>
      <c r="C135" t="s">
        <v>574</v>
      </c>
      <c r="D135" t="s">
        <v>262</v>
      </c>
      <c r="E135" t="s">
        <v>365</v>
      </c>
      <c r="F135">
        <v>86</v>
      </c>
      <c r="G135">
        <v>1995</v>
      </c>
      <c r="H135">
        <v>608</v>
      </c>
      <c r="I135">
        <v>0.5</v>
      </c>
      <c r="J135">
        <v>23.890999999999998</v>
      </c>
      <c r="K135">
        <v>0</v>
      </c>
    </row>
    <row r="136" spans="1:11">
      <c r="A136">
        <v>96099</v>
      </c>
      <c r="B136" t="s">
        <v>573</v>
      </c>
      <c r="C136" t="s">
        <v>400</v>
      </c>
      <c r="D136" t="s">
        <v>262</v>
      </c>
      <c r="E136" t="s">
        <v>456</v>
      </c>
      <c r="F136">
        <v>24</v>
      </c>
      <c r="G136">
        <v>1953</v>
      </c>
      <c r="H136">
        <v>688</v>
      </c>
      <c r="I136">
        <v>0</v>
      </c>
      <c r="J136">
        <v>0</v>
      </c>
      <c r="K136">
        <v>0</v>
      </c>
    </row>
    <row r="137" spans="1:11">
      <c r="A137">
        <v>15034</v>
      </c>
      <c r="B137" t="s">
        <v>575</v>
      </c>
      <c r="C137" t="s">
        <v>576</v>
      </c>
      <c r="D137" t="s">
        <v>262</v>
      </c>
      <c r="E137" t="s">
        <v>440</v>
      </c>
      <c r="F137">
        <v>73</v>
      </c>
      <c r="G137">
        <v>1950</v>
      </c>
      <c r="H137">
        <v>210</v>
      </c>
      <c r="I137">
        <v>11.204000000000001</v>
      </c>
      <c r="J137">
        <v>736.11199999999997</v>
      </c>
      <c r="K137">
        <v>287</v>
      </c>
    </row>
    <row r="138" spans="1:11">
      <c r="A138">
        <v>25042</v>
      </c>
      <c r="B138" t="s">
        <v>577</v>
      </c>
      <c r="C138" t="s">
        <v>450</v>
      </c>
      <c r="E138" t="s">
        <v>151</v>
      </c>
      <c r="F138">
        <v>13</v>
      </c>
      <c r="G138">
        <v>1983</v>
      </c>
      <c r="H138">
        <v>535</v>
      </c>
      <c r="I138">
        <v>2.75</v>
      </c>
      <c r="J138">
        <v>64.748999999999995</v>
      </c>
      <c r="K138">
        <v>0</v>
      </c>
    </row>
    <row r="139" spans="1:11">
      <c r="A139">
        <v>99529</v>
      </c>
      <c r="B139" t="s">
        <v>577</v>
      </c>
      <c r="C139" t="s">
        <v>384</v>
      </c>
      <c r="E139" t="s">
        <v>393</v>
      </c>
      <c r="F139">
        <v>29</v>
      </c>
      <c r="G139">
        <v>1967</v>
      </c>
      <c r="H139">
        <v>689</v>
      </c>
      <c r="I139">
        <v>0</v>
      </c>
      <c r="J139">
        <v>0</v>
      </c>
      <c r="K139">
        <v>0</v>
      </c>
    </row>
    <row r="140" spans="1:11">
      <c r="A140">
        <v>19018</v>
      </c>
      <c r="B140" t="s">
        <v>578</v>
      </c>
      <c r="C140" t="s">
        <v>579</v>
      </c>
      <c r="D140" t="s">
        <v>262</v>
      </c>
      <c r="E140" t="s">
        <v>365</v>
      </c>
      <c r="F140">
        <v>86</v>
      </c>
      <c r="G140">
        <v>1992</v>
      </c>
      <c r="H140">
        <v>690</v>
      </c>
      <c r="I140">
        <v>0</v>
      </c>
      <c r="J140">
        <v>0</v>
      </c>
      <c r="K140">
        <v>0</v>
      </c>
    </row>
    <row r="141" spans="1:11">
      <c r="A141">
        <v>21760</v>
      </c>
      <c r="B141" t="s">
        <v>578</v>
      </c>
      <c r="C141" t="s">
        <v>580</v>
      </c>
      <c r="D141" t="s">
        <v>262</v>
      </c>
      <c r="E141" t="s">
        <v>393</v>
      </c>
      <c r="F141">
        <v>29</v>
      </c>
      <c r="G141">
        <v>1967</v>
      </c>
      <c r="H141">
        <v>273</v>
      </c>
      <c r="I141">
        <v>13.813000000000001</v>
      </c>
      <c r="J141">
        <v>448.43700000000001</v>
      </c>
      <c r="K141">
        <v>0</v>
      </c>
    </row>
    <row r="142" spans="1:11">
      <c r="A142">
        <v>28037</v>
      </c>
      <c r="B142" t="s">
        <v>578</v>
      </c>
      <c r="C142" t="s">
        <v>581</v>
      </c>
      <c r="D142" t="s">
        <v>262</v>
      </c>
      <c r="E142" t="s">
        <v>264</v>
      </c>
      <c r="F142">
        <v>6</v>
      </c>
      <c r="G142">
        <v>1953</v>
      </c>
      <c r="H142">
        <v>261</v>
      </c>
      <c r="I142">
        <v>7.2830000000000004</v>
      </c>
      <c r="J142">
        <v>480.34699999999998</v>
      </c>
      <c r="K142">
        <v>182</v>
      </c>
    </row>
    <row r="143" spans="1:11">
      <c r="A143">
        <v>17091</v>
      </c>
      <c r="B143" t="s">
        <v>582</v>
      </c>
      <c r="C143" t="s">
        <v>583</v>
      </c>
      <c r="D143" t="s">
        <v>262</v>
      </c>
      <c r="E143" t="s">
        <v>133</v>
      </c>
      <c r="F143">
        <v>63</v>
      </c>
      <c r="G143">
        <v>2000</v>
      </c>
      <c r="H143">
        <v>286</v>
      </c>
      <c r="I143">
        <v>8.8759999999999994</v>
      </c>
      <c r="J143">
        <v>411.11399999999998</v>
      </c>
      <c r="K143">
        <v>77</v>
      </c>
    </row>
    <row r="144" spans="1:11">
      <c r="A144">
        <v>17096</v>
      </c>
      <c r="B144" t="s">
        <v>584</v>
      </c>
      <c r="C144" t="s">
        <v>394</v>
      </c>
      <c r="E144" t="s">
        <v>133</v>
      </c>
      <c r="F144">
        <v>63</v>
      </c>
      <c r="G144">
        <v>1967</v>
      </c>
      <c r="H144">
        <v>266</v>
      </c>
      <c r="I144">
        <v>11.936999999999999</v>
      </c>
      <c r="J144">
        <v>470.66399999999999</v>
      </c>
      <c r="K144">
        <v>61</v>
      </c>
    </row>
    <row r="145" spans="1:11">
      <c r="A145">
        <v>27085</v>
      </c>
      <c r="B145" t="s">
        <v>585</v>
      </c>
      <c r="C145" t="s">
        <v>372</v>
      </c>
      <c r="E145" t="s">
        <v>456</v>
      </c>
      <c r="F145">
        <v>24</v>
      </c>
      <c r="G145">
        <v>1985</v>
      </c>
      <c r="H145">
        <v>691</v>
      </c>
      <c r="I145">
        <v>0</v>
      </c>
      <c r="J145">
        <v>0</v>
      </c>
      <c r="K145">
        <v>0</v>
      </c>
    </row>
    <row r="146" spans="1:11">
      <c r="A146">
        <v>20560</v>
      </c>
      <c r="B146" t="s">
        <v>586</v>
      </c>
      <c r="C146" t="s">
        <v>372</v>
      </c>
      <c r="D146" t="s">
        <v>397</v>
      </c>
      <c r="E146" t="s">
        <v>413</v>
      </c>
      <c r="F146">
        <v>94</v>
      </c>
      <c r="G146">
        <v>2007</v>
      </c>
      <c r="H146">
        <v>692</v>
      </c>
      <c r="I146">
        <v>0</v>
      </c>
      <c r="J146">
        <v>0</v>
      </c>
      <c r="K146">
        <v>0</v>
      </c>
    </row>
    <row r="147" spans="1:11">
      <c r="A147">
        <v>15083</v>
      </c>
      <c r="B147" t="s">
        <v>587</v>
      </c>
      <c r="C147" t="s">
        <v>391</v>
      </c>
      <c r="E147" t="s">
        <v>432</v>
      </c>
      <c r="F147">
        <v>2</v>
      </c>
      <c r="G147">
        <v>1993</v>
      </c>
      <c r="H147">
        <v>450</v>
      </c>
      <c r="I147">
        <v>3.4689999999999999</v>
      </c>
      <c r="J147">
        <v>133.124</v>
      </c>
      <c r="K147">
        <v>0</v>
      </c>
    </row>
    <row r="148" spans="1:11">
      <c r="A148">
        <v>28033</v>
      </c>
      <c r="B148" t="s">
        <v>588</v>
      </c>
      <c r="C148" t="s">
        <v>407</v>
      </c>
      <c r="E148" t="s">
        <v>455</v>
      </c>
      <c r="F148">
        <v>62</v>
      </c>
      <c r="G148">
        <v>1994</v>
      </c>
      <c r="H148">
        <v>693</v>
      </c>
      <c r="I148">
        <v>0</v>
      </c>
      <c r="J148">
        <v>0</v>
      </c>
      <c r="K148">
        <v>0</v>
      </c>
    </row>
    <row r="149" spans="1:11">
      <c r="A149">
        <v>96196</v>
      </c>
      <c r="B149" t="s">
        <v>589</v>
      </c>
      <c r="C149" t="s">
        <v>590</v>
      </c>
      <c r="E149" t="s">
        <v>151</v>
      </c>
      <c r="F149">
        <v>13</v>
      </c>
      <c r="G149">
        <v>1962</v>
      </c>
      <c r="H149">
        <v>487</v>
      </c>
      <c r="I149">
        <v>4</v>
      </c>
      <c r="J149">
        <v>94.18</v>
      </c>
      <c r="K149">
        <v>0</v>
      </c>
    </row>
    <row r="150" spans="1:11">
      <c r="A150">
        <v>21746</v>
      </c>
      <c r="B150" t="s">
        <v>591</v>
      </c>
      <c r="C150" t="s">
        <v>592</v>
      </c>
      <c r="D150" t="s">
        <v>262</v>
      </c>
      <c r="E150" t="s">
        <v>151</v>
      </c>
      <c r="F150">
        <v>13</v>
      </c>
      <c r="G150">
        <v>1990</v>
      </c>
      <c r="H150">
        <v>694</v>
      </c>
      <c r="I150">
        <v>0</v>
      </c>
      <c r="J150">
        <v>0</v>
      </c>
      <c r="K150">
        <v>0</v>
      </c>
    </row>
    <row r="151" spans="1:11">
      <c r="A151">
        <v>96190</v>
      </c>
      <c r="B151" t="s">
        <v>591</v>
      </c>
      <c r="C151" t="s">
        <v>593</v>
      </c>
      <c r="D151" t="s">
        <v>262</v>
      </c>
      <c r="E151" t="s">
        <v>151</v>
      </c>
      <c r="F151">
        <v>13</v>
      </c>
      <c r="G151">
        <v>1965</v>
      </c>
      <c r="H151">
        <v>695</v>
      </c>
      <c r="I151">
        <v>0</v>
      </c>
      <c r="J151">
        <v>0</v>
      </c>
      <c r="K151">
        <v>0</v>
      </c>
    </row>
    <row r="152" spans="1:11">
      <c r="A152">
        <v>12020</v>
      </c>
      <c r="B152" t="s">
        <v>594</v>
      </c>
      <c r="C152" t="s">
        <v>414</v>
      </c>
      <c r="E152" t="s">
        <v>142</v>
      </c>
      <c r="F152">
        <v>20</v>
      </c>
      <c r="G152">
        <v>1962</v>
      </c>
      <c r="H152">
        <v>25</v>
      </c>
      <c r="I152">
        <v>31.437999999999999</v>
      </c>
      <c r="J152">
        <v>2653.0079999999998</v>
      </c>
      <c r="K152">
        <v>1187</v>
      </c>
    </row>
    <row r="153" spans="1:11">
      <c r="A153">
        <v>13044</v>
      </c>
      <c r="B153" t="s">
        <v>595</v>
      </c>
      <c r="C153" t="s">
        <v>486</v>
      </c>
      <c r="D153" t="s">
        <v>262</v>
      </c>
      <c r="E153" t="s">
        <v>142</v>
      </c>
      <c r="F153">
        <v>20</v>
      </c>
      <c r="G153">
        <v>1962</v>
      </c>
      <c r="H153">
        <v>125</v>
      </c>
      <c r="I153">
        <v>13.141</v>
      </c>
      <c r="J153">
        <v>1246.8810000000001</v>
      </c>
      <c r="K153">
        <v>609</v>
      </c>
    </row>
    <row r="154" spans="1:11">
      <c r="A154">
        <v>16142</v>
      </c>
      <c r="B154" t="s">
        <v>596</v>
      </c>
      <c r="C154" t="s">
        <v>597</v>
      </c>
      <c r="E154" t="s">
        <v>133</v>
      </c>
      <c r="F154">
        <v>63</v>
      </c>
      <c r="G154">
        <v>1975</v>
      </c>
      <c r="H154">
        <v>350</v>
      </c>
      <c r="I154">
        <v>5.407</v>
      </c>
      <c r="J154">
        <v>266.75400000000002</v>
      </c>
      <c r="K154">
        <v>61</v>
      </c>
    </row>
    <row r="155" spans="1:11">
      <c r="A155">
        <v>11046</v>
      </c>
      <c r="B155" t="s">
        <v>598</v>
      </c>
      <c r="C155" t="s">
        <v>404</v>
      </c>
      <c r="E155" t="s">
        <v>276</v>
      </c>
      <c r="F155">
        <v>14</v>
      </c>
      <c r="G155">
        <v>1985</v>
      </c>
      <c r="H155">
        <v>76</v>
      </c>
      <c r="I155">
        <v>26.187999999999999</v>
      </c>
      <c r="J155">
        <v>1822.001</v>
      </c>
      <c r="K155">
        <v>671</v>
      </c>
    </row>
    <row r="156" spans="1:11">
      <c r="A156">
        <v>13062</v>
      </c>
      <c r="B156" t="s">
        <v>599</v>
      </c>
      <c r="C156" t="s">
        <v>555</v>
      </c>
      <c r="E156" t="s">
        <v>600</v>
      </c>
      <c r="F156">
        <v>74</v>
      </c>
      <c r="G156">
        <v>1951</v>
      </c>
      <c r="H156">
        <v>256</v>
      </c>
      <c r="I156">
        <v>8.0470000000000006</v>
      </c>
      <c r="J156">
        <v>490.31900000000002</v>
      </c>
      <c r="K156">
        <v>144</v>
      </c>
    </row>
    <row r="157" spans="1:11">
      <c r="A157">
        <v>12068</v>
      </c>
      <c r="B157" t="s">
        <v>599</v>
      </c>
      <c r="C157" t="s">
        <v>414</v>
      </c>
      <c r="E157" t="s">
        <v>600</v>
      </c>
      <c r="F157">
        <v>74</v>
      </c>
      <c r="G157">
        <v>1974</v>
      </c>
      <c r="H157">
        <v>259</v>
      </c>
      <c r="I157">
        <v>7.2969999999999997</v>
      </c>
      <c r="J157">
        <v>483.54500000000002</v>
      </c>
      <c r="K157">
        <v>144</v>
      </c>
    </row>
    <row r="158" spans="1:11">
      <c r="A158">
        <v>16034</v>
      </c>
      <c r="B158" t="s">
        <v>601</v>
      </c>
      <c r="C158" t="s">
        <v>414</v>
      </c>
      <c r="E158" t="s">
        <v>288</v>
      </c>
      <c r="F158">
        <v>22</v>
      </c>
      <c r="G158">
        <v>1970</v>
      </c>
      <c r="H158">
        <v>696</v>
      </c>
      <c r="I158">
        <v>0</v>
      </c>
      <c r="J158">
        <v>0</v>
      </c>
      <c r="K158">
        <v>0</v>
      </c>
    </row>
    <row r="159" spans="1:11">
      <c r="A159">
        <v>20512</v>
      </c>
      <c r="B159" t="s">
        <v>602</v>
      </c>
      <c r="C159" t="s">
        <v>444</v>
      </c>
      <c r="E159" t="s">
        <v>603</v>
      </c>
      <c r="F159">
        <v>66</v>
      </c>
      <c r="G159">
        <v>1991</v>
      </c>
      <c r="H159">
        <v>697</v>
      </c>
      <c r="I159">
        <v>0</v>
      </c>
      <c r="J159">
        <v>0</v>
      </c>
      <c r="K159">
        <v>0</v>
      </c>
    </row>
    <row r="160" spans="1:11">
      <c r="A160">
        <v>23131</v>
      </c>
      <c r="B160" t="s">
        <v>604</v>
      </c>
      <c r="C160" t="s">
        <v>450</v>
      </c>
      <c r="E160" t="s">
        <v>324</v>
      </c>
      <c r="F160">
        <v>43</v>
      </c>
      <c r="G160">
        <v>1954</v>
      </c>
      <c r="H160">
        <v>59</v>
      </c>
      <c r="I160">
        <v>28.125</v>
      </c>
      <c r="J160">
        <v>2107.2399999999998</v>
      </c>
      <c r="K160">
        <v>831</v>
      </c>
    </row>
    <row r="161" spans="1:11">
      <c r="A161">
        <v>11010</v>
      </c>
      <c r="B161" t="s">
        <v>605</v>
      </c>
      <c r="C161" t="s">
        <v>375</v>
      </c>
      <c r="E161" t="s">
        <v>379</v>
      </c>
      <c r="F161">
        <v>44</v>
      </c>
      <c r="G161">
        <v>1992</v>
      </c>
      <c r="H161">
        <v>340</v>
      </c>
      <c r="I161">
        <v>1.954</v>
      </c>
      <c r="J161">
        <v>283.678</v>
      </c>
      <c r="K161">
        <v>186</v>
      </c>
    </row>
    <row r="162" spans="1:11">
      <c r="A162">
        <v>11009</v>
      </c>
      <c r="B162" t="s">
        <v>605</v>
      </c>
      <c r="C162" t="s">
        <v>416</v>
      </c>
      <c r="E162" t="s">
        <v>379</v>
      </c>
      <c r="F162">
        <v>44</v>
      </c>
      <c r="G162">
        <v>1959</v>
      </c>
      <c r="H162">
        <v>70</v>
      </c>
      <c r="I162">
        <v>22.939</v>
      </c>
      <c r="J162">
        <v>1950.162</v>
      </c>
      <c r="K162">
        <v>900</v>
      </c>
    </row>
    <row r="163" spans="1:11">
      <c r="A163">
        <v>22017</v>
      </c>
      <c r="B163" t="s">
        <v>606</v>
      </c>
      <c r="C163" t="s">
        <v>607</v>
      </c>
      <c r="E163" t="s">
        <v>205</v>
      </c>
      <c r="F163">
        <v>17</v>
      </c>
      <c r="G163">
        <v>1970</v>
      </c>
      <c r="H163">
        <v>303</v>
      </c>
      <c r="I163">
        <v>3.75</v>
      </c>
      <c r="J163">
        <v>362.09100000000001</v>
      </c>
      <c r="K163">
        <v>175</v>
      </c>
    </row>
    <row r="164" spans="1:11">
      <c r="A164">
        <v>12001</v>
      </c>
      <c r="B164" t="s">
        <v>606</v>
      </c>
      <c r="C164" t="s">
        <v>608</v>
      </c>
      <c r="D164" t="s">
        <v>397</v>
      </c>
      <c r="E164" t="s">
        <v>205</v>
      </c>
      <c r="F164">
        <v>17</v>
      </c>
      <c r="G164">
        <v>2003</v>
      </c>
      <c r="H164">
        <v>698</v>
      </c>
      <c r="I164">
        <v>0</v>
      </c>
      <c r="J164">
        <v>0</v>
      </c>
      <c r="K164">
        <v>0</v>
      </c>
    </row>
    <row r="165" spans="1:11">
      <c r="A165">
        <v>18084</v>
      </c>
      <c r="B165" t="s">
        <v>609</v>
      </c>
      <c r="C165" t="s">
        <v>416</v>
      </c>
      <c r="E165" t="s">
        <v>138</v>
      </c>
      <c r="F165">
        <v>89</v>
      </c>
      <c r="G165">
        <v>1964</v>
      </c>
      <c r="H165">
        <v>381</v>
      </c>
      <c r="I165">
        <v>7.032</v>
      </c>
      <c r="J165">
        <v>223.035</v>
      </c>
      <c r="K165">
        <v>33</v>
      </c>
    </row>
    <row r="166" spans="1:11">
      <c r="A166">
        <v>19037</v>
      </c>
      <c r="B166" t="s">
        <v>610</v>
      </c>
      <c r="C166" t="s">
        <v>611</v>
      </c>
      <c r="E166" t="s">
        <v>603</v>
      </c>
      <c r="F166">
        <v>66</v>
      </c>
      <c r="G166">
        <v>1971</v>
      </c>
      <c r="H166">
        <v>353</v>
      </c>
      <c r="I166">
        <v>5.3760000000000003</v>
      </c>
      <c r="J166">
        <v>266.25200000000001</v>
      </c>
      <c r="K166">
        <v>25</v>
      </c>
    </row>
    <row r="167" spans="1:11">
      <c r="A167">
        <v>18046</v>
      </c>
      <c r="B167" t="s">
        <v>612</v>
      </c>
      <c r="C167" t="s">
        <v>613</v>
      </c>
      <c r="E167" t="s">
        <v>417</v>
      </c>
      <c r="F167">
        <v>69</v>
      </c>
      <c r="G167">
        <v>1974</v>
      </c>
      <c r="H167">
        <v>231</v>
      </c>
      <c r="I167">
        <v>8.0630000000000006</v>
      </c>
      <c r="J167">
        <v>569.83900000000006</v>
      </c>
      <c r="K167">
        <v>290</v>
      </c>
    </row>
    <row r="168" spans="1:11">
      <c r="A168">
        <v>18047</v>
      </c>
      <c r="B168" t="s">
        <v>612</v>
      </c>
      <c r="C168" t="s">
        <v>614</v>
      </c>
      <c r="D168" t="s">
        <v>262</v>
      </c>
      <c r="E168" t="s">
        <v>417</v>
      </c>
      <c r="F168">
        <v>69</v>
      </c>
      <c r="G168">
        <v>1977</v>
      </c>
      <c r="H168">
        <v>232</v>
      </c>
      <c r="I168">
        <v>8.0630000000000006</v>
      </c>
      <c r="J168">
        <v>569.83900000000006</v>
      </c>
      <c r="K168">
        <v>290</v>
      </c>
    </row>
    <row r="169" spans="1:11">
      <c r="A169">
        <v>17099</v>
      </c>
      <c r="B169" t="s">
        <v>615</v>
      </c>
      <c r="C169" t="s">
        <v>395</v>
      </c>
      <c r="E169" t="s">
        <v>365</v>
      </c>
      <c r="F169">
        <v>86</v>
      </c>
      <c r="G169">
        <v>1988</v>
      </c>
      <c r="H169">
        <v>699</v>
      </c>
      <c r="I169">
        <v>0</v>
      </c>
      <c r="J169">
        <v>0</v>
      </c>
      <c r="K169">
        <v>0</v>
      </c>
    </row>
    <row r="170" spans="1:11">
      <c r="A170">
        <v>12086</v>
      </c>
      <c r="B170" t="s">
        <v>616</v>
      </c>
      <c r="C170" t="s">
        <v>375</v>
      </c>
      <c r="E170" t="s">
        <v>130</v>
      </c>
      <c r="F170">
        <v>64</v>
      </c>
      <c r="G170">
        <v>1976</v>
      </c>
      <c r="H170">
        <v>27</v>
      </c>
      <c r="I170">
        <v>34.25</v>
      </c>
      <c r="J170">
        <v>2646.51</v>
      </c>
      <c r="K170">
        <v>1219</v>
      </c>
    </row>
    <row r="171" spans="1:11">
      <c r="A171">
        <v>16120</v>
      </c>
      <c r="B171" t="s">
        <v>616</v>
      </c>
      <c r="C171" t="s">
        <v>508</v>
      </c>
      <c r="D171" t="s">
        <v>397</v>
      </c>
      <c r="E171" t="s">
        <v>373</v>
      </c>
      <c r="F171">
        <v>79</v>
      </c>
      <c r="G171">
        <v>2009</v>
      </c>
      <c r="H171">
        <v>189</v>
      </c>
      <c r="I171">
        <v>13.955</v>
      </c>
      <c r="J171">
        <v>830.54399999999998</v>
      </c>
      <c r="K171">
        <v>204</v>
      </c>
    </row>
    <row r="172" spans="1:11">
      <c r="A172">
        <v>14074</v>
      </c>
      <c r="B172" t="s">
        <v>617</v>
      </c>
      <c r="C172" t="s">
        <v>473</v>
      </c>
      <c r="D172" t="s">
        <v>262</v>
      </c>
      <c r="E172" t="s">
        <v>142</v>
      </c>
      <c r="F172">
        <v>20</v>
      </c>
      <c r="G172">
        <v>1974</v>
      </c>
      <c r="H172">
        <v>26</v>
      </c>
      <c r="I172">
        <v>31.75</v>
      </c>
      <c r="J172">
        <v>2650.4789999999998</v>
      </c>
      <c r="K172">
        <v>1220</v>
      </c>
    </row>
    <row r="173" spans="1:11">
      <c r="A173">
        <v>14075</v>
      </c>
      <c r="B173" t="s">
        <v>617</v>
      </c>
      <c r="C173" t="s">
        <v>618</v>
      </c>
      <c r="D173" t="s">
        <v>262</v>
      </c>
      <c r="E173" t="s">
        <v>142</v>
      </c>
      <c r="F173">
        <v>20</v>
      </c>
      <c r="G173">
        <v>1999</v>
      </c>
      <c r="H173">
        <v>16</v>
      </c>
      <c r="I173">
        <v>46.625</v>
      </c>
      <c r="J173">
        <v>2946.0059999999999</v>
      </c>
      <c r="K173">
        <v>886</v>
      </c>
    </row>
    <row r="174" spans="1:11">
      <c r="A174">
        <v>16013</v>
      </c>
      <c r="B174" t="s">
        <v>619</v>
      </c>
      <c r="C174" t="s">
        <v>414</v>
      </c>
      <c r="E174" t="s">
        <v>373</v>
      </c>
      <c r="F174">
        <v>79</v>
      </c>
      <c r="G174">
        <v>1988</v>
      </c>
      <c r="H174">
        <v>700</v>
      </c>
      <c r="I174">
        <v>0</v>
      </c>
      <c r="J174">
        <v>0</v>
      </c>
      <c r="K174">
        <v>0</v>
      </c>
    </row>
    <row r="175" spans="1:11">
      <c r="A175">
        <v>10034</v>
      </c>
      <c r="B175" t="s">
        <v>620</v>
      </c>
      <c r="C175" t="s">
        <v>391</v>
      </c>
      <c r="E175" t="s">
        <v>621</v>
      </c>
      <c r="F175">
        <v>68</v>
      </c>
      <c r="G175">
        <v>1959</v>
      </c>
      <c r="H175">
        <v>348</v>
      </c>
      <c r="I175">
        <v>5.3129999999999997</v>
      </c>
      <c r="J175">
        <v>268.56900000000002</v>
      </c>
      <c r="K175">
        <v>68</v>
      </c>
    </row>
    <row r="176" spans="1:11">
      <c r="A176">
        <v>10035</v>
      </c>
      <c r="B176" t="s">
        <v>622</v>
      </c>
      <c r="C176" t="s">
        <v>510</v>
      </c>
      <c r="D176" t="s">
        <v>262</v>
      </c>
      <c r="E176" t="s">
        <v>621</v>
      </c>
      <c r="F176">
        <v>68</v>
      </c>
      <c r="G176">
        <v>1959</v>
      </c>
      <c r="H176">
        <v>701</v>
      </c>
      <c r="I176">
        <v>0</v>
      </c>
      <c r="J176">
        <v>0</v>
      </c>
      <c r="K176">
        <v>0</v>
      </c>
    </row>
    <row r="177" spans="1:11">
      <c r="A177">
        <v>24218</v>
      </c>
      <c r="B177" t="s">
        <v>623</v>
      </c>
      <c r="C177" t="s">
        <v>414</v>
      </c>
      <c r="E177" t="s">
        <v>392</v>
      </c>
      <c r="F177">
        <v>51</v>
      </c>
      <c r="G177">
        <v>1969</v>
      </c>
      <c r="H177">
        <v>60</v>
      </c>
      <c r="I177">
        <v>23.47</v>
      </c>
      <c r="J177">
        <v>2106.424</v>
      </c>
      <c r="K177">
        <v>961</v>
      </c>
    </row>
    <row r="178" spans="1:11">
      <c r="A178">
        <v>10069</v>
      </c>
      <c r="B178" t="s">
        <v>624</v>
      </c>
      <c r="C178" t="s">
        <v>372</v>
      </c>
      <c r="E178" t="s">
        <v>382</v>
      </c>
      <c r="F178">
        <v>61</v>
      </c>
      <c r="G178">
        <v>1983</v>
      </c>
      <c r="H178">
        <v>702</v>
      </c>
      <c r="I178">
        <v>0</v>
      </c>
      <c r="J178">
        <v>0</v>
      </c>
      <c r="K178">
        <v>0</v>
      </c>
    </row>
    <row r="179" spans="1:11">
      <c r="A179">
        <v>15032</v>
      </c>
      <c r="B179" t="s">
        <v>625</v>
      </c>
      <c r="C179" t="s">
        <v>626</v>
      </c>
      <c r="E179" t="s">
        <v>440</v>
      </c>
      <c r="F179">
        <v>73</v>
      </c>
      <c r="G179">
        <v>1942</v>
      </c>
      <c r="H179">
        <v>366</v>
      </c>
      <c r="I179">
        <v>4.5010000000000003</v>
      </c>
      <c r="J179">
        <v>250.51499999999999</v>
      </c>
      <c r="K179">
        <v>68</v>
      </c>
    </row>
    <row r="180" spans="1:11">
      <c r="A180">
        <v>15031</v>
      </c>
      <c r="B180" t="s">
        <v>627</v>
      </c>
      <c r="C180" t="s">
        <v>386</v>
      </c>
      <c r="D180" t="s">
        <v>262</v>
      </c>
      <c r="E180" t="s">
        <v>440</v>
      </c>
      <c r="F180">
        <v>73</v>
      </c>
      <c r="G180">
        <v>1947</v>
      </c>
      <c r="H180">
        <v>345</v>
      </c>
      <c r="I180">
        <v>4.8440000000000003</v>
      </c>
      <c r="J180">
        <v>270.19900000000001</v>
      </c>
      <c r="K180">
        <v>68</v>
      </c>
    </row>
    <row r="181" spans="1:11">
      <c r="A181">
        <v>97290</v>
      </c>
      <c r="B181" t="s">
        <v>628</v>
      </c>
      <c r="C181" t="s">
        <v>375</v>
      </c>
      <c r="E181" t="s">
        <v>264</v>
      </c>
      <c r="F181">
        <v>6</v>
      </c>
      <c r="G181">
        <v>1970</v>
      </c>
      <c r="H181">
        <v>703</v>
      </c>
      <c r="I181">
        <v>0</v>
      </c>
      <c r="J181">
        <v>0</v>
      </c>
      <c r="K181">
        <v>0</v>
      </c>
    </row>
    <row r="182" spans="1:11">
      <c r="A182">
        <v>16056</v>
      </c>
      <c r="B182" t="s">
        <v>629</v>
      </c>
      <c r="C182" t="s">
        <v>439</v>
      </c>
      <c r="E182" t="s">
        <v>630</v>
      </c>
      <c r="F182">
        <v>82</v>
      </c>
      <c r="G182">
        <v>1966</v>
      </c>
      <c r="H182">
        <v>423</v>
      </c>
      <c r="I182">
        <v>1.875</v>
      </c>
      <c r="J182">
        <v>167.57900000000001</v>
      </c>
      <c r="K182">
        <v>83</v>
      </c>
    </row>
    <row r="183" spans="1:11">
      <c r="A183">
        <v>10008</v>
      </c>
      <c r="B183" t="s">
        <v>631</v>
      </c>
      <c r="C183" t="s">
        <v>514</v>
      </c>
      <c r="E183" t="s">
        <v>603</v>
      </c>
      <c r="F183">
        <v>66</v>
      </c>
      <c r="G183">
        <v>1968</v>
      </c>
      <c r="H183">
        <v>395</v>
      </c>
      <c r="I183">
        <v>5.907</v>
      </c>
      <c r="J183">
        <v>203.35599999999999</v>
      </c>
      <c r="K183">
        <v>0</v>
      </c>
    </row>
    <row r="184" spans="1:11">
      <c r="A184">
        <v>13048</v>
      </c>
      <c r="B184" t="s">
        <v>632</v>
      </c>
      <c r="C184" t="s">
        <v>510</v>
      </c>
      <c r="D184" t="s">
        <v>262</v>
      </c>
      <c r="E184" t="s">
        <v>603</v>
      </c>
      <c r="F184">
        <v>66</v>
      </c>
      <c r="G184">
        <v>1970</v>
      </c>
      <c r="H184">
        <v>704</v>
      </c>
      <c r="I184">
        <v>0</v>
      </c>
      <c r="J184">
        <v>0</v>
      </c>
      <c r="K184">
        <v>0</v>
      </c>
    </row>
    <row r="185" spans="1:11">
      <c r="A185">
        <v>13070</v>
      </c>
      <c r="B185" t="s">
        <v>633</v>
      </c>
      <c r="C185" t="s">
        <v>634</v>
      </c>
      <c r="D185" t="s">
        <v>262</v>
      </c>
      <c r="E185" t="s">
        <v>401</v>
      </c>
      <c r="F185">
        <v>16</v>
      </c>
      <c r="G185">
        <v>1981</v>
      </c>
      <c r="H185">
        <v>705</v>
      </c>
      <c r="I185">
        <v>0</v>
      </c>
      <c r="J185">
        <v>0</v>
      </c>
      <c r="K185">
        <v>0</v>
      </c>
    </row>
    <row r="186" spans="1:11">
      <c r="A186">
        <v>16072</v>
      </c>
      <c r="B186" t="s">
        <v>635</v>
      </c>
      <c r="C186" t="s">
        <v>545</v>
      </c>
      <c r="D186" t="s">
        <v>262</v>
      </c>
      <c r="E186" t="s">
        <v>524</v>
      </c>
      <c r="F186">
        <v>87</v>
      </c>
      <c r="G186">
        <v>1947</v>
      </c>
      <c r="H186">
        <v>356</v>
      </c>
      <c r="I186">
        <v>4.2510000000000003</v>
      </c>
      <c r="J186">
        <v>264.48099999999999</v>
      </c>
      <c r="K186">
        <v>72</v>
      </c>
    </row>
    <row r="187" spans="1:11">
      <c r="A187">
        <v>18106</v>
      </c>
      <c r="B187" t="s">
        <v>636</v>
      </c>
      <c r="C187" t="s">
        <v>637</v>
      </c>
      <c r="D187" t="s">
        <v>397</v>
      </c>
      <c r="E187" t="s">
        <v>198</v>
      </c>
      <c r="F187">
        <v>21</v>
      </c>
      <c r="G187">
        <v>2007</v>
      </c>
      <c r="H187">
        <v>596</v>
      </c>
      <c r="I187">
        <v>1.875</v>
      </c>
      <c r="J187">
        <v>32.996000000000002</v>
      </c>
      <c r="K187">
        <v>0</v>
      </c>
    </row>
    <row r="188" spans="1:11">
      <c r="A188">
        <v>96162</v>
      </c>
      <c r="B188" t="s">
        <v>638</v>
      </c>
      <c r="C188" t="s">
        <v>458</v>
      </c>
      <c r="E188" t="s">
        <v>639</v>
      </c>
      <c r="F188">
        <v>5</v>
      </c>
      <c r="G188">
        <v>1963</v>
      </c>
      <c r="H188">
        <v>330</v>
      </c>
      <c r="I188">
        <v>6.8129999999999997</v>
      </c>
      <c r="J188">
        <v>306.88299999999998</v>
      </c>
      <c r="K188">
        <v>0</v>
      </c>
    </row>
    <row r="189" spans="1:11">
      <c r="A189">
        <v>96163</v>
      </c>
      <c r="B189" t="s">
        <v>640</v>
      </c>
      <c r="C189" t="s">
        <v>641</v>
      </c>
      <c r="D189" t="s">
        <v>262</v>
      </c>
      <c r="E189" t="s">
        <v>639</v>
      </c>
      <c r="F189">
        <v>5</v>
      </c>
      <c r="G189">
        <v>1963</v>
      </c>
      <c r="H189">
        <v>331</v>
      </c>
      <c r="I189">
        <v>6.8129999999999997</v>
      </c>
      <c r="J189">
        <v>306.88299999999998</v>
      </c>
      <c r="K189">
        <v>0</v>
      </c>
    </row>
    <row r="190" spans="1:11">
      <c r="A190">
        <v>11050</v>
      </c>
      <c r="B190" t="s">
        <v>642</v>
      </c>
      <c r="C190" t="s">
        <v>473</v>
      </c>
      <c r="D190" t="s">
        <v>262</v>
      </c>
      <c r="E190" t="s">
        <v>130</v>
      </c>
      <c r="F190">
        <v>64</v>
      </c>
      <c r="G190">
        <v>1976</v>
      </c>
      <c r="H190">
        <v>276</v>
      </c>
      <c r="I190">
        <v>4.75</v>
      </c>
      <c r="J190">
        <v>443.80599999999998</v>
      </c>
      <c r="K190">
        <v>218</v>
      </c>
    </row>
    <row r="191" spans="1:11">
      <c r="A191">
        <v>96217</v>
      </c>
      <c r="B191" t="s">
        <v>642</v>
      </c>
      <c r="C191" t="s">
        <v>643</v>
      </c>
      <c r="E191" t="s">
        <v>130</v>
      </c>
      <c r="F191">
        <v>64</v>
      </c>
      <c r="G191">
        <v>1949</v>
      </c>
      <c r="H191">
        <v>120</v>
      </c>
      <c r="I191">
        <v>16.734999999999999</v>
      </c>
      <c r="J191">
        <v>1305.9670000000001</v>
      </c>
      <c r="K191">
        <v>534</v>
      </c>
    </row>
    <row r="192" spans="1:11">
      <c r="A192">
        <v>25054</v>
      </c>
      <c r="B192" t="s">
        <v>644</v>
      </c>
      <c r="C192" t="s">
        <v>375</v>
      </c>
      <c r="E192" t="s">
        <v>645</v>
      </c>
      <c r="F192">
        <v>56</v>
      </c>
      <c r="G192">
        <v>1953</v>
      </c>
      <c r="H192">
        <v>104</v>
      </c>
      <c r="I192">
        <v>22.283000000000001</v>
      </c>
      <c r="J192">
        <v>1461.2760000000001</v>
      </c>
      <c r="K192">
        <v>533</v>
      </c>
    </row>
    <row r="193" spans="1:11">
      <c r="A193">
        <v>26022</v>
      </c>
      <c r="B193" t="s">
        <v>644</v>
      </c>
      <c r="C193" t="s">
        <v>372</v>
      </c>
      <c r="E193" t="s">
        <v>645</v>
      </c>
      <c r="F193">
        <v>56</v>
      </c>
      <c r="G193">
        <v>1976</v>
      </c>
      <c r="H193">
        <v>456</v>
      </c>
      <c r="I193">
        <v>3.875</v>
      </c>
      <c r="J193">
        <v>122.05</v>
      </c>
      <c r="K193">
        <v>0</v>
      </c>
    </row>
    <row r="194" spans="1:11">
      <c r="A194">
        <v>28006</v>
      </c>
      <c r="B194" t="s">
        <v>646</v>
      </c>
      <c r="C194" t="s">
        <v>375</v>
      </c>
      <c r="E194" t="s">
        <v>205</v>
      </c>
      <c r="F194">
        <v>17</v>
      </c>
      <c r="G194">
        <v>1992</v>
      </c>
      <c r="H194">
        <v>57</v>
      </c>
      <c r="I194">
        <v>21.501000000000001</v>
      </c>
      <c r="J194">
        <v>2161.8530000000001</v>
      </c>
      <c r="K194">
        <v>1076</v>
      </c>
    </row>
    <row r="195" spans="1:11">
      <c r="A195">
        <v>14021</v>
      </c>
      <c r="B195" t="s">
        <v>646</v>
      </c>
      <c r="C195" t="s">
        <v>611</v>
      </c>
      <c r="E195" t="s">
        <v>306</v>
      </c>
      <c r="F195">
        <v>33</v>
      </c>
      <c r="G195">
        <v>1969</v>
      </c>
      <c r="H195">
        <v>550</v>
      </c>
      <c r="I195">
        <v>1.5940000000000001</v>
      </c>
      <c r="J195">
        <v>55.540999999999997</v>
      </c>
      <c r="K195">
        <v>0</v>
      </c>
    </row>
    <row r="196" spans="1:11">
      <c r="A196">
        <v>17097</v>
      </c>
      <c r="B196" t="s">
        <v>647</v>
      </c>
      <c r="C196" t="s">
        <v>648</v>
      </c>
      <c r="E196" t="s">
        <v>373</v>
      </c>
      <c r="F196">
        <v>79</v>
      </c>
      <c r="G196">
        <v>1989</v>
      </c>
      <c r="H196">
        <v>99</v>
      </c>
      <c r="I196">
        <v>18.812999999999999</v>
      </c>
      <c r="J196">
        <v>1514.605</v>
      </c>
      <c r="K196">
        <v>616</v>
      </c>
    </row>
    <row r="197" spans="1:11">
      <c r="A197">
        <v>11019</v>
      </c>
      <c r="B197" t="s">
        <v>649</v>
      </c>
      <c r="C197" t="s">
        <v>384</v>
      </c>
      <c r="E197" t="s">
        <v>650</v>
      </c>
      <c r="F197">
        <v>45</v>
      </c>
      <c r="G197">
        <v>1950</v>
      </c>
      <c r="H197">
        <v>558</v>
      </c>
      <c r="I197">
        <v>1.3440000000000001</v>
      </c>
      <c r="J197">
        <v>48.56</v>
      </c>
      <c r="K197">
        <v>0</v>
      </c>
    </row>
    <row r="198" spans="1:11">
      <c r="A198">
        <v>18010</v>
      </c>
      <c r="B198" t="s">
        <v>649</v>
      </c>
      <c r="C198" t="s">
        <v>414</v>
      </c>
      <c r="E198" t="s">
        <v>524</v>
      </c>
      <c r="F198">
        <v>87</v>
      </c>
      <c r="G198">
        <v>1948</v>
      </c>
      <c r="H198">
        <v>344</v>
      </c>
      <c r="I198">
        <v>5.61</v>
      </c>
      <c r="J198">
        <v>271.13600000000002</v>
      </c>
      <c r="K198">
        <v>51</v>
      </c>
    </row>
    <row r="199" spans="1:11">
      <c r="A199">
        <v>18011</v>
      </c>
      <c r="B199" t="s">
        <v>651</v>
      </c>
      <c r="C199" t="s">
        <v>545</v>
      </c>
      <c r="D199" t="s">
        <v>262</v>
      </c>
      <c r="E199" t="s">
        <v>524</v>
      </c>
      <c r="F199">
        <v>87</v>
      </c>
      <c r="G199">
        <v>1950</v>
      </c>
      <c r="H199">
        <v>485</v>
      </c>
      <c r="I199">
        <v>0.90700000000000003</v>
      </c>
      <c r="J199">
        <v>96.543000000000006</v>
      </c>
      <c r="K199">
        <v>51</v>
      </c>
    </row>
    <row r="200" spans="1:11">
      <c r="A200">
        <v>18069</v>
      </c>
      <c r="B200" t="s">
        <v>652</v>
      </c>
      <c r="C200" t="s">
        <v>375</v>
      </c>
      <c r="E200" t="s">
        <v>248</v>
      </c>
      <c r="F200">
        <v>88</v>
      </c>
      <c r="G200">
        <v>1978</v>
      </c>
      <c r="H200">
        <v>706</v>
      </c>
      <c r="I200">
        <v>0</v>
      </c>
      <c r="J200">
        <v>0</v>
      </c>
      <c r="K200">
        <v>0</v>
      </c>
    </row>
    <row r="201" spans="1:11">
      <c r="A201">
        <v>18068</v>
      </c>
      <c r="B201" t="s">
        <v>653</v>
      </c>
      <c r="C201" t="s">
        <v>654</v>
      </c>
      <c r="D201" t="s">
        <v>262</v>
      </c>
      <c r="E201" t="s">
        <v>248</v>
      </c>
      <c r="F201">
        <v>88</v>
      </c>
      <c r="G201">
        <v>1982</v>
      </c>
      <c r="H201">
        <v>377</v>
      </c>
      <c r="I201">
        <v>3.6890000000000001</v>
      </c>
      <c r="J201">
        <v>227.309</v>
      </c>
      <c r="K201">
        <v>76</v>
      </c>
    </row>
    <row r="202" spans="1:11">
      <c r="A202">
        <v>15059</v>
      </c>
      <c r="B202" t="s">
        <v>655</v>
      </c>
      <c r="C202" t="s">
        <v>475</v>
      </c>
      <c r="E202" t="s">
        <v>543</v>
      </c>
      <c r="F202">
        <v>54</v>
      </c>
      <c r="G202">
        <v>1959</v>
      </c>
      <c r="H202">
        <v>88</v>
      </c>
      <c r="I202">
        <v>20.172000000000001</v>
      </c>
      <c r="J202">
        <v>1624.384</v>
      </c>
      <c r="K202">
        <v>693</v>
      </c>
    </row>
    <row r="203" spans="1:11">
      <c r="A203">
        <v>99594</v>
      </c>
      <c r="B203" t="s">
        <v>656</v>
      </c>
      <c r="C203" t="s">
        <v>384</v>
      </c>
      <c r="E203" t="s">
        <v>116</v>
      </c>
      <c r="F203">
        <v>19</v>
      </c>
      <c r="G203">
        <v>1960</v>
      </c>
      <c r="H203">
        <v>180</v>
      </c>
      <c r="I203">
        <v>12.36</v>
      </c>
      <c r="J203">
        <v>877.61300000000006</v>
      </c>
      <c r="K203">
        <v>428</v>
      </c>
    </row>
    <row r="204" spans="1:11">
      <c r="A204">
        <v>15024</v>
      </c>
      <c r="B204" t="s">
        <v>657</v>
      </c>
      <c r="C204" t="s">
        <v>658</v>
      </c>
      <c r="E204" t="s">
        <v>170</v>
      </c>
      <c r="F204">
        <v>67</v>
      </c>
      <c r="G204">
        <v>1959</v>
      </c>
      <c r="H204">
        <v>707</v>
      </c>
      <c r="I204">
        <v>0</v>
      </c>
      <c r="J204">
        <v>0</v>
      </c>
      <c r="K204">
        <v>0</v>
      </c>
    </row>
    <row r="205" spans="1:11">
      <c r="A205">
        <v>24309</v>
      </c>
      <c r="B205" t="s">
        <v>659</v>
      </c>
      <c r="C205" t="s">
        <v>407</v>
      </c>
      <c r="E205" t="s">
        <v>660</v>
      </c>
      <c r="F205">
        <v>85</v>
      </c>
      <c r="G205">
        <v>1985</v>
      </c>
      <c r="H205">
        <v>226</v>
      </c>
      <c r="I205">
        <v>6</v>
      </c>
      <c r="J205">
        <v>616.02800000000002</v>
      </c>
      <c r="K205">
        <v>326</v>
      </c>
    </row>
    <row r="206" spans="1:11">
      <c r="A206">
        <v>24311</v>
      </c>
      <c r="B206" t="s">
        <v>659</v>
      </c>
      <c r="C206" t="s">
        <v>414</v>
      </c>
      <c r="E206" t="s">
        <v>660</v>
      </c>
      <c r="F206">
        <v>85</v>
      </c>
      <c r="G206">
        <v>1989</v>
      </c>
      <c r="H206">
        <v>708</v>
      </c>
      <c r="I206">
        <v>0</v>
      </c>
      <c r="J206">
        <v>0</v>
      </c>
      <c r="K206">
        <v>0</v>
      </c>
    </row>
    <row r="207" spans="1:11">
      <c r="A207">
        <v>16020</v>
      </c>
      <c r="B207" t="s">
        <v>661</v>
      </c>
      <c r="C207" t="s">
        <v>475</v>
      </c>
      <c r="E207" t="s">
        <v>650</v>
      </c>
      <c r="F207">
        <v>45</v>
      </c>
      <c r="G207">
        <v>1968</v>
      </c>
      <c r="H207">
        <v>250</v>
      </c>
      <c r="I207">
        <v>14.063000000000001</v>
      </c>
      <c r="J207">
        <v>510.61599999999999</v>
      </c>
      <c r="K207">
        <v>0</v>
      </c>
    </row>
    <row r="208" spans="1:11">
      <c r="A208">
        <v>15027</v>
      </c>
      <c r="B208" t="s">
        <v>662</v>
      </c>
      <c r="C208" t="s">
        <v>450</v>
      </c>
      <c r="E208" t="s">
        <v>440</v>
      </c>
      <c r="F208">
        <v>73</v>
      </c>
      <c r="G208">
        <v>1951</v>
      </c>
      <c r="H208">
        <v>561</v>
      </c>
      <c r="I208">
        <v>0.96899999999999997</v>
      </c>
      <c r="J208">
        <v>46.984000000000002</v>
      </c>
      <c r="K208">
        <v>0</v>
      </c>
    </row>
    <row r="209" spans="1:11">
      <c r="A209">
        <v>18095</v>
      </c>
      <c r="B209" t="s">
        <v>662</v>
      </c>
      <c r="C209" t="s">
        <v>475</v>
      </c>
      <c r="E209" t="s">
        <v>663</v>
      </c>
      <c r="F209">
        <v>90</v>
      </c>
      <c r="G209">
        <v>1957</v>
      </c>
      <c r="H209">
        <v>619</v>
      </c>
      <c r="I209">
        <v>0.40600000000000003</v>
      </c>
      <c r="J209">
        <v>18.893999999999998</v>
      </c>
      <c r="K209">
        <v>0</v>
      </c>
    </row>
    <row r="210" spans="1:11">
      <c r="A210">
        <v>10021</v>
      </c>
      <c r="B210" t="s">
        <v>664</v>
      </c>
      <c r="C210" t="s">
        <v>475</v>
      </c>
      <c r="E210" t="s">
        <v>170</v>
      </c>
      <c r="F210">
        <v>67</v>
      </c>
      <c r="G210">
        <v>1964</v>
      </c>
      <c r="H210">
        <v>312</v>
      </c>
      <c r="I210">
        <v>4.6260000000000003</v>
      </c>
      <c r="J210">
        <v>343.77300000000002</v>
      </c>
      <c r="K210">
        <v>162</v>
      </c>
    </row>
    <row r="211" spans="1:11">
      <c r="A211">
        <v>17062</v>
      </c>
      <c r="B211" t="s">
        <v>665</v>
      </c>
      <c r="C211" t="s">
        <v>404</v>
      </c>
      <c r="D211" t="s">
        <v>397</v>
      </c>
      <c r="E211" t="s">
        <v>630</v>
      </c>
      <c r="F211">
        <v>82</v>
      </c>
      <c r="G211">
        <v>2004</v>
      </c>
      <c r="H211">
        <v>97</v>
      </c>
      <c r="I211">
        <v>27.533000000000001</v>
      </c>
      <c r="J211">
        <v>1571.316</v>
      </c>
      <c r="K211">
        <v>466</v>
      </c>
    </row>
    <row r="212" spans="1:11">
      <c r="A212">
        <v>18136</v>
      </c>
      <c r="B212" t="s">
        <v>665</v>
      </c>
      <c r="C212" t="s">
        <v>416</v>
      </c>
      <c r="E212" t="s">
        <v>630</v>
      </c>
      <c r="F212">
        <v>82</v>
      </c>
      <c r="G212">
        <v>1970</v>
      </c>
      <c r="H212">
        <v>294</v>
      </c>
      <c r="I212">
        <v>9.2040000000000006</v>
      </c>
      <c r="J212">
        <v>384.32299999999998</v>
      </c>
      <c r="K212">
        <v>20</v>
      </c>
    </row>
    <row r="213" spans="1:11">
      <c r="A213">
        <v>96108</v>
      </c>
      <c r="B213" t="s">
        <v>666</v>
      </c>
      <c r="C213" t="s">
        <v>450</v>
      </c>
      <c r="E213" t="s">
        <v>148</v>
      </c>
      <c r="F213">
        <v>1</v>
      </c>
      <c r="G213">
        <v>1967</v>
      </c>
      <c r="H213">
        <v>389</v>
      </c>
      <c r="I213">
        <v>1.5629999999999999</v>
      </c>
      <c r="J213">
        <v>212.19399999999999</v>
      </c>
      <c r="K213">
        <v>136</v>
      </c>
    </row>
    <row r="214" spans="1:11">
      <c r="A214">
        <v>96059</v>
      </c>
      <c r="B214" t="s">
        <v>667</v>
      </c>
      <c r="C214" t="s">
        <v>367</v>
      </c>
      <c r="D214" t="s">
        <v>262</v>
      </c>
      <c r="E214" t="s">
        <v>148</v>
      </c>
      <c r="F214">
        <v>1</v>
      </c>
      <c r="G214">
        <v>1970</v>
      </c>
      <c r="H214">
        <v>169</v>
      </c>
      <c r="I214">
        <v>10.422000000000001</v>
      </c>
      <c r="J214">
        <v>958.52599999999995</v>
      </c>
      <c r="K214">
        <v>418</v>
      </c>
    </row>
    <row r="215" spans="1:11">
      <c r="A215">
        <v>98419</v>
      </c>
      <c r="B215" t="s">
        <v>668</v>
      </c>
      <c r="C215" t="s">
        <v>597</v>
      </c>
      <c r="E215" t="s">
        <v>398</v>
      </c>
      <c r="F215">
        <v>27</v>
      </c>
      <c r="G215">
        <v>1952</v>
      </c>
      <c r="H215">
        <v>203</v>
      </c>
      <c r="I215">
        <v>11.313000000000001</v>
      </c>
      <c r="J215">
        <v>778.88499999999999</v>
      </c>
      <c r="K215">
        <v>283</v>
      </c>
    </row>
    <row r="216" spans="1:11">
      <c r="A216">
        <v>17075</v>
      </c>
      <c r="B216" t="s">
        <v>669</v>
      </c>
      <c r="C216" t="s">
        <v>670</v>
      </c>
      <c r="D216" t="s">
        <v>511</v>
      </c>
      <c r="E216" t="s">
        <v>398</v>
      </c>
      <c r="F216">
        <v>27</v>
      </c>
      <c r="G216">
        <v>2011</v>
      </c>
      <c r="H216">
        <v>709</v>
      </c>
      <c r="I216">
        <v>0</v>
      </c>
      <c r="J216">
        <v>0</v>
      </c>
      <c r="K216">
        <v>0</v>
      </c>
    </row>
    <row r="217" spans="1:11">
      <c r="A217">
        <v>98473</v>
      </c>
      <c r="B217" t="s">
        <v>669</v>
      </c>
      <c r="C217" t="s">
        <v>671</v>
      </c>
      <c r="D217" t="s">
        <v>262</v>
      </c>
      <c r="E217" t="s">
        <v>398</v>
      </c>
      <c r="F217">
        <v>27</v>
      </c>
      <c r="G217">
        <v>1990</v>
      </c>
      <c r="H217">
        <v>710</v>
      </c>
      <c r="I217">
        <v>0</v>
      </c>
      <c r="J217">
        <v>0</v>
      </c>
      <c r="K217">
        <v>0</v>
      </c>
    </row>
    <row r="218" spans="1:11">
      <c r="A218">
        <v>14006</v>
      </c>
      <c r="B218" t="s">
        <v>672</v>
      </c>
      <c r="C218" t="s">
        <v>407</v>
      </c>
      <c r="E218" t="s">
        <v>148</v>
      </c>
      <c r="F218">
        <v>1</v>
      </c>
      <c r="G218">
        <v>1970</v>
      </c>
      <c r="H218">
        <v>122</v>
      </c>
      <c r="I218">
        <v>14.641</v>
      </c>
      <c r="J218">
        <v>1293.79</v>
      </c>
      <c r="K218">
        <v>583</v>
      </c>
    </row>
    <row r="219" spans="1:11">
      <c r="A219">
        <v>17032</v>
      </c>
      <c r="B219" t="s">
        <v>673</v>
      </c>
      <c r="C219" t="s">
        <v>634</v>
      </c>
      <c r="D219" t="s">
        <v>262</v>
      </c>
      <c r="E219" t="s">
        <v>148</v>
      </c>
      <c r="F219">
        <v>1</v>
      </c>
      <c r="G219">
        <v>2000</v>
      </c>
      <c r="H219">
        <v>633</v>
      </c>
      <c r="I219">
        <v>6.3E-2</v>
      </c>
      <c r="J219">
        <v>2.9409999999999998</v>
      </c>
      <c r="K219">
        <v>0</v>
      </c>
    </row>
    <row r="220" spans="1:11">
      <c r="A220">
        <v>18113</v>
      </c>
      <c r="B220" t="s">
        <v>674</v>
      </c>
      <c r="C220" t="s">
        <v>675</v>
      </c>
      <c r="E220" t="s">
        <v>365</v>
      </c>
      <c r="F220">
        <v>86</v>
      </c>
      <c r="G220">
        <v>1974</v>
      </c>
      <c r="H220">
        <v>362</v>
      </c>
      <c r="I220">
        <v>3.36</v>
      </c>
      <c r="J220">
        <v>258.14499999999998</v>
      </c>
      <c r="K220">
        <v>99</v>
      </c>
    </row>
    <row r="221" spans="1:11">
      <c r="A221">
        <v>18114</v>
      </c>
      <c r="B221" t="s">
        <v>676</v>
      </c>
      <c r="C221" t="s">
        <v>677</v>
      </c>
      <c r="D221" t="s">
        <v>262</v>
      </c>
      <c r="E221" t="s">
        <v>365</v>
      </c>
      <c r="F221">
        <v>86</v>
      </c>
      <c r="G221">
        <v>1977</v>
      </c>
      <c r="H221">
        <v>471</v>
      </c>
      <c r="I221">
        <v>0.625</v>
      </c>
      <c r="J221">
        <v>106.375</v>
      </c>
      <c r="K221">
        <v>72</v>
      </c>
    </row>
    <row r="222" spans="1:11">
      <c r="A222">
        <v>98423</v>
      </c>
      <c r="B222" t="s">
        <v>678</v>
      </c>
      <c r="C222" t="s">
        <v>391</v>
      </c>
      <c r="E222" t="s">
        <v>398</v>
      </c>
      <c r="F222">
        <v>27</v>
      </c>
      <c r="G222">
        <v>1982</v>
      </c>
      <c r="H222">
        <v>185</v>
      </c>
      <c r="I222">
        <v>16.25</v>
      </c>
      <c r="J222">
        <v>844.673</v>
      </c>
      <c r="K222">
        <v>249</v>
      </c>
    </row>
    <row r="223" spans="1:11">
      <c r="A223">
        <v>17098</v>
      </c>
      <c r="B223" t="s">
        <v>679</v>
      </c>
      <c r="C223" t="s">
        <v>680</v>
      </c>
      <c r="D223" t="s">
        <v>262</v>
      </c>
      <c r="E223" t="s">
        <v>401</v>
      </c>
      <c r="F223">
        <v>16</v>
      </c>
      <c r="G223">
        <v>1979</v>
      </c>
      <c r="H223">
        <v>368</v>
      </c>
      <c r="I223">
        <v>4.6879999999999997</v>
      </c>
      <c r="J223">
        <v>245.87100000000001</v>
      </c>
      <c r="K223">
        <v>90</v>
      </c>
    </row>
    <row r="224" spans="1:11">
      <c r="A224">
        <v>21796</v>
      </c>
      <c r="B224" t="s">
        <v>679</v>
      </c>
      <c r="C224" t="s">
        <v>567</v>
      </c>
      <c r="D224" t="s">
        <v>262</v>
      </c>
      <c r="E224" t="s">
        <v>398</v>
      </c>
      <c r="F224">
        <v>27</v>
      </c>
      <c r="G224">
        <v>1992</v>
      </c>
      <c r="H224">
        <v>711</v>
      </c>
      <c r="I224">
        <v>0</v>
      </c>
      <c r="J224">
        <v>0</v>
      </c>
      <c r="K224">
        <v>0</v>
      </c>
    </row>
    <row r="225" spans="1:11">
      <c r="A225">
        <v>99500</v>
      </c>
      <c r="B225" t="s">
        <v>679</v>
      </c>
      <c r="C225" t="s">
        <v>681</v>
      </c>
      <c r="D225" t="s">
        <v>262</v>
      </c>
      <c r="E225" t="s">
        <v>398</v>
      </c>
      <c r="F225">
        <v>27</v>
      </c>
      <c r="G225">
        <v>1962</v>
      </c>
      <c r="H225">
        <v>578</v>
      </c>
      <c r="I225">
        <v>1</v>
      </c>
      <c r="J225">
        <v>41.25</v>
      </c>
      <c r="K225">
        <v>0</v>
      </c>
    </row>
    <row r="226" spans="1:11">
      <c r="A226">
        <v>20547</v>
      </c>
      <c r="B226" t="s">
        <v>682</v>
      </c>
      <c r="C226" t="s">
        <v>683</v>
      </c>
      <c r="E226" t="s">
        <v>684</v>
      </c>
      <c r="F226">
        <v>93</v>
      </c>
      <c r="G226">
        <v>1998</v>
      </c>
      <c r="H226">
        <v>712</v>
      </c>
      <c r="I226">
        <v>0</v>
      </c>
      <c r="J226">
        <v>0</v>
      </c>
      <c r="K226">
        <v>0</v>
      </c>
    </row>
    <row r="227" spans="1:11">
      <c r="A227">
        <v>98477</v>
      </c>
      <c r="B227" t="s">
        <v>685</v>
      </c>
      <c r="C227" t="s">
        <v>481</v>
      </c>
      <c r="E227" t="s">
        <v>401</v>
      </c>
      <c r="F227">
        <v>16</v>
      </c>
      <c r="G227">
        <v>1987</v>
      </c>
      <c r="H227">
        <v>124</v>
      </c>
      <c r="I227">
        <v>19</v>
      </c>
      <c r="J227">
        <v>1258.838</v>
      </c>
      <c r="K227">
        <v>485</v>
      </c>
    </row>
    <row r="228" spans="1:11">
      <c r="A228">
        <v>98422</v>
      </c>
      <c r="B228" t="s">
        <v>685</v>
      </c>
      <c r="C228" t="s">
        <v>483</v>
      </c>
      <c r="E228" t="s">
        <v>401</v>
      </c>
      <c r="F228">
        <v>16</v>
      </c>
      <c r="G228">
        <v>1953</v>
      </c>
      <c r="H228">
        <v>437</v>
      </c>
      <c r="I228">
        <v>6.25</v>
      </c>
      <c r="J228">
        <v>149.53200000000001</v>
      </c>
      <c r="K228">
        <v>0</v>
      </c>
    </row>
    <row r="229" spans="1:11">
      <c r="A229">
        <v>98476</v>
      </c>
      <c r="B229" t="s">
        <v>686</v>
      </c>
      <c r="C229" t="s">
        <v>526</v>
      </c>
      <c r="D229" t="s">
        <v>262</v>
      </c>
      <c r="E229" t="s">
        <v>401</v>
      </c>
      <c r="F229">
        <v>16</v>
      </c>
      <c r="G229">
        <v>1957</v>
      </c>
      <c r="H229">
        <v>713</v>
      </c>
      <c r="I229">
        <v>0</v>
      </c>
      <c r="J229">
        <v>0</v>
      </c>
      <c r="K229">
        <v>0</v>
      </c>
    </row>
    <row r="230" spans="1:11">
      <c r="A230">
        <v>27011</v>
      </c>
      <c r="B230" t="s">
        <v>687</v>
      </c>
      <c r="C230" t="s">
        <v>688</v>
      </c>
      <c r="D230" t="s">
        <v>262</v>
      </c>
      <c r="E230" t="s">
        <v>406</v>
      </c>
      <c r="F230">
        <v>59</v>
      </c>
      <c r="G230">
        <v>1991</v>
      </c>
      <c r="H230">
        <v>714</v>
      </c>
      <c r="I230">
        <v>0</v>
      </c>
      <c r="J230">
        <v>0</v>
      </c>
      <c r="K230">
        <v>0</v>
      </c>
    </row>
    <row r="231" spans="1:11">
      <c r="A231">
        <v>11058</v>
      </c>
      <c r="B231" t="s">
        <v>689</v>
      </c>
      <c r="C231" t="s">
        <v>444</v>
      </c>
      <c r="E231" t="s">
        <v>198</v>
      </c>
      <c r="F231">
        <v>21</v>
      </c>
      <c r="G231">
        <v>1960</v>
      </c>
      <c r="H231">
        <v>299</v>
      </c>
      <c r="I231">
        <v>5.3129999999999997</v>
      </c>
      <c r="J231">
        <v>370.03800000000001</v>
      </c>
      <c r="K231">
        <v>171</v>
      </c>
    </row>
    <row r="232" spans="1:11">
      <c r="A232">
        <v>14028</v>
      </c>
      <c r="B232" t="s">
        <v>690</v>
      </c>
      <c r="C232" t="s">
        <v>691</v>
      </c>
      <c r="D232" t="s">
        <v>262</v>
      </c>
      <c r="E232" t="s">
        <v>692</v>
      </c>
      <c r="F232">
        <v>77</v>
      </c>
      <c r="G232">
        <v>1958</v>
      </c>
      <c r="H232">
        <v>383</v>
      </c>
      <c r="I232">
        <v>4.5</v>
      </c>
      <c r="J232">
        <v>222.67099999999999</v>
      </c>
      <c r="K232">
        <v>51</v>
      </c>
    </row>
    <row r="233" spans="1:11">
      <c r="A233">
        <v>20515</v>
      </c>
      <c r="B233" t="s">
        <v>693</v>
      </c>
      <c r="C233" t="s">
        <v>694</v>
      </c>
      <c r="D233" t="s">
        <v>511</v>
      </c>
      <c r="E233" t="s">
        <v>417</v>
      </c>
      <c r="F233">
        <v>69</v>
      </c>
      <c r="G233">
        <v>2009</v>
      </c>
      <c r="H233">
        <v>716</v>
      </c>
      <c r="I233">
        <v>0</v>
      </c>
      <c r="J233">
        <v>0</v>
      </c>
      <c r="K233">
        <v>0</v>
      </c>
    </row>
    <row r="234" spans="1:11">
      <c r="A234">
        <v>20514</v>
      </c>
      <c r="B234" t="s">
        <v>693</v>
      </c>
      <c r="C234" t="s">
        <v>695</v>
      </c>
      <c r="E234" t="s">
        <v>417</v>
      </c>
      <c r="F234">
        <v>69</v>
      </c>
      <c r="G234">
        <v>1975</v>
      </c>
      <c r="H234">
        <v>715</v>
      </c>
      <c r="I234">
        <v>0</v>
      </c>
      <c r="J234">
        <v>0</v>
      </c>
      <c r="K234">
        <v>0</v>
      </c>
    </row>
    <row r="235" spans="1:11">
      <c r="A235">
        <v>13054</v>
      </c>
      <c r="B235" t="s">
        <v>696</v>
      </c>
      <c r="C235" t="s">
        <v>697</v>
      </c>
      <c r="E235" t="s">
        <v>503</v>
      </c>
      <c r="F235">
        <v>15</v>
      </c>
      <c r="G235">
        <v>1981</v>
      </c>
      <c r="H235">
        <v>717</v>
      </c>
      <c r="I235">
        <v>0</v>
      </c>
      <c r="J235">
        <v>0</v>
      </c>
      <c r="K235">
        <v>0</v>
      </c>
    </row>
    <row r="236" spans="1:11">
      <c r="A236">
        <v>20558</v>
      </c>
      <c r="B236" t="s">
        <v>698</v>
      </c>
      <c r="C236" t="s">
        <v>450</v>
      </c>
      <c r="E236" t="s">
        <v>373</v>
      </c>
      <c r="F236">
        <v>79</v>
      </c>
      <c r="G236">
        <v>1975</v>
      </c>
      <c r="H236">
        <v>718</v>
      </c>
      <c r="I236">
        <v>0</v>
      </c>
      <c r="J236">
        <v>0</v>
      </c>
      <c r="K236">
        <v>0</v>
      </c>
    </row>
    <row r="237" spans="1:11">
      <c r="A237">
        <v>16075</v>
      </c>
      <c r="B237" t="s">
        <v>699</v>
      </c>
      <c r="C237" t="s">
        <v>450</v>
      </c>
      <c r="E237" t="s">
        <v>524</v>
      </c>
      <c r="F237">
        <v>87</v>
      </c>
      <c r="G237">
        <v>1954</v>
      </c>
      <c r="H237">
        <v>115</v>
      </c>
      <c r="I237">
        <v>20.939</v>
      </c>
      <c r="J237">
        <v>1331.249</v>
      </c>
      <c r="K237">
        <v>596</v>
      </c>
    </row>
    <row r="238" spans="1:11">
      <c r="A238">
        <v>21851</v>
      </c>
      <c r="B238" t="s">
        <v>700</v>
      </c>
      <c r="C238" t="s">
        <v>701</v>
      </c>
      <c r="E238" t="s">
        <v>456</v>
      </c>
      <c r="F238">
        <v>24</v>
      </c>
      <c r="G238">
        <v>1988</v>
      </c>
      <c r="H238">
        <v>570</v>
      </c>
      <c r="I238">
        <v>0.20300000000000001</v>
      </c>
      <c r="J238">
        <v>43.171999999999997</v>
      </c>
      <c r="K238">
        <v>32</v>
      </c>
    </row>
    <row r="239" spans="1:11">
      <c r="A239">
        <v>20543</v>
      </c>
      <c r="B239" t="s">
        <v>702</v>
      </c>
      <c r="C239" t="s">
        <v>475</v>
      </c>
      <c r="E239" t="s">
        <v>684</v>
      </c>
      <c r="F239">
        <v>93</v>
      </c>
      <c r="G239">
        <v>1957</v>
      </c>
      <c r="H239">
        <v>719</v>
      </c>
      <c r="I239">
        <v>0</v>
      </c>
      <c r="J239">
        <v>0</v>
      </c>
      <c r="K239">
        <v>0</v>
      </c>
    </row>
    <row r="240" spans="1:11">
      <c r="A240">
        <v>20548</v>
      </c>
      <c r="B240" t="s">
        <v>703</v>
      </c>
      <c r="C240" t="s">
        <v>688</v>
      </c>
      <c r="D240" t="s">
        <v>262</v>
      </c>
      <c r="E240" t="s">
        <v>684</v>
      </c>
      <c r="F240">
        <v>93</v>
      </c>
      <c r="G240">
        <v>1999</v>
      </c>
      <c r="H240">
        <v>720</v>
      </c>
      <c r="I240">
        <v>0</v>
      </c>
      <c r="J240">
        <v>0</v>
      </c>
      <c r="K240">
        <v>0</v>
      </c>
    </row>
    <row r="241" spans="1:11">
      <c r="A241">
        <v>96089</v>
      </c>
      <c r="B241" t="s">
        <v>704</v>
      </c>
      <c r="C241" t="s">
        <v>416</v>
      </c>
      <c r="E241" t="s">
        <v>401</v>
      </c>
      <c r="F241">
        <v>16</v>
      </c>
      <c r="G241">
        <v>1968</v>
      </c>
      <c r="H241">
        <v>721</v>
      </c>
      <c r="I241">
        <v>0</v>
      </c>
      <c r="J241">
        <v>0</v>
      </c>
      <c r="K241">
        <v>0</v>
      </c>
    </row>
    <row r="242" spans="1:11">
      <c r="A242">
        <v>13028</v>
      </c>
      <c r="B242" t="s">
        <v>705</v>
      </c>
      <c r="C242" t="s">
        <v>458</v>
      </c>
      <c r="E242" t="s">
        <v>428</v>
      </c>
      <c r="F242">
        <v>76</v>
      </c>
      <c r="G242">
        <v>1959</v>
      </c>
      <c r="H242">
        <v>569</v>
      </c>
      <c r="I242">
        <v>0.90600000000000003</v>
      </c>
      <c r="J242">
        <v>43.621000000000002</v>
      </c>
      <c r="K242">
        <v>0</v>
      </c>
    </row>
    <row r="243" spans="1:11">
      <c r="A243">
        <v>20513</v>
      </c>
      <c r="B243" t="s">
        <v>706</v>
      </c>
      <c r="C243" t="s">
        <v>381</v>
      </c>
      <c r="E243" t="s">
        <v>603</v>
      </c>
      <c r="F243">
        <v>66</v>
      </c>
      <c r="G243">
        <v>1991</v>
      </c>
      <c r="H243">
        <v>722</v>
      </c>
      <c r="I243">
        <v>0</v>
      </c>
      <c r="J243">
        <v>0</v>
      </c>
      <c r="K243">
        <v>0</v>
      </c>
    </row>
    <row r="244" spans="1:11">
      <c r="A244">
        <v>25002</v>
      </c>
      <c r="B244" t="s">
        <v>707</v>
      </c>
      <c r="C244" t="s">
        <v>618</v>
      </c>
      <c r="D244" t="s">
        <v>262</v>
      </c>
      <c r="E244" t="s">
        <v>543</v>
      </c>
      <c r="F244">
        <v>54</v>
      </c>
      <c r="G244">
        <v>1973</v>
      </c>
      <c r="H244">
        <v>116</v>
      </c>
      <c r="I244">
        <v>15.484999999999999</v>
      </c>
      <c r="J244">
        <v>1330.713</v>
      </c>
      <c r="K244">
        <v>575</v>
      </c>
    </row>
    <row r="245" spans="1:11">
      <c r="A245">
        <v>19065</v>
      </c>
      <c r="B245" t="s">
        <v>708</v>
      </c>
      <c r="C245" t="s">
        <v>381</v>
      </c>
      <c r="D245" t="s">
        <v>397</v>
      </c>
      <c r="E245" t="s">
        <v>413</v>
      </c>
      <c r="F245">
        <v>94</v>
      </c>
      <c r="G245">
        <v>2008</v>
      </c>
      <c r="H245">
        <v>594</v>
      </c>
      <c r="I245">
        <v>0.78100000000000003</v>
      </c>
      <c r="J245">
        <v>33.307000000000002</v>
      </c>
      <c r="K245">
        <v>0</v>
      </c>
    </row>
    <row r="246" spans="1:11">
      <c r="A246">
        <v>19064</v>
      </c>
      <c r="B246" t="s">
        <v>708</v>
      </c>
      <c r="C246" t="s">
        <v>407</v>
      </c>
      <c r="E246" t="s">
        <v>413</v>
      </c>
      <c r="F246">
        <v>94</v>
      </c>
      <c r="G246">
        <v>2001</v>
      </c>
      <c r="H246">
        <v>454</v>
      </c>
      <c r="I246">
        <v>3.2189999999999999</v>
      </c>
      <c r="J246">
        <v>125.298</v>
      </c>
      <c r="K246">
        <v>0</v>
      </c>
    </row>
    <row r="247" spans="1:11">
      <c r="A247">
        <v>24240</v>
      </c>
      <c r="B247" t="s">
        <v>708</v>
      </c>
      <c r="C247" t="s">
        <v>416</v>
      </c>
      <c r="E247" t="s">
        <v>205</v>
      </c>
      <c r="F247">
        <v>17</v>
      </c>
      <c r="G247">
        <v>1976</v>
      </c>
      <c r="H247">
        <v>445</v>
      </c>
      <c r="I247">
        <v>3.625</v>
      </c>
      <c r="J247">
        <v>133.82900000000001</v>
      </c>
      <c r="K247">
        <v>0</v>
      </c>
    </row>
    <row r="248" spans="1:11">
      <c r="A248">
        <v>20550</v>
      </c>
      <c r="B248" t="s">
        <v>708</v>
      </c>
      <c r="C248" t="s">
        <v>414</v>
      </c>
      <c r="E248" t="s">
        <v>413</v>
      </c>
      <c r="F248">
        <v>94</v>
      </c>
      <c r="G248">
        <v>1968</v>
      </c>
      <c r="H248">
        <v>723</v>
      </c>
      <c r="I248">
        <v>0</v>
      </c>
      <c r="J248">
        <v>0</v>
      </c>
      <c r="K248">
        <v>0</v>
      </c>
    </row>
    <row r="249" spans="1:11">
      <c r="A249">
        <v>17092</v>
      </c>
      <c r="B249" t="s">
        <v>709</v>
      </c>
      <c r="C249" t="s">
        <v>710</v>
      </c>
      <c r="D249" t="s">
        <v>511</v>
      </c>
      <c r="E249" t="s">
        <v>456</v>
      </c>
      <c r="F249">
        <v>24</v>
      </c>
      <c r="G249">
        <v>2017</v>
      </c>
      <c r="H249">
        <v>725</v>
      </c>
      <c r="I249">
        <v>0</v>
      </c>
      <c r="J249">
        <v>0</v>
      </c>
      <c r="K249">
        <v>0</v>
      </c>
    </row>
    <row r="250" spans="1:11">
      <c r="A250">
        <v>15063</v>
      </c>
      <c r="B250" t="s">
        <v>709</v>
      </c>
      <c r="C250" t="s">
        <v>618</v>
      </c>
      <c r="D250" t="s">
        <v>511</v>
      </c>
      <c r="E250" t="s">
        <v>456</v>
      </c>
      <c r="F250">
        <v>24</v>
      </c>
      <c r="G250">
        <v>2015</v>
      </c>
      <c r="H250">
        <v>724</v>
      </c>
      <c r="I250">
        <v>0</v>
      </c>
      <c r="J250">
        <v>0</v>
      </c>
      <c r="K250">
        <v>0</v>
      </c>
    </row>
    <row r="251" spans="1:11">
      <c r="A251">
        <v>98373</v>
      </c>
      <c r="B251" t="s">
        <v>709</v>
      </c>
      <c r="C251" t="s">
        <v>711</v>
      </c>
      <c r="D251" t="s">
        <v>262</v>
      </c>
      <c r="E251" t="s">
        <v>456</v>
      </c>
      <c r="F251">
        <v>24</v>
      </c>
      <c r="G251">
        <v>1985</v>
      </c>
      <c r="H251">
        <v>446</v>
      </c>
      <c r="I251">
        <v>3.625</v>
      </c>
      <c r="J251">
        <v>133.82900000000001</v>
      </c>
      <c r="K251">
        <v>0</v>
      </c>
    </row>
    <row r="252" spans="1:11">
      <c r="A252">
        <v>28038</v>
      </c>
      <c r="B252" t="s">
        <v>712</v>
      </c>
      <c r="C252" t="s">
        <v>400</v>
      </c>
      <c r="D252" t="s">
        <v>262</v>
      </c>
      <c r="E252" t="s">
        <v>116</v>
      </c>
      <c r="F252">
        <v>19</v>
      </c>
      <c r="G252">
        <v>1954</v>
      </c>
      <c r="H252">
        <v>183</v>
      </c>
      <c r="I252">
        <v>13.468999999999999</v>
      </c>
      <c r="J252">
        <v>855.67399999999998</v>
      </c>
      <c r="K252">
        <v>393</v>
      </c>
    </row>
    <row r="253" spans="1:11">
      <c r="A253">
        <v>25085</v>
      </c>
      <c r="B253" t="s">
        <v>713</v>
      </c>
      <c r="C253" t="s">
        <v>714</v>
      </c>
      <c r="E253" t="s">
        <v>393</v>
      </c>
      <c r="F253">
        <v>29</v>
      </c>
      <c r="G253">
        <v>1961</v>
      </c>
      <c r="H253">
        <v>727</v>
      </c>
      <c r="I253">
        <v>0</v>
      </c>
      <c r="J253">
        <v>0</v>
      </c>
      <c r="K253">
        <v>0</v>
      </c>
    </row>
    <row r="254" spans="1:11">
      <c r="A254">
        <v>14063</v>
      </c>
      <c r="B254" t="s">
        <v>713</v>
      </c>
      <c r="C254" t="s">
        <v>518</v>
      </c>
      <c r="E254" t="s">
        <v>401</v>
      </c>
      <c r="F254">
        <v>16</v>
      </c>
      <c r="G254">
        <v>1983</v>
      </c>
      <c r="H254">
        <v>726</v>
      </c>
      <c r="I254">
        <v>0</v>
      </c>
      <c r="J254">
        <v>0</v>
      </c>
      <c r="K254">
        <v>0</v>
      </c>
    </row>
    <row r="255" spans="1:11">
      <c r="A255">
        <v>20542</v>
      </c>
      <c r="B255" t="s">
        <v>715</v>
      </c>
      <c r="C255" t="s">
        <v>391</v>
      </c>
      <c r="E255" t="s">
        <v>684</v>
      </c>
      <c r="F255">
        <v>93</v>
      </c>
      <c r="G255">
        <v>1956</v>
      </c>
      <c r="H255">
        <v>599</v>
      </c>
      <c r="I255">
        <v>0.625</v>
      </c>
      <c r="J255">
        <v>30.312999999999999</v>
      </c>
      <c r="K255">
        <v>0</v>
      </c>
    </row>
    <row r="256" spans="1:11">
      <c r="A256">
        <v>13049</v>
      </c>
      <c r="B256" t="s">
        <v>716</v>
      </c>
      <c r="C256" t="s">
        <v>450</v>
      </c>
      <c r="E256" t="s">
        <v>432</v>
      </c>
      <c r="F256">
        <v>2</v>
      </c>
      <c r="G256">
        <v>1955</v>
      </c>
      <c r="H256">
        <v>477</v>
      </c>
      <c r="I256">
        <v>3</v>
      </c>
      <c r="J256">
        <v>104.81399999999999</v>
      </c>
      <c r="K256">
        <v>0</v>
      </c>
    </row>
    <row r="257" spans="1:11">
      <c r="A257">
        <v>16077</v>
      </c>
      <c r="B257" t="s">
        <v>717</v>
      </c>
      <c r="C257" t="s">
        <v>416</v>
      </c>
      <c r="E257" t="s">
        <v>524</v>
      </c>
      <c r="F257">
        <v>87</v>
      </c>
      <c r="G257">
        <v>1953</v>
      </c>
      <c r="H257">
        <v>78</v>
      </c>
      <c r="I257">
        <v>24.594999999999999</v>
      </c>
      <c r="J257">
        <v>1792.3779999999999</v>
      </c>
      <c r="K257">
        <v>806</v>
      </c>
    </row>
    <row r="258" spans="1:11">
      <c r="A258">
        <v>15020</v>
      </c>
      <c r="B258" t="s">
        <v>718</v>
      </c>
      <c r="C258" t="s">
        <v>719</v>
      </c>
      <c r="D258" t="s">
        <v>262</v>
      </c>
      <c r="E258" t="s">
        <v>368</v>
      </c>
      <c r="F258">
        <v>81</v>
      </c>
      <c r="G258">
        <v>1984</v>
      </c>
      <c r="H258">
        <v>227</v>
      </c>
      <c r="I258">
        <v>13.297000000000001</v>
      </c>
      <c r="J258">
        <v>613.88099999999997</v>
      </c>
      <c r="K258">
        <v>159</v>
      </c>
    </row>
    <row r="259" spans="1:11">
      <c r="A259">
        <v>10108</v>
      </c>
      <c r="B259" t="s">
        <v>720</v>
      </c>
      <c r="C259" t="s">
        <v>510</v>
      </c>
      <c r="D259" t="s">
        <v>262</v>
      </c>
      <c r="E259" t="s">
        <v>376</v>
      </c>
      <c r="F259">
        <v>70</v>
      </c>
      <c r="G259">
        <v>1935</v>
      </c>
      <c r="H259">
        <v>728</v>
      </c>
      <c r="I259">
        <v>0</v>
      </c>
      <c r="J259">
        <v>0</v>
      </c>
      <c r="K259">
        <v>0</v>
      </c>
    </row>
    <row r="260" spans="1:11">
      <c r="A260">
        <v>18141</v>
      </c>
      <c r="B260" t="s">
        <v>721</v>
      </c>
      <c r="C260" t="s">
        <v>714</v>
      </c>
      <c r="E260" t="s">
        <v>549</v>
      </c>
      <c r="F260">
        <v>91</v>
      </c>
      <c r="G260">
        <v>1963</v>
      </c>
      <c r="H260">
        <v>301</v>
      </c>
      <c r="I260">
        <v>7.3140000000000001</v>
      </c>
      <c r="J260">
        <v>363.517</v>
      </c>
      <c r="K260">
        <v>90</v>
      </c>
    </row>
    <row r="261" spans="1:11">
      <c r="A261">
        <v>18142</v>
      </c>
      <c r="B261" t="s">
        <v>722</v>
      </c>
      <c r="C261" t="s">
        <v>723</v>
      </c>
      <c r="D261" t="s">
        <v>262</v>
      </c>
      <c r="E261" t="s">
        <v>549</v>
      </c>
      <c r="F261">
        <v>91</v>
      </c>
      <c r="G261">
        <v>1973</v>
      </c>
      <c r="H261">
        <v>321</v>
      </c>
      <c r="I261">
        <v>5.6890000000000001</v>
      </c>
      <c r="J261">
        <v>315.78699999999998</v>
      </c>
      <c r="K261">
        <v>90</v>
      </c>
    </row>
    <row r="262" spans="1:11">
      <c r="A262">
        <v>96135</v>
      </c>
      <c r="B262" t="s">
        <v>722</v>
      </c>
      <c r="C262" t="s">
        <v>724</v>
      </c>
      <c r="D262" t="s">
        <v>262</v>
      </c>
      <c r="E262" t="s">
        <v>725</v>
      </c>
      <c r="F262">
        <v>7</v>
      </c>
      <c r="G262">
        <v>1975</v>
      </c>
      <c r="H262">
        <v>729</v>
      </c>
      <c r="I262">
        <v>0</v>
      </c>
      <c r="J262">
        <v>0</v>
      </c>
      <c r="K262">
        <v>0</v>
      </c>
    </row>
    <row r="263" spans="1:11">
      <c r="A263">
        <v>15060</v>
      </c>
      <c r="B263" t="s">
        <v>726</v>
      </c>
      <c r="C263" t="s">
        <v>375</v>
      </c>
      <c r="E263" t="s">
        <v>490</v>
      </c>
      <c r="F263">
        <v>92</v>
      </c>
      <c r="G263">
        <v>1955</v>
      </c>
      <c r="H263">
        <v>118</v>
      </c>
      <c r="I263">
        <v>18</v>
      </c>
      <c r="J263">
        <v>1326.683</v>
      </c>
      <c r="K263">
        <v>567</v>
      </c>
    </row>
    <row r="264" spans="1:11">
      <c r="A264">
        <v>12035</v>
      </c>
      <c r="B264" t="s">
        <v>727</v>
      </c>
      <c r="C264" t="s">
        <v>460</v>
      </c>
      <c r="D264" t="s">
        <v>262</v>
      </c>
      <c r="E264" t="s">
        <v>440</v>
      </c>
      <c r="F264">
        <v>73</v>
      </c>
      <c r="G264">
        <v>1945</v>
      </c>
      <c r="H264">
        <v>318</v>
      </c>
      <c r="I264">
        <v>6.1269999999999998</v>
      </c>
      <c r="J264">
        <v>325.00400000000002</v>
      </c>
      <c r="K264">
        <v>68</v>
      </c>
    </row>
    <row r="265" spans="1:11">
      <c r="A265">
        <v>28051</v>
      </c>
      <c r="B265" t="s">
        <v>728</v>
      </c>
      <c r="C265" t="s">
        <v>626</v>
      </c>
      <c r="E265" t="s">
        <v>116</v>
      </c>
      <c r="F265">
        <v>19</v>
      </c>
      <c r="G265">
        <v>1963</v>
      </c>
      <c r="H265">
        <v>102</v>
      </c>
      <c r="I265">
        <v>23.72</v>
      </c>
      <c r="J265">
        <v>1494.5509999999999</v>
      </c>
      <c r="K265">
        <v>620</v>
      </c>
    </row>
    <row r="266" spans="1:11">
      <c r="A266">
        <v>25003</v>
      </c>
      <c r="B266" t="s">
        <v>729</v>
      </c>
      <c r="C266" t="s">
        <v>730</v>
      </c>
      <c r="D266" t="s">
        <v>262</v>
      </c>
      <c r="E266" t="s">
        <v>543</v>
      </c>
      <c r="F266">
        <v>54</v>
      </c>
      <c r="G266">
        <v>1973</v>
      </c>
      <c r="H266">
        <v>36</v>
      </c>
      <c r="I266">
        <v>28.094000000000001</v>
      </c>
      <c r="J266">
        <v>2439.0210000000002</v>
      </c>
      <c r="K266">
        <v>1262</v>
      </c>
    </row>
    <row r="267" spans="1:11">
      <c r="A267">
        <v>17028</v>
      </c>
      <c r="B267" t="s">
        <v>731</v>
      </c>
      <c r="C267" t="s">
        <v>497</v>
      </c>
      <c r="E267" t="s">
        <v>398</v>
      </c>
      <c r="F267">
        <v>27</v>
      </c>
      <c r="G267">
        <v>1974</v>
      </c>
      <c r="H267">
        <v>470</v>
      </c>
      <c r="I267">
        <v>2.782</v>
      </c>
      <c r="J267">
        <v>109.625</v>
      </c>
      <c r="K267">
        <v>0</v>
      </c>
    </row>
    <row r="268" spans="1:11">
      <c r="A268">
        <v>17076</v>
      </c>
      <c r="B268" t="s">
        <v>732</v>
      </c>
      <c r="C268" t="s">
        <v>733</v>
      </c>
      <c r="D268" t="s">
        <v>511</v>
      </c>
      <c r="E268" t="s">
        <v>398</v>
      </c>
      <c r="F268">
        <v>27</v>
      </c>
      <c r="G268">
        <v>2009</v>
      </c>
      <c r="H268">
        <v>551</v>
      </c>
      <c r="I268">
        <v>1.625</v>
      </c>
      <c r="J268">
        <v>54.273000000000003</v>
      </c>
      <c r="K268">
        <v>0</v>
      </c>
    </row>
    <row r="269" spans="1:11">
      <c r="A269">
        <v>13065</v>
      </c>
      <c r="B269" t="s">
        <v>734</v>
      </c>
      <c r="C269" t="s">
        <v>464</v>
      </c>
      <c r="E269" t="s">
        <v>170</v>
      </c>
      <c r="F269">
        <v>67</v>
      </c>
      <c r="G269">
        <v>1961</v>
      </c>
      <c r="H269">
        <v>730</v>
      </c>
      <c r="I269">
        <v>0</v>
      </c>
      <c r="J269">
        <v>0</v>
      </c>
      <c r="K269">
        <v>0</v>
      </c>
    </row>
    <row r="270" spans="1:11">
      <c r="A270">
        <v>10079</v>
      </c>
      <c r="B270" t="s">
        <v>735</v>
      </c>
      <c r="C270" t="s">
        <v>736</v>
      </c>
      <c r="E270" t="s">
        <v>417</v>
      </c>
      <c r="F270">
        <v>69</v>
      </c>
      <c r="G270">
        <v>1951</v>
      </c>
      <c r="H270">
        <v>268</v>
      </c>
      <c r="I270">
        <v>7.9379999999999997</v>
      </c>
      <c r="J270">
        <v>470.57400000000001</v>
      </c>
      <c r="K270">
        <v>194</v>
      </c>
    </row>
    <row r="271" spans="1:11">
      <c r="A271">
        <v>15044</v>
      </c>
      <c r="B271" t="s">
        <v>737</v>
      </c>
      <c r="C271" t="s">
        <v>738</v>
      </c>
      <c r="D271" t="s">
        <v>262</v>
      </c>
      <c r="E271" t="s">
        <v>376</v>
      </c>
      <c r="F271">
        <v>70</v>
      </c>
      <c r="G271">
        <v>1946</v>
      </c>
      <c r="H271">
        <v>731</v>
      </c>
      <c r="I271">
        <v>0</v>
      </c>
      <c r="J271">
        <v>0</v>
      </c>
      <c r="K271">
        <v>0</v>
      </c>
    </row>
    <row r="272" spans="1:11">
      <c r="A272">
        <v>96109</v>
      </c>
      <c r="B272" t="s">
        <v>739</v>
      </c>
      <c r="C272" t="s">
        <v>458</v>
      </c>
      <c r="E272" t="s">
        <v>157</v>
      </c>
      <c r="F272">
        <v>10</v>
      </c>
      <c r="G272">
        <v>1959</v>
      </c>
      <c r="H272">
        <v>543</v>
      </c>
      <c r="I272">
        <v>2.5</v>
      </c>
      <c r="J272">
        <v>61.503</v>
      </c>
      <c r="K272">
        <v>0</v>
      </c>
    </row>
    <row r="273" spans="1:11">
      <c r="A273">
        <v>22982</v>
      </c>
      <c r="B273" t="s">
        <v>740</v>
      </c>
      <c r="C273" t="s">
        <v>741</v>
      </c>
      <c r="E273" t="s">
        <v>398</v>
      </c>
      <c r="F273">
        <v>27</v>
      </c>
      <c r="G273">
        <v>1964</v>
      </c>
      <c r="H273">
        <v>392</v>
      </c>
      <c r="I273">
        <v>3.0630000000000002</v>
      </c>
      <c r="J273">
        <v>209.35900000000001</v>
      </c>
      <c r="K273">
        <v>75</v>
      </c>
    </row>
    <row r="274" spans="1:11">
      <c r="A274">
        <v>99559</v>
      </c>
      <c r="B274" t="s">
        <v>740</v>
      </c>
      <c r="C274" t="s">
        <v>444</v>
      </c>
      <c r="E274" t="s">
        <v>401</v>
      </c>
      <c r="F274">
        <v>16</v>
      </c>
      <c r="G274">
        <v>1988</v>
      </c>
      <c r="H274">
        <v>399</v>
      </c>
      <c r="I274">
        <v>3.0630000000000002</v>
      </c>
      <c r="J274">
        <v>197.77699999999999</v>
      </c>
      <c r="K274">
        <v>75</v>
      </c>
    </row>
    <row r="275" spans="1:11">
      <c r="A275">
        <v>23100</v>
      </c>
      <c r="B275" t="s">
        <v>742</v>
      </c>
      <c r="C275" t="s">
        <v>375</v>
      </c>
      <c r="E275" t="s">
        <v>650</v>
      </c>
      <c r="F275">
        <v>45</v>
      </c>
      <c r="G275">
        <v>1960</v>
      </c>
      <c r="H275">
        <v>732</v>
      </c>
      <c r="I275">
        <v>0</v>
      </c>
      <c r="J275">
        <v>0</v>
      </c>
      <c r="K275">
        <v>0</v>
      </c>
    </row>
    <row r="276" spans="1:11">
      <c r="A276">
        <v>16023</v>
      </c>
      <c r="B276" t="s">
        <v>743</v>
      </c>
      <c r="C276" t="s">
        <v>744</v>
      </c>
      <c r="E276" t="s">
        <v>398</v>
      </c>
      <c r="F276">
        <v>27</v>
      </c>
      <c r="G276">
        <v>1966</v>
      </c>
      <c r="H276">
        <v>447</v>
      </c>
      <c r="I276">
        <v>3.1880000000000002</v>
      </c>
      <c r="J276">
        <v>133.79599999999999</v>
      </c>
      <c r="K276">
        <v>0</v>
      </c>
    </row>
    <row r="277" spans="1:11">
      <c r="A277">
        <v>15085</v>
      </c>
      <c r="B277" t="s">
        <v>745</v>
      </c>
      <c r="C277" t="s">
        <v>475</v>
      </c>
      <c r="E277" t="s">
        <v>432</v>
      </c>
      <c r="F277">
        <v>2</v>
      </c>
      <c r="G277">
        <v>1996</v>
      </c>
      <c r="H277">
        <v>733</v>
      </c>
      <c r="I277">
        <v>0</v>
      </c>
      <c r="J277">
        <v>0</v>
      </c>
      <c r="K277">
        <v>0</v>
      </c>
    </row>
    <row r="278" spans="1:11">
      <c r="A278">
        <v>12059</v>
      </c>
      <c r="B278" t="s">
        <v>746</v>
      </c>
      <c r="C278" t="s">
        <v>747</v>
      </c>
      <c r="D278" t="s">
        <v>262</v>
      </c>
      <c r="E278" t="s">
        <v>130</v>
      </c>
      <c r="F278">
        <v>64</v>
      </c>
      <c r="G278">
        <v>1978</v>
      </c>
      <c r="H278">
        <v>734</v>
      </c>
      <c r="I278">
        <v>0</v>
      </c>
      <c r="J278">
        <v>0</v>
      </c>
      <c r="K278">
        <v>0</v>
      </c>
    </row>
    <row r="279" spans="1:11">
      <c r="A279">
        <v>27041</v>
      </c>
      <c r="B279" t="s">
        <v>748</v>
      </c>
      <c r="C279" t="s">
        <v>475</v>
      </c>
      <c r="E279" t="s">
        <v>116</v>
      </c>
      <c r="F279">
        <v>19</v>
      </c>
      <c r="G279">
        <v>1957</v>
      </c>
      <c r="H279">
        <v>735</v>
      </c>
      <c r="I279">
        <v>0</v>
      </c>
      <c r="J279">
        <v>0</v>
      </c>
      <c r="K279">
        <v>0</v>
      </c>
    </row>
    <row r="280" spans="1:11">
      <c r="A280">
        <v>10110</v>
      </c>
      <c r="B280" t="s">
        <v>749</v>
      </c>
      <c r="C280" t="s">
        <v>410</v>
      </c>
      <c r="D280" t="s">
        <v>262</v>
      </c>
      <c r="E280" t="s">
        <v>376</v>
      </c>
      <c r="F280">
        <v>70</v>
      </c>
      <c r="G280">
        <v>1925</v>
      </c>
      <c r="H280">
        <v>736</v>
      </c>
      <c r="I280">
        <v>0</v>
      </c>
      <c r="J280">
        <v>0</v>
      </c>
      <c r="K280">
        <v>0</v>
      </c>
    </row>
    <row r="281" spans="1:11">
      <c r="A281">
        <v>21934</v>
      </c>
      <c r="B281" t="s">
        <v>750</v>
      </c>
      <c r="C281" t="s">
        <v>444</v>
      </c>
      <c r="E281" t="s">
        <v>401</v>
      </c>
      <c r="F281">
        <v>16</v>
      </c>
      <c r="G281">
        <v>1970</v>
      </c>
      <c r="H281">
        <v>737</v>
      </c>
      <c r="I281">
        <v>0</v>
      </c>
      <c r="J281">
        <v>0</v>
      </c>
      <c r="K281">
        <v>0</v>
      </c>
    </row>
    <row r="282" spans="1:11">
      <c r="A282">
        <v>15051</v>
      </c>
      <c r="B282" t="s">
        <v>751</v>
      </c>
      <c r="C282" t="s">
        <v>439</v>
      </c>
      <c r="E282" t="s">
        <v>306</v>
      </c>
      <c r="F282">
        <v>33</v>
      </c>
      <c r="G282">
        <v>1953</v>
      </c>
      <c r="H282">
        <v>333</v>
      </c>
      <c r="I282">
        <v>7.8129999999999997</v>
      </c>
      <c r="J282">
        <v>302.762</v>
      </c>
      <c r="K282">
        <v>21</v>
      </c>
    </row>
    <row r="283" spans="1:11">
      <c r="A283">
        <v>18105</v>
      </c>
      <c r="B283" t="s">
        <v>752</v>
      </c>
      <c r="C283" t="s">
        <v>407</v>
      </c>
      <c r="E283" t="s">
        <v>453</v>
      </c>
      <c r="F283">
        <v>78</v>
      </c>
      <c r="G283">
        <v>1986</v>
      </c>
      <c r="H283">
        <v>413</v>
      </c>
      <c r="I283">
        <v>4.2190000000000003</v>
      </c>
      <c r="J283">
        <v>180.81399999999999</v>
      </c>
      <c r="K283">
        <v>39</v>
      </c>
    </row>
    <row r="284" spans="1:11">
      <c r="A284">
        <v>18058</v>
      </c>
      <c r="B284" t="s">
        <v>752</v>
      </c>
      <c r="C284" t="s">
        <v>475</v>
      </c>
      <c r="E284" t="s">
        <v>453</v>
      </c>
      <c r="F284">
        <v>78</v>
      </c>
      <c r="G284">
        <v>1984</v>
      </c>
      <c r="H284">
        <v>143</v>
      </c>
      <c r="I284">
        <v>19.61</v>
      </c>
      <c r="J284">
        <v>1140.521</v>
      </c>
      <c r="K284">
        <v>370</v>
      </c>
    </row>
    <row r="285" spans="1:11">
      <c r="A285">
        <v>27045</v>
      </c>
      <c r="B285" t="s">
        <v>753</v>
      </c>
      <c r="C285" t="s">
        <v>450</v>
      </c>
      <c r="E285" t="s">
        <v>324</v>
      </c>
      <c r="F285">
        <v>43</v>
      </c>
      <c r="G285">
        <v>1980</v>
      </c>
      <c r="H285">
        <v>738</v>
      </c>
      <c r="I285">
        <v>0</v>
      </c>
      <c r="J285">
        <v>0</v>
      </c>
      <c r="K285">
        <v>0</v>
      </c>
    </row>
    <row r="286" spans="1:11">
      <c r="A286">
        <v>21777</v>
      </c>
      <c r="B286" t="s">
        <v>753</v>
      </c>
      <c r="C286" t="s">
        <v>458</v>
      </c>
      <c r="E286" t="s">
        <v>205</v>
      </c>
      <c r="F286">
        <v>17</v>
      </c>
      <c r="G286">
        <v>1975</v>
      </c>
      <c r="H286">
        <v>503</v>
      </c>
      <c r="I286">
        <v>2</v>
      </c>
      <c r="J286">
        <v>82.5</v>
      </c>
      <c r="K286">
        <v>0</v>
      </c>
    </row>
    <row r="287" spans="1:11">
      <c r="A287">
        <v>23055</v>
      </c>
      <c r="B287" t="s">
        <v>754</v>
      </c>
      <c r="C287" t="s">
        <v>567</v>
      </c>
      <c r="D287" t="s">
        <v>262</v>
      </c>
      <c r="E287" t="s">
        <v>324</v>
      </c>
      <c r="F287">
        <v>43</v>
      </c>
      <c r="G287">
        <v>1977</v>
      </c>
      <c r="H287">
        <v>481</v>
      </c>
      <c r="I287">
        <v>2.8140000000000001</v>
      </c>
      <c r="J287">
        <v>103.152</v>
      </c>
      <c r="K287">
        <v>0</v>
      </c>
    </row>
    <row r="288" spans="1:11">
      <c r="A288">
        <v>24221</v>
      </c>
      <c r="B288" t="s">
        <v>755</v>
      </c>
      <c r="C288" t="s">
        <v>486</v>
      </c>
      <c r="D288" t="s">
        <v>262</v>
      </c>
      <c r="E288" t="s">
        <v>392</v>
      </c>
      <c r="F288">
        <v>51</v>
      </c>
      <c r="G288">
        <v>1969</v>
      </c>
      <c r="H288">
        <v>739</v>
      </c>
      <c r="I288">
        <v>0</v>
      </c>
      <c r="J288">
        <v>0</v>
      </c>
      <c r="K288">
        <v>0</v>
      </c>
    </row>
    <row r="289" spans="1:11">
      <c r="A289">
        <v>26061</v>
      </c>
      <c r="B289" t="s">
        <v>756</v>
      </c>
      <c r="C289" t="s">
        <v>450</v>
      </c>
      <c r="E289" t="s">
        <v>398</v>
      </c>
      <c r="F289">
        <v>27</v>
      </c>
      <c r="G289">
        <v>1957</v>
      </c>
      <c r="H289">
        <v>234</v>
      </c>
      <c r="I289">
        <v>7.8129999999999997</v>
      </c>
      <c r="J289">
        <v>567.44399999999996</v>
      </c>
      <c r="K289">
        <v>227</v>
      </c>
    </row>
    <row r="290" spans="1:11">
      <c r="A290">
        <v>18112</v>
      </c>
      <c r="B290" t="s">
        <v>757</v>
      </c>
      <c r="C290" t="s">
        <v>444</v>
      </c>
      <c r="E290" t="s">
        <v>365</v>
      </c>
      <c r="F290">
        <v>86</v>
      </c>
      <c r="G290">
        <v>1990</v>
      </c>
      <c r="H290">
        <v>740</v>
      </c>
      <c r="I290">
        <v>0</v>
      </c>
      <c r="J290">
        <v>0</v>
      </c>
      <c r="K290">
        <v>0</v>
      </c>
    </row>
    <row r="291" spans="1:11">
      <c r="A291">
        <v>16064</v>
      </c>
      <c r="B291" t="s">
        <v>758</v>
      </c>
      <c r="C291" t="s">
        <v>500</v>
      </c>
      <c r="E291" t="s">
        <v>759</v>
      </c>
      <c r="F291">
        <v>83</v>
      </c>
      <c r="G291">
        <v>1972</v>
      </c>
      <c r="H291">
        <v>552</v>
      </c>
      <c r="I291">
        <v>0.59399999999999997</v>
      </c>
      <c r="J291">
        <v>53.954000000000001</v>
      </c>
      <c r="K291">
        <v>25</v>
      </c>
    </row>
    <row r="292" spans="1:11">
      <c r="A292">
        <v>16065</v>
      </c>
      <c r="B292" t="s">
        <v>758</v>
      </c>
      <c r="C292" t="s">
        <v>518</v>
      </c>
      <c r="E292" t="s">
        <v>759</v>
      </c>
      <c r="F292">
        <v>83</v>
      </c>
      <c r="G292">
        <v>1977</v>
      </c>
      <c r="H292">
        <v>251</v>
      </c>
      <c r="I292">
        <v>6.4219999999999997</v>
      </c>
      <c r="J292">
        <v>509.20400000000001</v>
      </c>
      <c r="K292">
        <v>195</v>
      </c>
    </row>
    <row r="293" spans="1:11">
      <c r="A293">
        <v>10111</v>
      </c>
      <c r="B293" t="s">
        <v>760</v>
      </c>
      <c r="C293" t="s">
        <v>430</v>
      </c>
      <c r="D293" t="s">
        <v>262</v>
      </c>
      <c r="E293" t="s">
        <v>376</v>
      </c>
      <c r="F293">
        <v>70</v>
      </c>
      <c r="G293">
        <v>1944</v>
      </c>
      <c r="H293">
        <v>741</v>
      </c>
      <c r="I293">
        <v>0</v>
      </c>
      <c r="J293">
        <v>0</v>
      </c>
      <c r="K293">
        <v>0</v>
      </c>
    </row>
    <row r="294" spans="1:11">
      <c r="A294">
        <v>29053</v>
      </c>
      <c r="B294" t="s">
        <v>761</v>
      </c>
      <c r="C294" t="s">
        <v>414</v>
      </c>
      <c r="E294" t="s">
        <v>130</v>
      </c>
      <c r="F294">
        <v>64</v>
      </c>
      <c r="G294">
        <v>1975</v>
      </c>
      <c r="H294">
        <v>451</v>
      </c>
      <c r="I294">
        <v>3.25</v>
      </c>
      <c r="J294">
        <v>129.792</v>
      </c>
      <c r="K294">
        <v>0</v>
      </c>
    </row>
    <row r="295" spans="1:11">
      <c r="A295">
        <v>10138</v>
      </c>
      <c r="B295" t="s">
        <v>762</v>
      </c>
      <c r="C295" t="s">
        <v>763</v>
      </c>
      <c r="D295" t="s">
        <v>397</v>
      </c>
      <c r="E295" t="s">
        <v>198</v>
      </c>
      <c r="F295">
        <v>21</v>
      </c>
      <c r="G295">
        <v>2003</v>
      </c>
      <c r="H295">
        <v>130</v>
      </c>
      <c r="I295">
        <v>15.093999999999999</v>
      </c>
      <c r="J295">
        <v>1220.9880000000001</v>
      </c>
      <c r="K295">
        <v>512</v>
      </c>
    </row>
    <row r="296" spans="1:11">
      <c r="A296">
        <v>98465</v>
      </c>
      <c r="B296" t="s">
        <v>762</v>
      </c>
      <c r="C296" t="s">
        <v>764</v>
      </c>
      <c r="E296" t="s">
        <v>198</v>
      </c>
      <c r="F296">
        <v>21</v>
      </c>
      <c r="G296">
        <v>1975</v>
      </c>
      <c r="H296">
        <v>247</v>
      </c>
      <c r="I296">
        <v>7.5</v>
      </c>
      <c r="J296">
        <v>516.53899999999999</v>
      </c>
      <c r="K296">
        <v>229</v>
      </c>
    </row>
    <row r="297" spans="1:11">
      <c r="A297">
        <v>24315</v>
      </c>
      <c r="B297" t="s">
        <v>765</v>
      </c>
      <c r="C297" t="s">
        <v>766</v>
      </c>
      <c r="D297" t="s">
        <v>262</v>
      </c>
      <c r="E297" t="s">
        <v>198</v>
      </c>
      <c r="F297">
        <v>21</v>
      </c>
      <c r="G297">
        <v>1995</v>
      </c>
      <c r="H297">
        <v>742</v>
      </c>
      <c r="I297">
        <v>0</v>
      </c>
      <c r="J297">
        <v>0</v>
      </c>
      <c r="K297">
        <v>0</v>
      </c>
    </row>
    <row r="298" spans="1:11">
      <c r="A298">
        <v>20676</v>
      </c>
      <c r="B298" t="s">
        <v>765</v>
      </c>
      <c r="C298" t="s">
        <v>767</v>
      </c>
      <c r="D298" t="s">
        <v>262</v>
      </c>
      <c r="E298" t="s">
        <v>198</v>
      </c>
      <c r="F298">
        <v>21</v>
      </c>
      <c r="G298">
        <v>1973</v>
      </c>
      <c r="H298">
        <v>140</v>
      </c>
      <c r="I298">
        <v>18.172000000000001</v>
      </c>
      <c r="J298">
        <v>1161.8910000000001</v>
      </c>
      <c r="K298">
        <v>447</v>
      </c>
    </row>
    <row r="299" spans="1:11">
      <c r="A299">
        <v>15082</v>
      </c>
      <c r="B299" t="s">
        <v>768</v>
      </c>
      <c r="C299" t="s">
        <v>769</v>
      </c>
      <c r="E299" t="s">
        <v>432</v>
      </c>
      <c r="F299">
        <v>2</v>
      </c>
      <c r="G299">
        <v>1956</v>
      </c>
      <c r="H299">
        <v>443</v>
      </c>
      <c r="I299">
        <v>3.375</v>
      </c>
      <c r="J299">
        <v>137.00200000000001</v>
      </c>
      <c r="K299">
        <v>0</v>
      </c>
    </row>
    <row r="300" spans="1:11">
      <c r="A300">
        <v>14037</v>
      </c>
      <c r="B300" t="s">
        <v>770</v>
      </c>
      <c r="C300" t="s">
        <v>626</v>
      </c>
      <c r="E300" t="s">
        <v>453</v>
      </c>
      <c r="F300">
        <v>78</v>
      </c>
      <c r="G300">
        <v>1959</v>
      </c>
      <c r="H300">
        <v>195</v>
      </c>
      <c r="I300">
        <v>8.2509999999999994</v>
      </c>
      <c r="J300">
        <v>812.42200000000003</v>
      </c>
      <c r="K300">
        <v>439</v>
      </c>
    </row>
    <row r="301" spans="1:11">
      <c r="A301">
        <v>16024</v>
      </c>
      <c r="B301" t="s">
        <v>771</v>
      </c>
      <c r="C301" t="s">
        <v>772</v>
      </c>
      <c r="D301" t="s">
        <v>262</v>
      </c>
      <c r="E301" t="s">
        <v>453</v>
      </c>
      <c r="F301">
        <v>78</v>
      </c>
      <c r="G301">
        <v>1967</v>
      </c>
      <c r="H301">
        <v>233</v>
      </c>
      <c r="I301">
        <v>5.4390000000000001</v>
      </c>
      <c r="J301">
        <v>569.35599999999999</v>
      </c>
      <c r="K301">
        <v>306</v>
      </c>
    </row>
    <row r="302" spans="1:11">
      <c r="A302">
        <v>18134</v>
      </c>
      <c r="B302" t="s">
        <v>771</v>
      </c>
      <c r="C302" t="s">
        <v>688</v>
      </c>
      <c r="D302" t="s">
        <v>262</v>
      </c>
      <c r="E302" t="s">
        <v>453</v>
      </c>
      <c r="F302">
        <v>78</v>
      </c>
      <c r="G302">
        <v>1997</v>
      </c>
      <c r="H302">
        <v>147</v>
      </c>
      <c r="I302">
        <v>12.986000000000001</v>
      </c>
      <c r="J302">
        <v>1121.422</v>
      </c>
      <c r="K302">
        <v>560</v>
      </c>
    </row>
    <row r="303" spans="1:11">
      <c r="A303">
        <v>11044</v>
      </c>
      <c r="B303" t="s">
        <v>773</v>
      </c>
      <c r="C303" t="s">
        <v>458</v>
      </c>
      <c r="E303" t="s">
        <v>432</v>
      </c>
      <c r="F303">
        <v>2</v>
      </c>
      <c r="G303">
        <v>1941</v>
      </c>
      <c r="H303">
        <v>150</v>
      </c>
      <c r="I303">
        <v>15.315</v>
      </c>
      <c r="J303">
        <v>1107.598</v>
      </c>
      <c r="K303">
        <v>413</v>
      </c>
    </row>
    <row r="304" spans="1:11">
      <c r="A304">
        <v>99591</v>
      </c>
      <c r="B304" t="s">
        <v>774</v>
      </c>
      <c r="C304" t="s">
        <v>444</v>
      </c>
      <c r="E304" t="s">
        <v>116</v>
      </c>
      <c r="F304">
        <v>19</v>
      </c>
      <c r="G304">
        <v>1961</v>
      </c>
      <c r="H304">
        <v>534</v>
      </c>
      <c r="I304">
        <v>0.625</v>
      </c>
      <c r="J304">
        <v>64.832999999999998</v>
      </c>
      <c r="K304">
        <v>36</v>
      </c>
    </row>
    <row r="305" spans="1:11">
      <c r="A305">
        <v>29027</v>
      </c>
      <c r="B305" t="s">
        <v>775</v>
      </c>
      <c r="C305" t="s">
        <v>776</v>
      </c>
      <c r="E305" t="s">
        <v>133</v>
      </c>
      <c r="F305">
        <v>63</v>
      </c>
      <c r="G305">
        <v>1953</v>
      </c>
      <c r="H305">
        <v>425</v>
      </c>
      <c r="I305">
        <v>3.1880000000000002</v>
      </c>
      <c r="J305">
        <v>164.423</v>
      </c>
      <c r="K305">
        <v>32</v>
      </c>
    </row>
    <row r="306" spans="1:11">
      <c r="A306">
        <v>14057</v>
      </c>
      <c r="B306" t="s">
        <v>777</v>
      </c>
      <c r="C306" t="s">
        <v>381</v>
      </c>
      <c r="E306" t="s">
        <v>198</v>
      </c>
      <c r="F306">
        <v>21</v>
      </c>
      <c r="G306">
        <v>1988</v>
      </c>
      <c r="H306">
        <v>417</v>
      </c>
      <c r="I306">
        <v>3.6880000000000002</v>
      </c>
      <c r="J306">
        <v>175.185</v>
      </c>
      <c r="K306">
        <v>0</v>
      </c>
    </row>
    <row r="307" spans="1:11">
      <c r="A307">
        <v>20553</v>
      </c>
      <c r="B307" t="s">
        <v>778</v>
      </c>
      <c r="C307" t="s">
        <v>779</v>
      </c>
      <c r="D307" t="s">
        <v>262</v>
      </c>
      <c r="E307" t="s">
        <v>645</v>
      </c>
      <c r="F307">
        <v>56</v>
      </c>
      <c r="G307">
        <v>1974</v>
      </c>
      <c r="H307">
        <v>743</v>
      </c>
      <c r="I307">
        <v>0</v>
      </c>
      <c r="J307">
        <v>0</v>
      </c>
      <c r="K307">
        <v>0</v>
      </c>
    </row>
    <row r="308" spans="1:11">
      <c r="A308">
        <v>26020</v>
      </c>
      <c r="B308" t="s">
        <v>780</v>
      </c>
      <c r="C308" t="s">
        <v>372</v>
      </c>
      <c r="E308" t="s">
        <v>645</v>
      </c>
      <c r="F308">
        <v>56</v>
      </c>
      <c r="G308">
        <v>1990</v>
      </c>
      <c r="H308">
        <v>494</v>
      </c>
      <c r="I308">
        <v>2.625</v>
      </c>
      <c r="J308">
        <v>87.876999999999995</v>
      </c>
      <c r="K308">
        <v>0</v>
      </c>
    </row>
    <row r="309" spans="1:11">
      <c r="A309">
        <v>25055</v>
      </c>
      <c r="B309" t="s">
        <v>780</v>
      </c>
      <c r="C309" t="s">
        <v>611</v>
      </c>
      <c r="E309" t="s">
        <v>645</v>
      </c>
      <c r="F309">
        <v>56</v>
      </c>
      <c r="G309">
        <v>1965</v>
      </c>
      <c r="H309">
        <v>48</v>
      </c>
      <c r="I309">
        <v>39.625</v>
      </c>
      <c r="J309">
        <v>2319.7339999999999</v>
      </c>
      <c r="K309">
        <v>928</v>
      </c>
    </row>
    <row r="310" spans="1:11">
      <c r="A310">
        <v>24321</v>
      </c>
      <c r="B310" t="s">
        <v>781</v>
      </c>
      <c r="C310" t="s">
        <v>414</v>
      </c>
      <c r="E310" t="s">
        <v>205</v>
      </c>
      <c r="F310">
        <v>17</v>
      </c>
      <c r="G310">
        <v>1966</v>
      </c>
      <c r="H310">
        <v>744</v>
      </c>
      <c r="I310">
        <v>0</v>
      </c>
      <c r="J310">
        <v>0</v>
      </c>
      <c r="K310">
        <v>0</v>
      </c>
    </row>
    <row r="311" spans="1:11">
      <c r="A311">
        <v>10112</v>
      </c>
      <c r="B311" t="s">
        <v>782</v>
      </c>
      <c r="C311" t="s">
        <v>783</v>
      </c>
      <c r="D311" t="s">
        <v>262</v>
      </c>
      <c r="E311" t="s">
        <v>376</v>
      </c>
      <c r="F311">
        <v>70</v>
      </c>
      <c r="G311">
        <v>1937</v>
      </c>
      <c r="H311">
        <v>745</v>
      </c>
      <c r="I311">
        <v>0</v>
      </c>
      <c r="J311">
        <v>0</v>
      </c>
      <c r="K311">
        <v>0</v>
      </c>
    </row>
    <row r="312" spans="1:11">
      <c r="A312">
        <v>26079</v>
      </c>
      <c r="B312" t="s">
        <v>784</v>
      </c>
      <c r="C312" t="s">
        <v>384</v>
      </c>
      <c r="E312" t="s">
        <v>432</v>
      </c>
      <c r="F312">
        <v>2</v>
      </c>
      <c r="G312">
        <v>1952</v>
      </c>
      <c r="H312">
        <v>746</v>
      </c>
      <c r="I312">
        <v>0</v>
      </c>
      <c r="J312">
        <v>0</v>
      </c>
      <c r="K312">
        <v>0</v>
      </c>
    </row>
    <row r="313" spans="1:11">
      <c r="A313">
        <v>26080</v>
      </c>
      <c r="B313" t="s">
        <v>784</v>
      </c>
      <c r="C313" t="s">
        <v>416</v>
      </c>
      <c r="E313" t="s">
        <v>432</v>
      </c>
      <c r="F313">
        <v>2</v>
      </c>
      <c r="G313">
        <v>1978</v>
      </c>
      <c r="H313">
        <v>747</v>
      </c>
      <c r="I313">
        <v>0</v>
      </c>
      <c r="J313">
        <v>0</v>
      </c>
      <c r="K313">
        <v>0</v>
      </c>
    </row>
    <row r="314" spans="1:11">
      <c r="A314">
        <v>16107</v>
      </c>
      <c r="B314" t="s">
        <v>785</v>
      </c>
      <c r="C314" t="s">
        <v>786</v>
      </c>
      <c r="E314" t="s">
        <v>276</v>
      </c>
      <c r="F314">
        <v>14</v>
      </c>
      <c r="G314">
        <v>1993</v>
      </c>
      <c r="H314">
        <v>94</v>
      </c>
      <c r="I314">
        <v>23.86</v>
      </c>
      <c r="J314">
        <v>1581.3230000000001</v>
      </c>
      <c r="K314">
        <v>565</v>
      </c>
    </row>
    <row r="315" spans="1:11">
      <c r="A315">
        <v>14084</v>
      </c>
      <c r="B315" t="s">
        <v>787</v>
      </c>
      <c r="C315" t="s">
        <v>518</v>
      </c>
      <c r="E315" t="s">
        <v>373</v>
      </c>
      <c r="F315">
        <v>79</v>
      </c>
      <c r="G315">
        <v>1983</v>
      </c>
      <c r="H315">
        <v>748</v>
      </c>
      <c r="I315">
        <v>0</v>
      </c>
      <c r="J315">
        <v>0</v>
      </c>
      <c r="K315">
        <v>0</v>
      </c>
    </row>
    <row r="316" spans="1:11">
      <c r="A316">
        <v>13083</v>
      </c>
      <c r="B316" t="s">
        <v>788</v>
      </c>
      <c r="C316" t="s">
        <v>375</v>
      </c>
      <c r="E316" t="s">
        <v>324</v>
      </c>
      <c r="F316">
        <v>43</v>
      </c>
      <c r="G316">
        <v>1952</v>
      </c>
      <c r="H316">
        <v>564</v>
      </c>
      <c r="I316">
        <v>0.93799999999999994</v>
      </c>
      <c r="J316">
        <v>45.856999999999999</v>
      </c>
      <c r="K316">
        <v>0</v>
      </c>
    </row>
    <row r="317" spans="1:11">
      <c r="A317">
        <v>24342</v>
      </c>
      <c r="B317" t="s">
        <v>789</v>
      </c>
      <c r="C317" t="s">
        <v>394</v>
      </c>
      <c r="E317" t="s">
        <v>455</v>
      </c>
      <c r="F317">
        <v>62</v>
      </c>
      <c r="G317">
        <v>1950</v>
      </c>
      <c r="H317">
        <v>244</v>
      </c>
      <c r="I317">
        <v>4.8129999999999997</v>
      </c>
      <c r="J317">
        <v>524.94000000000005</v>
      </c>
      <c r="K317">
        <v>300</v>
      </c>
    </row>
    <row r="318" spans="1:11">
      <c r="A318">
        <v>13060</v>
      </c>
      <c r="B318" t="s">
        <v>789</v>
      </c>
      <c r="C318" t="s">
        <v>414</v>
      </c>
      <c r="E318" t="s">
        <v>401</v>
      </c>
      <c r="F318">
        <v>16</v>
      </c>
      <c r="G318">
        <v>1972</v>
      </c>
      <c r="H318">
        <v>85</v>
      </c>
      <c r="I318">
        <v>23.532</v>
      </c>
      <c r="J318">
        <v>1662.491</v>
      </c>
      <c r="K318">
        <v>663</v>
      </c>
    </row>
    <row r="319" spans="1:11">
      <c r="A319">
        <v>16143</v>
      </c>
      <c r="B319" t="s">
        <v>790</v>
      </c>
      <c r="C319" t="s">
        <v>560</v>
      </c>
      <c r="D319" t="s">
        <v>262</v>
      </c>
      <c r="E319" t="s">
        <v>365</v>
      </c>
      <c r="F319">
        <v>86</v>
      </c>
      <c r="G319">
        <v>1967</v>
      </c>
      <c r="H319">
        <v>749</v>
      </c>
      <c r="I319">
        <v>0</v>
      </c>
      <c r="J319">
        <v>0</v>
      </c>
      <c r="K319">
        <v>0</v>
      </c>
    </row>
    <row r="320" spans="1:11">
      <c r="A320">
        <v>24319</v>
      </c>
      <c r="B320" t="s">
        <v>791</v>
      </c>
      <c r="C320" t="s">
        <v>394</v>
      </c>
      <c r="E320" t="s">
        <v>116</v>
      </c>
      <c r="F320">
        <v>19</v>
      </c>
      <c r="G320">
        <v>1946</v>
      </c>
      <c r="H320">
        <v>432</v>
      </c>
      <c r="I320">
        <v>1.8129999999999999</v>
      </c>
      <c r="J320">
        <v>153.82499999999999</v>
      </c>
      <c r="K320">
        <v>71</v>
      </c>
    </row>
    <row r="321" spans="1:11">
      <c r="A321">
        <v>18039</v>
      </c>
      <c r="B321" t="s">
        <v>792</v>
      </c>
      <c r="C321" t="s">
        <v>378</v>
      </c>
      <c r="D321" t="s">
        <v>262</v>
      </c>
      <c r="E321" t="s">
        <v>600</v>
      </c>
      <c r="F321">
        <v>74</v>
      </c>
      <c r="G321">
        <v>1978</v>
      </c>
      <c r="H321">
        <v>319</v>
      </c>
      <c r="I321">
        <v>7.5949999999999998</v>
      </c>
      <c r="J321">
        <v>322.73500000000001</v>
      </c>
      <c r="K321">
        <v>0</v>
      </c>
    </row>
    <row r="322" spans="1:11">
      <c r="A322">
        <v>10036</v>
      </c>
      <c r="B322" t="s">
        <v>792</v>
      </c>
      <c r="C322" t="s">
        <v>583</v>
      </c>
      <c r="D322" t="s">
        <v>262</v>
      </c>
      <c r="E322" t="s">
        <v>621</v>
      </c>
      <c r="F322">
        <v>68</v>
      </c>
      <c r="G322">
        <v>1983</v>
      </c>
      <c r="H322">
        <v>750</v>
      </c>
      <c r="I322">
        <v>0</v>
      </c>
      <c r="J322">
        <v>0</v>
      </c>
      <c r="K322">
        <v>0</v>
      </c>
    </row>
    <row r="323" spans="1:11">
      <c r="A323">
        <v>18044</v>
      </c>
      <c r="B323" t="s">
        <v>793</v>
      </c>
      <c r="C323" t="s">
        <v>779</v>
      </c>
      <c r="D323" t="s">
        <v>262</v>
      </c>
      <c r="E323" t="s">
        <v>300</v>
      </c>
      <c r="F323">
        <v>30</v>
      </c>
      <c r="G323">
        <v>1977</v>
      </c>
      <c r="H323">
        <v>597</v>
      </c>
      <c r="I323">
        <v>0.93799999999999994</v>
      </c>
      <c r="J323">
        <v>32.344000000000001</v>
      </c>
      <c r="K323">
        <v>0</v>
      </c>
    </row>
    <row r="324" spans="1:11">
      <c r="A324">
        <v>96018</v>
      </c>
      <c r="B324" t="s">
        <v>794</v>
      </c>
      <c r="C324" t="s">
        <v>795</v>
      </c>
      <c r="E324" t="s">
        <v>157</v>
      </c>
      <c r="F324">
        <v>10</v>
      </c>
      <c r="G324">
        <v>1954</v>
      </c>
      <c r="H324">
        <v>751</v>
      </c>
      <c r="I324">
        <v>0</v>
      </c>
      <c r="J324">
        <v>0</v>
      </c>
      <c r="K324">
        <v>0</v>
      </c>
    </row>
    <row r="325" spans="1:11">
      <c r="A325">
        <v>96019</v>
      </c>
      <c r="B325" t="s">
        <v>796</v>
      </c>
      <c r="C325" t="s">
        <v>386</v>
      </c>
      <c r="D325" t="s">
        <v>262</v>
      </c>
      <c r="E325" t="s">
        <v>157</v>
      </c>
      <c r="F325">
        <v>10</v>
      </c>
      <c r="G325">
        <v>1955</v>
      </c>
      <c r="H325">
        <v>752</v>
      </c>
      <c r="I325">
        <v>0</v>
      </c>
      <c r="J325">
        <v>0</v>
      </c>
      <c r="K325">
        <v>0</v>
      </c>
    </row>
    <row r="326" spans="1:11">
      <c r="A326">
        <v>19027</v>
      </c>
      <c r="B326" t="s">
        <v>797</v>
      </c>
      <c r="C326" t="s">
        <v>372</v>
      </c>
      <c r="E326" t="s">
        <v>373</v>
      </c>
      <c r="F326">
        <v>79</v>
      </c>
      <c r="G326">
        <v>1973</v>
      </c>
      <c r="H326">
        <v>310</v>
      </c>
      <c r="I326">
        <v>6.25</v>
      </c>
      <c r="J326">
        <v>347.30799999999999</v>
      </c>
      <c r="K326">
        <v>54</v>
      </c>
    </row>
    <row r="327" spans="1:11">
      <c r="A327">
        <v>19048</v>
      </c>
      <c r="B327" t="s">
        <v>798</v>
      </c>
      <c r="C327" t="s">
        <v>583</v>
      </c>
      <c r="D327" t="s">
        <v>511</v>
      </c>
      <c r="E327" t="s">
        <v>432</v>
      </c>
      <c r="F327">
        <v>2</v>
      </c>
      <c r="G327">
        <v>2011</v>
      </c>
      <c r="H327">
        <v>753</v>
      </c>
      <c r="I327">
        <v>0</v>
      </c>
      <c r="J327">
        <v>0</v>
      </c>
      <c r="K327">
        <v>0</v>
      </c>
    </row>
    <row r="328" spans="1:11">
      <c r="A328">
        <v>19049</v>
      </c>
      <c r="B328" t="s">
        <v>798</v>
      </c>
      <c r="C328" t="s">
        <v>799</v>
      </c>
      <c r="D328" t="s">
        <v>511</v>
      </c>
      <c r="E328" t="s">
        <v>432</v>
      </c>
      <c r="F328">
        <v>2</v>
      </c>
      <c r="G328">
        <v>2009</v>
      </c>
      <c r="H328">
        <v>754</v>
      </c>
      <c r="I328">
        <v>0</v>
      </c>
      <c r="J328">
        <v>0</v>
      </c>
      <c r="K328">
        <v>0</v>
      </c>
    </row>
    <row r="329" spans="1:11">
      <c r="A329">
        <v>14001</v>
      </c>
      <c r="B329" t="s">
        <v>800</v>
      </c>
      <c r="C329" t="s">
        <v>444</v>
      </c>
      <c r="D329" t="s">
        <v>397</v>
      </c>
      <c r="E329" t="s">
        <v>198</v>
      </c>
      <c r="F329">
        <v>21</v>
      </c>
      <c r="G329">
        <v>2004</v>
      </c>
      <c r="H329">
        <v>380</v>
      </c>
      <c r="I329">
        <v>4.1100000000000003</v>
      </c>
      <c r="J329">
        <v>223.417</v>
      </c>
      <c r="K329">
        <v>69</v>
      </c>
    </row>
    <row r="330" spans="1:11">
      <c r="A330">
        <v>25046</v>
      </c>
      <c r="B330" t="s">
        <v>800</v>
      </c>
      <c r="C330" t="s">
        <v>375</v>
      </c>
      <c r="E330" t="s">
        <v>198</v>
      </c>
      <c r="F330">
        <v>21</v>
      </c>
      <c r="G330">
        <v>1977</v>
      </c>
      <c r="H330">
        <v>238</v>
      </c>
      <c r="I330">
        <v>6.61</v>
      </c>
      <c r="J330">
        <v>538.54100000000005</v>
      </c>
      <c r="K330">
        <v>254</v>
      </c>
    </row>
    <row r="331" spans="1:11">
      <c r="A331">
        <v>11032</v>
      </c>
      <c r="B331" t="s">
        <v>800</v>
      </c>
      <c r="C331" t="s">
        <v>508</v>
      </c>
      <c r="E331" t="s">
        <v>198</v>
      </c>
      <c r="F331">
        <v>21</v>
      </c>
      <c r="G331">
        <v>1998</v>
      </c>
      <c r="H331">
        <v>86</v>
      </c>
      <c r="I331">
        <v>20.579000000000001</v>
      </c>
      <c r="J331">
        <v>1634.3420000000001</v>
      </c>
      <c r="K331">
        <v>765</v>
      </c>
    </row>
    <row r="332" spans="1:11">
      <c r="A332">
        <v>96045</v>
      </c>
      <c r="B332" t="s">
        <v>800</v>
      </c>
      <c r="C332" t="s">
        <v>801</v>
      </c>
      <c r="E332" t="s">
        <v>198</v>
      </c>
      <c r="F332">
        <v>21</v>
      </c>
      <c r="G332">
        <v>1958</v>
      </c>
      <c r="H332">
        <v>393</v>
      </c>
      <c r="I332">
        <v>6.125</v>
      </c>
      <c r="J332">
        <v>205.93700000000001</v>
      </c>
      <c r="K332">
        <v>0</v>
      </c>
    </row>
    <row r="333" spans="1:11">
      <c r="A333">
        <v>96046</v>
      </c>
      <c r="B333" t="s">
        <v>800</v>
      </c>
      <c r="C333" t="s">
        <v>802</v>
      </c>
      <c r="E333" t="s">
        <v>198</v>
      </c>
      <c r="F333">
        <v>21</v>
      </c>
      <c r="G333">
        <v>1952</v>
      </c>
      <c r="H333">
        <v>591</v>
      </c>
      <c r="I333">
        <v>2</v>
      </c>
      <c r="J333">
        <v>35.195999999999998</v>
      </c>
      <c r="K333">
        <v>0</v>
      </c>
    </row>
    <row r="334" spans="1:11">
      <c r="A334">
        <v>12074</v>
      </c>
      <c r="B334" t="s">
        <v>803</v>
      </c>
      <c r="C334" t="s">
        <v>723</v>
      </c>
      <c r="D334" t="s">
        <v>262</v>
      </c>
      <c r="E334" t="s">
        <v>198</v>
      </c>
      <c r="F334">
        <v>21</v>
      </c>
      <c r="G334">
        <v>1974</v>
      </c>
      <c r="H334">
        <v>755</v>
      </c>
      <c r="I334">
        <v>0</v>
      </c>
      <c r="J334">
        <v>0</v>
      </c>
      <c r="K334">
        <v>0</v>
      </c>
    </row>
    <row r="335" spans="1:11">
      <c r="A335">
        <v>10144</v>
      </c>
      <c r="B335" t="s">
        <v>804</v>
      </c>
      <c r="C335" t="s">
        <v>444</v>
      </c>
      <c r="E335" t="s">
        <v>645</v>
      </c>
      <c r="F335">
        <v>56</v>
      </c>
      <c r="G335">
        <v>1944</v>
      </c>
      <c r="H335">
        <v>401</v>
      </c>
      <c r="I335">
        <v>3.8439999999999999</v>
      </c>
      <c r="J335">
        <v>193.93199999999999</v>
      </c>
      <c r="K335">
        <v>52</v>
      </c>
    </row>
    <row r="336" spans="1:11">
      <c r="A336">
        <v>11014</v>
      </c>
      <c r="B336" t="s">
        <v>805</v>
      </c>
      <c r="C336" t="s">
        <v>806</v>
      </c>
      <c r="D336" t="s">
        <v>262</v>
      </c>
      <c r="E336" t="s">
        <v>645</v>
      </c>
      <c r="F336">
        <v>56</v>
      </c>
      <c r="G336">
        <v>1945</v>
      </c>
      <c r="H336">
        <v>527</v>
      </c>
      <c r="I336">
        <v>2.1259999999999999</v>
      </c>
      <c r="J336">
        <v>68.341999999999999</v>
      </c>
      <c r="K336">
        <v>0</v>
      </c>
    </row>
    <row r="337" spans="1:11">
      <c r="A337">
        <v>24278</v>
      </c>
      <c r="B337" t="s">
        <v>807</v>
      </c>
      <c r="C337" t="s">
        <v>381</v>
      </c>
      <c r="E337" t="s">
        <v>342</v>
      </c>
      <c r="F337">
        <v>52</v>
      </c>
      <c r="G337">
        <v>1988</v>
      </c>
      <c r="H337">
        <v>756</v>
      </c>
      <c r="I337">
        <v>0</v>
      </c>
      <c r="J337">
        <v>0</v>
      </c>
      <c r="K337">
        <v>0</v>
      </c>
    </row>
    <row r="338" spans="1:11">
      <c r="A338">
        <v>24277</v>
      </c>
      <c r="B338" t="s">
        <v>807</v>
      </c>
      <c r="C338" t="s">
        <v>416</v>
      </c>
      <c r="E338" t="s">
        <v>342</v>
      </c>
      <c r="F338">
        <v>52</v>
      </c>
      <c r="G338">
        <v>1974</v>
      </c>
      <c r="H338">
        <v>209</v>
      </c>
      <c r="I338">
        <v>15.391</v>
      </c>
      <c r="J338">
        <v>737.93299999999999</v>
      </c>
      <c r="K338">
        <v>254</v>
      </c>
    </row>
    <row r="339" spans="1:11">
      <c r="A339">
        <v>16038</v>
      </c>
      <c r="B339" t="s">
        <v>808</v>
      </c>
      <c r="C339" t="s">
        <v>410</v>
      </c>
      <c r="D339" t="s">
        <v>262</v>
      </c>
      <c r="E339" t="s">
        <v>376</v>
      </c>
      <c r="F339">
        <v>70</v>
      </c>
      <c r="G339">
        <v>1942</v>
      </c>
      <c r="H339">
        <v>757</v>
      </c>
      <c r="I339">
        <v>0</v>
      </c>
      <c r="J339">
        <v>0</v>
      </c>
      <c r="K339">
        <v>0</v>
      </c>
    </row>
    <row r="340" spans="1:11">
      <c r="A340">
        <v>25011</v>
      </c>
      <c r="B340" t="s">
        <v>809</v>
      </c>
      <c r="C340" t="s">
        <v>395</v>
      </c>
      <c r="E340" t="s">
        <v>470</v>
      </c>
      <c r="F340">
        <v>55</v>
      </c>
      <c r="G340">
        <v>1963</v>
      </c>
      <c r="H340">
        <v>66</v>
      </c>
      <c r="I340">
        <v>24.47</v>
      </c>
      <c r="J340">
        <v>1985.17</v>
      </c>
      <c r="K340">
        <v>952</v>
      </c>
    </row>
    <row r="341" spans="1:11">
      <c r="A341">
        <v>15077</v>
      </c>
      <c r="B341" t="s">
        <v>810</v>
      </c>
      <c r="C341" t="s">
        <v>779</v>
      </c>
      <c r="D341" t="s">
        <v>262</v>
      </c>
      <c r="E341" t="s">
        <v>151</v>
      </c>
      <c r="F341">
        <v>13</v>
      </c>
      <c r="G341">
        <v>1978</v>
      </c>
      <c r="H341">
        <v>629</v>
      </c>
      <c r="I341">
        <v>0.438</v>
      </c>
      <c r="J341">
        <v>10.301</v>
      </c>
      <c r="K341">
        <v>0</v>
      </c>
    </row>
    <row r="342" spans="1:11">
      <c r="A342">
        <v>16039</v>
      </c>
      <c r="B342" t="s">
        <v>811</v>
      </c>
      <c r="C342" t="s">
        <v>411</v>
      </c>
      <c r="D342" t="s">
        <v>262</v>
      </c>
      <c r="E342" t="s">
        <v>376</v>
      </c>
      <c r="F342">
        <v>70</v>
      </c>
      <c r="G342">
        <v>1934</v>
      </c>
      <c r="H342">
        <v>628</v>
      </c>
      <c r="I342">
        <v>0.25</v>
      </c>
      <c r="J342">
        <v>12.125</v>
      </c>
      <c r="K342">
        <v>0</v>
      </c>
    </row>
    <row r="343" spans="1:11">
      <c r="A343">
        <v>19051</v>
      </c>
      <c r="B343" t="s">
        <v>812</v>
      </c>
      <c r="C343" t="s">
        <v>813</v>
      </c>
      <c r="D343" t="s">
        <v>262</v>
      </c>
      <c r="E343" t="s">
        <v>456</v>
      </c>
      <c r="F343">
        <v>24</v>
      </c>
      <c r="G343">
        <v>1987</v>
      </c>
      <c r="H343">
        <v>758</v>
      </c>
      <c r="I343">
        <v>0</v>
      </c>
      <c r="J343">
        <v>0</v>
      </c>
      <c r="K343">
        <v>0</v>
      </c>
    </row>
    <row r="344" spans="1:11">
      <c r="A344">
        <v>20533</v>
      </c>
      <c r="B344" t="s">
        <v>814</v>
      </c>
      <c r="C344" t="s">
        <v>434</v>
      </c>
      <c r="D344" t="s">
        <v>262</v>
      </c>
      <c r="E344" t="s">
        <v>524</v>
      </c>
      <c r="F344">
        <v>87</v>
      </c>
      <c r="G344">
        <v>1949</v>
      </c>
      <c r="H344">
        <v>625</v>
      </c>
      <c r="I344">
        <v>0.28100000000000003</v>
      </c>
      <c r="J344">
        <v>13.641</v>
      </c>
      <c r="K344">
        <v>0</v>
      </c>
    </row>
    <row r="345" spans="1:11">
      <c r="A345">
        <v>98307</v>
      </c>
      <c r="B345" t="s">
        <v>815</v>
      </c>
      <c r="C345" t="s">
        <v>816</v>
      </c>
      <c r="E345" t="s">
        <v>300</v>
      </c>
      <c r="F345">
        <v>30</v>
      </c>
      <c r="G345">
        <v>1979</v>
      </c>
      <c r="H345">
        <v>176</v>
      </c>
      <c r="I345">
        <v>25.875</v>
      </c>
      <c r="J345">
        <v>923.51900000000001</v>
      </c>
      <c r="K345">
        <v>0</v>
      </c>
    </row>
    <row r="346" spans="1:11">
      <c r="A346">
        <v>11011</v>
      </c>
      <c r="B346" t="s">
        <v>817</v>
      </c>
      <c r="C346" t="s">
        <v>414</v>
      </c>
      <c r="E346" t="s">
        <v>276</v>
      </c>
      <c r="F346">
        <v>14</v>
      </c>
      <c r="G346">
        <v>1984</v>
      </c>
      <c r="H346">
        <v>138</v>
      </c>
      <c r="I346">
        <v>19.5</v>
      </c>
      <c r="J346">
        <v>1169.5989999999999</v>
      </c>
      <c r="K346">
        <v>338</v>
      </c>
    </row>
    <row r="347" spans="1:11">
      <c r="A347">
        <v>19032</v>
      </c>
      <c r="B347" t="s">
        <v>818</v>
      </c>
      <c r="C347" t="s">
        <v>416</v>
      </c>
      <c r="E347" t="s">
        <v>417</v>
      </c>
      <c r="F347">
        <v>69</v>
      </c>
      <c r="G347">
        <v>1951</v>
      </c>
      <c r="H347">
        <v>265</v>
      </c>
      <c r="I347">
        <v>8.9700000000000006</v>
      </c>
      <c r="J347">
        <v>473.14699999999999</v>
      </c>
      <c r="K347">
        <v>177</v>
      </c>
    </row>
    <row r="348" spans="1:11">
      <c r="A348">
        <v>14089</v>
      </c>
      <c r="B348" t="s">
        <v>819</v>
      </c>
      <c r="C348" t="s">
        <v>414</v>
      </c>
      <c r="E348" t="s">
        <v>373</v>
      </c>
      <c r="F348">
        <v>79</v>
      </c>
      <c r="G348">
        <v>1985</v>
      </c>
      <c r="H348">
        <v>759</v>
      </c>
      <c r="I348">
        <v>0</v>
      </c>
      <c r="J348">
        <v>0</v>
      </c>
      <c r="K348">
        <v>0</v>
      </c>
    </row>
    <row r="349" spans="1:11">
      <c r="A349">
        <v>21769</v>
      </c>
      <c r="B349" t="s">
        <v>820</v>
      </c>
      <c r="C349" t="s">
        <v>701</v>
      </c>
      <c r="E349" t="s">
        <v>116</v>
      </c>
      <c r="F349">
        <v>19</v>
      </c>
      <c r="G349">
        <v>1986</v>
      </c>
      <c r="H349">
        <v>760</v>
      </c>
      <c r="I349">
        <v>0</v>
      </c>
      <c r="J349">
        <v>0</v>
      </c>
      <c r="K349">
        <v>0</v>
      </c>
    </row>
    <row r="350" spans="1:11">
      <c r="A350">
        <v>99590</v>
      </c>
      <c r="B350" t="s">
        <v>820</v>
      </c>
      <c r="C350" t="s">
        <v>514</v>
      </c>
      <c r="E350" t="s">
        <v>116</v>
      </c>
      <c r="F350">
        <v>19</v>
      </c>
      <c r="G350">
        <v>1961</v>
      </c>
      <c r="H350">
        <v>82</v>
      </c>
      <c r="I350">
        <v>24.016999999999999</v>
      </c>
      <c r="J350">
        <v>1745.0070000000001</v>
      </c>
      <c r="K350">
        <v>817</v>
      </c>
    </row>
    <row r="351" spans="1:11">
      <c r="A351">
        <v>11041</v>
      </c>
      <c r="B351" t="s">
        <v>821</v>
      </c>
      <c r="C351" t="s">
        <v>567</v>
      </c>
      <c r="D351" t="s">
        <v>262</v>
      </c>
      <c r="E351" t="s">
        <v>148</v>
      </c>
      <c r="F351">
        <v>1</v>
      </c>
      <c r="G351">
        <v>2002</v>
      </c>
      <c r="H351">
        <v>108</v>
      </c>
      <c r="I351">
        <v>19.689</v>
      </c>
      <c r="J351">
        <v>1410.537</v>
      </c>
      <c r="K351">
        <v>488</v>
      </c>
    </row>
    <row r="352" spans="1:11">
      <c r="A352">
        <v>14103</v>
      </c>
      <c r="B352" t="s">
        <v>822</v>
      </c>
      <c r="C352" t="s">
        <v>384</v>
      </c>
      <c r="E352" t="s">
        <v>600</v>
      </c>
      <c r="F352">
        <v>74</v>
      </c>
      <c r="G352">
        <v>1958</v>
      </c>
      <c r="H352">
        <v>412</v>
      </c>
      <c r="I352">
        <v>1.6259999999999999</v>
      </c>
      <c r="J352">
        <v>180.863</v>
      </c>
      <c r="K352">
        <v>101</v>
      </c>
    </row>
    <row r="353" spans="1:11">
      <c r="A353">
        <v>27003</v>
      </c>
      <c r="B353" t="s">
        <v>823</v>
      </c>
      <c r="C353" t="s">
        <v>395</v>
      </c>
      <c r="E353" t="s">
        <v>406</v>
      </c>
      <c r="F353">
        <v>59</v>
      </c>
      <c r="G353">
        <v>1987</v>
      </c>
      <c r="H353">
        <v>761</v>
      </c>
      <c r="I353">
        <v>0</v>
      </c>
      <c r="J353">
        <v>0</v>
      </c>
      <c r="K353">
        <v>0</v>
      </c>
    </row>
    <row r="354" spans="1:11">
      <c r="A354">
        <v>11060</v>
      </c>
      <c r="B354" t="s">
        <v>824</v>
      </c>
      <c r="C354" t="s">
        <v>736</v>
      </c>
      <c r="E354" t="s">
        <v>398</v>
      </c>
      <c r="F354">
        <v>27</v>
      </c>
      <c r="G354">
        <v>1967</v>
      </c>
      <c r="H354">
        <v>402</v>
      </c>
      <c r="I354">
        <v>2.4380000000000002</v>
      </c>
      <c r="J354">
        <v>190.78200000000001</v>
      </c>
      <c r="K354">
        <v>83</v>
      </c>
    </row>
    <row r="355" spans="1:11">
      <c r="A355">
        <v>25087</v>
      </c>
      <c r="B355" t="s">
        <v>825</v>
      </c>
      <c r="C355" t="s">
        <v>580</v>
      </c>
      <c r="D355" t="s">
        <v>262</v>
      </c>
      <c r="E355" t="s">
        <v>398</v>
      </c>
      <c r="F355">
        <v>27</v>
      </c>
      <c r="G355">
        <v>1970</v>
      </c>
      <c r="H355">
        <v>618</v>
      </c>
      <c r="I355">
        <v>0.5</v>
      </c>
      <c r="J355">
        <v>20.625</v>
      </c>
      <c r="K355">
        <v>0</v>
      </c>
    </row>
    <row r="356" spans="1:11">
      <c r="A356">
        <v>13029</v>
      </c>
      <c r="B356" t="s">
        <v>826</v>
      </c>
      <c r="C356" t="s">
        <v>384</v>
      </c>
      <c r="E356" t="s">
        <v>428</v>
      </c>
      <c r="F356">
        <v>76</v>
      </c>
      <c r="G356">
        <v>1961</v>
      </c>
      <c r="H356">
        <v>62</v>
      </c>
      <c r="I356">
        <v>29.876000000000001</v>
      </c>
      <c r="J356">
        <v>2078.1999999999998</v>
      </c>
      <c r="K356">
        <v>778</v>
      </c>
    </row>
    <row r="357" spans="1:11">
      <c r="A357">
        <v>11038</v>
      </c>
      <c r="B357" t="s">
        <v>827</v>
      </c>
      <c r="C357" t="s">
        <v>492</v>
      </c>
      <c r="E357" t="s">
        <v>148</v>
      </c>
      <c r="F357">
        <v>1</v>
      </c>
      <c r="G357">
        <v>1979</v>
      </c>
      <c r="H357">
        <v>278</v>
      </c>
      <c r="I357">
        <v>5.1719999999999997</v>
      </c>
      <c r="J357">
        <v>438.99700000000001</v>
      </c>
      <c r="K357">
        <v>191</v>
      </c>
    </row>
    <row r="358" spans="1:11">
      <c r="A358">
        <v>28007</v>
      </c>
      <c r="B358" t="s">
        <v>828</v>
      </c>
      <c r="C358" t="s">
        <v>597</v>
      </c>
      <c r="E358" t="s">
        <v>276</v>
      </c>
      <c r="F358">
        <v>14</v>
      </c>
      <c r="G358">
        <v>1993</v>
      </c>
      <c r="H358">
        <v>12</v>
      </c>
      <c r="I358">
        <v>46.875</v>
      </c>
      <c r="J358">
        <v>3171.6390000000001</v>
      </c>
      <c r="K358">
        <v>1133</v>
      </c>
    </row>
    <row r="359" spans="1:11">
      <c r="A359">
        <v>14023</v>
      </c>
      <c r="B359" t="s">
        <v>829</v>
      </c>
      <c r="C359" t="s">
        <v>416</v>
      </c>
      <c r="E359" t="s">
        <v>470</v>
      </c>
      <c r="F359">
        <v>55</v>
      </c>
      <c r="G359">
        <v>1960</v>
      </c>
      <c r="H359">
        <v>762</v>
      </c>
      <c r="I359">
        <v>0</v>
      </c>
      <c r="J359">
        <v>0</v>
      </c>
      <c r="K359">
        <v>0</v>
      </c>
    </row>
    <row r="360" spans="1:11">
      <c r="A360">
        <v>96115</v>
      </c>
      <c r="B360" t="s">
        <v>830</v>
      </c>
      <c r="C360" t="s">
        <v>444</v>
      </c>
      <c r="E360" t="s">
        <v>725</v>
      </c>
      <c r="F360">
        <v>7</v>
      </c>
      <c r="G360">
        <v>1969</v>
      </c>
      <c r="H360">
        <v>258</v>
      </c>
      <c r="I360">
        <v>7.1719999999999997</v>
      </c>
      <c r="J360">
        <v>483.97</v>
      </c>
      <c r="K360">
        <v>206</v>
      </c>
    </row>
    <row r="361" spans="1:11">
      <c r="A361">
        <v>10139</v>
      </c>
      <c r="B361" t="s">
        <v>831</v>
      </c>
      <c r="C361" t="s">
        <v>375</v>
      </c>
      <c r="E361" t="s">
        <v>276</v>
      </c>
      <c r="F361">
        <v>14</v>
      </c>
      <c r="G361">
        <v>1946</v>
      </c>
      <c r="H361">
        <v>178</v>
      </c>
      <c r="I361">
        <v>22.001000000000001</v>
      </c>
      <c r="J361">
        <v>914.79700000000003</v>
      </c>
      <c r="K361">
        <v>145</v>
      </c>
    </row>
    <row r="362" spans="1:11">
      <c r="A362">
        <v>12047</v>
      </c>
      <c r="B362" t="s">
        <v>832</v>
      </c>
      <c r="C362" t="s">
        <v>833</v>
      </c>
      <c r="D362" t="s">
        <v>262</v>
      </c>
      <c r="E362" t="s">
        <v>276</v>
      </c>
      <c r="F362">
        <v>14</v>
      </c>
      <c r="G362">
        <v>1947</v>
      </c>
      <c r="H362">
        <v>213</v>
      </c>
      <c r="I362">
        <v>18.876000000000001</v>
      </c>
      <c r="J362">
        <v>689.12800000000004</v>
      </c>
      <c r="K362">
        <v>27</v>
      </c>
    </row>
    <row r="363" spans="1:11">
      <c r="A363">
        <v>17022</v>
      </c>
      <c r="B363" t="s">
        <v>832</v>
      </c>
      <c r="C363" t="s">
        <v>834</v>
      </c>
      <c r="D363" t="s">
        <v>262</v>
      </c>
      <c r="E363" t="s">
        <v>650</v>
      </c>
      <c r="F363">
        <v>45</v>
      </c>
      <c r="G363">
        <v>1969</v>
      </c>
      <c r="H363">
        <v>253</v>
      </c>
      <c r="I363">
        <v>11.314</v>
      </c>
      <c r="J363">
        <v>494.63600000000002</v>
      </c>
      <c r="K363">
        <v>90</v>
      </c>
    </row>
    <row r="364" spans="1:11">
      <c r="A364">
        <v>27039</v>
      </c>
      <c r="B364" t="s">
        <v>835</v>
      </c>
      <c r="C364" t="s">
        <v>626</v>
      </c>
      <c r="E364" t="s">
        <v>116</v>
      </c>
      <c r="F364">
        <v>19</v>
      </c>
      <c r="G364">
        <v>1966</v>
      </c>
      <c r="H364">
        <v>2</v>
      </c>
      <c r="I364">
        <v>48</v>
      </c>
      <c r="J364">
        <v>3932.489</v>
      </c>
      <c r="K364">
        <v>1745</v>
      </c>
    </row>
    <row r="365" spans="1:11">
      <c r="A365">
        <v>10080</v>
      </c>
      <c r="B365" t="s">
        <v>836</v>
      </c>
      <c r="C365" t="s">
        <v>837</v>
      </c>
      <c r="E365" t="s">
        <v>417</v>
      </c>
      <c r="F365">
        <v>69</v>
      </c>
      <c r="G365">
        <v>1960</v>
      </c>
      <c r="H365">
        <v>763</v>
      </c>
      <c r="I365">
        <v>0</v>
      </c>
      <c r="J365">
        <v>0</v>
      </c>
      <c r="K365">
        <v>0</v>
      </c>
    </row>
    <row r="366" spans="1:11">
      <c r="A366">
        <v>16029</v>
      </c>
      <c r="B366" t="s">
        <v>838</v>
      </c>
      <c r="C366" t="s">
        <v>579</v>
      </c>
      <c r="D366" t="s">
        <v>262</v>
      </c>
      <c r="E366" t="s">
        <v>373</v>
      </c>
      <c r="F366">
        <v>79</v>
      </c>
      <c r="G366">
        <v>1982</v>
      </c>
      <c r="H366">
        <v>145</v>
      </c>
      <c r="I366">
        <v>16.016999999999999</v>
      </c>
      <c r="J366">
        <v>1128.001</v>
      </c>
      <c r="K366">
        <v>441</v>
      </c>
    </row>
    <row r="367" spans="1:11">
      <c r="A367">
        <v>28034</v>
      </c>
      <c r="B367" t="s">
        <v>839</v>
      </c>
      <c r="C367" t="s">
        <v>840</v>
      </c>
      <c r="D367" t="s">
        <v>262</v>
      </c>
      <c r="E367" t="s">
        <v>650</v>
      </c>
      <c r="F367">
        <v>45</v>
      </c>
      <c r="G367">
        <v>1961</v>
      </c>
      <c r="H367">
        <v>308</v>
      </c>
      <c r="I367">
        <v>6.75</v>
      </c>
      <c r="J367">
        <v>348.67</v>
      </c>
      <c r="K367">
        <v>90</v>
      </c>
    </row>
    <row r="368" spans="1:11">
      <c r="A368">
        <v>16119</v>
      </c>
      <c r="B368" t="s">
        <v>841</v>
      </c>
      <c r="C368" t="s">
        <v>842</v>
      </c>
      <c r="D368" t="s">
        <v>262</v>
      </c>
      <c r="E368" t="s">
        <v>373</v>
      </c>
      <c r="F368">
        <v>79</v>
      </c>
      <c r="G368">
        <v>1983</v>
      </c>
      <c r="H368">
        <v>764</v>
      </c>
      <c r="I368">
        <v>0</v>
      </c>
      <c r="J368">
        <v>0</v>
      </c>
      <c r="K368">
        <v>0</v>
      </c>
    </row>
    <row r="369" spans="1:11">
      <c r="A369">
        <v>20501</v>
      </c>
      <c r="B369" t="s">
        <v>843</v>
      </c>
      <c r="C369" t="s">
        <v>844</v>
      </c>
      <c r="D369" t="s">
        <v>262</v>
      </c>
      <c r="E369" t="s">
        <v>148</v>
      </c>
      <c r="F369">
        <v>1</v>
      </c>
      <c r="G369">
        <v>1949</v>
      </c>
      <c r="H369">
        <v>765</v>
      </c>
      <c r="I369">
        <v>0</v>
      </c>
      <c r="J369">
        <v>0</v>
      </c>
      <c r="K369">
        <v>0</v>
      </c>
    </row>
    <row r="370" spans="1:11">
      <c r="A370">
        <v>19033</v>
      </c>
      <c r="B370" t="s">
        <v>845</v>
      </c>
      <c r="C370" t="s">
        <v>846</v>
      </c>
      <c r="E370" t="s">
        <v>417</v>
      </c>
      <c r="F370">
        <v>69</v>
      </c>
      <c r="G370">
        <v>1940</v>
      </c>
      <c r="H370">
        <v>766</v>
      </c>
      <c r="I370">
        <v>0</v>
      </c>
      <c r="J370">
        <v>0</v>
      </c>
      <c r="K370">
        <v>0</v>
      </c>
    </row>
    <row r="371" spans="1:11">
      <c r="A371">
        <v>18014</v>
      </c>
      <c r="B371" t="s">
        <v>847</v>
      </c>
      <c r="C371" t="s">
        <v>783</v>
      </c>
      <c r="D371" t="s">
        <v>262</v>
      </c>
      <c r="E371" t="s">
        <v>524</v>
      </c>
      <c r="F371">
        <v>87</v>
      </c>
      <c r="G371">
        <v>1948</v>
      </c>
      <c r="H371">
        <v>339</v>
      </c>
      <c r="I371">
        <v>5.173</v>
      </c>
      <c r="J371">
        <v>287.13499999999999</v>
      </c>
      <c r="K371">
        <v>58</v>
      </c>
    </row>
    <row r="372" spans="1:11">
      <c r="A372">
        <v>14099</v>
      </c>
      <c r="B372" t="s">
        <v>848</v>
      </c>
      <c r="C372" t="s">
        <v>849</v>
      </c>
      <c r="E372" t="s">
        <v>342</v>
      </c>
      <c r="F372">
        <v>52</v>
      </c>
      <c r="G372">
        <v>1982</v>
      </c>
      <c r="H372">
        <v>215</v>
      </c>
      <c r="I372">
        <v>15.346</v>
      </c>
      <c r="J372">
        <v>679.91600000000005</v>
      </c>
      <c r="K372">
        <v>109</v>
      </c>
    </row>
    <row r="373" spans="1:11">
      <c r="A373">
        <v>14026</v>
      </c>
      <c r="B373" t="s">
        <v>850</v>
      </c>
      <c r="C373" t="s">
        <v>560</v>
      </c>
      <c r="D373" t="s">
        <v>262</v>
      </c>
      <c r="E373" t="s">
        <v>264</v>
      </c>
      <c r="F373">
        <v>6</v>
      </c>
      <c r="G373">
        <v>1953</v>
      </c>
      <c r="H373">
        <v>263</v>
      </c>
      <c r="I373">
        <v>6.657</v>
      </c>
      <c r="J373">
        <v>474.79700000000003</v>
      </c>
      <c r="K373">
        <v>177</v>
      </c>
    </row>
    <row r="374" spans="1:11">
      <c r="A374">
        <v>14077</v>
      </c>
      <c r="B374" t="s">
        <v>851</v>
      </c>
      <c r="C374" t="s">
        <v>427</v>
      </c>
      <c r="E374" t="s">
        <v>373</v>
      </c>
      <c r="F374">
        <v>79</v>
      </c>
      <c r="G374">
        <v>1989</v>
      </c>
      <c r="H374">
        <v>767</v>
      </c>
      <c r="I374">
        <v>0</v>
      </c>
      <c r="J374">
        <v>0</v>
      </c>
      <c r="K374">
        <v>0</v>
      </c>
    </row>
    <row r="375" spans="1:11">
      <c r="A375">
        <v>14076</v>
      </c>
      <c r="B375" t="s">
        <v>851</v>
      </c>
      <c r="C375" t="s">
        <v>395</v>
      </c>
      <c r="E375" t="s">
        <v>373</v>
      </c>
      <c r="F375">
        <v>79</v>
      </c>
      <c r="G375">
        <v>1985</v>
      </c>
      <c r="H375">
        <v>41</v>
      </c>
      <c r="I375">
        <v>27.25</v>
      </c>
      <c r="J375">
        <v>2369.79</v>
      </c>
      <c r="K375">
        <v>1236</v>
      </c>
    </row>
    <row r="376" spans="1:11">
      <c r="A376">
        <v>19013</v>
      </c>
      <c r="B376" t="s">
        <v>852</v>
      </c>
      <c r="C376" t="s">
        <v>394</v>
      </c>
      <c r="E376" t="s">
        <v>153</v>
      </c>
      <c r="F376">
        <v>42</v>
      </c>
      <c r="G376">
        <v>1968</v>
      </c>
      <c r="H376">
        <v>372</v>
      </c>
      <c r="I376">
        <v>4.407</v>
      </c>
      <c r="J376">
        <v>236.672</v>
      </c>
      <c r="K376">
        <v>51</v>
      </c>
    </row>
    <row r="377" spans="1:11">
      <c r="A377">
        <v>10038</v>
      </c>
      <c r="B377" t="s">
        <v>853</v>
      </c>
      <c r="C377" t="s">
        <v>407</v>
      </c>
      <c r="E377" t="s">
        <v>621</v>
      </c>
      <c r="F377">
        <v>68</v>
      </c>
      <c r="G377">
        <v>1976</v>
      </c>
      <c r="H377">
        <v>768</v>
      </c>
      <c r="I377">
        <v>0</v>
      </c>
      <c r="J377">
        <v>0</v>
      </c>
      <c r="K377">
        <v>0</v>
      </c>
    </row>
    <row r="378" spans="1:11">
      <c r="A378">
        <v>17033</v>
      </c>
      <c r="B378" t="s">
        <v>854</v>
      </c>
      <c r="C378" t="s">
        <v>855</v>
      </c>
      <c r="D378" t="s">
        <v>397</v>
      </c>
      <c r="E378" t="s">
        <v>148</v>
      </c>
      <c r="F378">
        <v>1</v>
      </c>
      <c r="G378">
        <v>2009</v>
      </c>
      <c r="H378">
        <v>466</v>
      </c>
      <c r="I378">
        <v>2.5</v>
      </c>
      <c r="J378">
        <v>115.66500000000001</v>
      </c>
      <c r="K378">
        <v>0</v>
      </c>
    </row>
    <row r="379" spans="1:11">
      <c r="A379">
        <v>17034</v>
      </c>
      <c r="B379" t="s">
        <v>856</v>
      </c>
      <c r="C379" t="s">
        <v>567</v>
      </c>
      <c r="D379" t="s">
        <v>262</v>
      </c>
      <c r="E379" t="s">
        <v>148</v>
      </c>
      <c r="F379">
        <v>1</v>
      </c>
      <c r="G379">
        <v>1981</v>
      </c>
      <c r="H379">
        <v>346</v>
      </c>
      <c r="I379">
        <v>3.2189999999999999</v>
      </c>
      <c r="J379">
        <v>269.471</v>
      </c>
      <c r="K379">
        <v>111</v>
      </c>
    </row>
    <row r="380" spans="1:11">
      <c r="A380">
        <v>23029</v>
      </c>
      <c r="B380" t="s">
        <v>857</v>
      </c>
      <c r="C380" t="s">
        <v>364</v>
      </c>
      <c r="E380" t="s">
        <v>276</v>
      </c>
      <c r="F380">
        <v>14</v>
      </c>
      <c r="G380">
        <v>1967</v>
      </c>
      <c r="H380">
        <v>168</v>
      </c>
      <c r="I380">
        <v>20.155999999999999</v>
      </c>
      <c r="J380">
        <v>964.06799999999998</v>
      </c>
      <c r="K380">
        <v>205</v>
      </c>
    </row>
    <row r="381" spans="1:11">
      <c r="A381">
        <v>14095</v>
      </c>
      <c r="B381" t="s">
        <v>858</v>
      </c>
      <c r="C381" t="s">
        <v>675</v>
      </c>
      <c r="E381" t="s">
        <v>417</v>
      </c>
      <c r="F381">
        <v>69</v>
      </c>
      <c r="G381">
        <v>2001</v>
      </c>
      <c r="H381">
        <v>632</v>
      </c>
      <c r="I381">
        <v>0.375</v>
      </c>
      <c r="J381">
        <v>6.1920000000000002</v>
      </c>
      <c r="K381">
        <v>0</v>
      </c>
    </row>
    <row r="382" spans="1:11">
      <c r="A382">
        <v>99512</v>
      </c>
      <c r="B382" t="s">
        <v>859</v>
      </c>
      <c r="C382" t="s">
        <v>416</v>
      </c>
      <c r="E382" t="s">
        <v>543</v>
      </c>
      <c r="F382">
        <v>54</v>
      </c>
      <c r="G382">
        <v>1963</v>
      </c>
      <c r="H382">
        <v>42</v>
      </c>
      <c r="I382">
        <v>31.187999999999999</v>
      </c>
      <c r="J382">
        <v>2369.5309999999999</v>
      </c>
      <c r="K382">
        <v>947</v>
      </c>
    </row>
    <row r="383" spans="1:11">
      <c r="A383">
        <v>21759</v>
      </c>
      <c r="B383" t="s">
        <v>860</v>
      </c>
      <c r="C383" t="s">
        <v>475</v>
      </c>
      <c r="E383" t="s">
        <v>393</v>
      </c>
      <c r="F383">
        <v>29</v>
      </c>
      <c r="G383">
        <v>1963</v>
      </c>
      <c r="H383">
        <v>352</v>
      </c>
      <c r="I383">
        <v>7.9379999999999997</v>
      </c>
      <c r="J383">
        <v>266.322</v>
      </c>
      <c r="K383">
        <v>0</v>
      </c>
    </row>
    <row r="384" spans="1:11">
      <c r="A384">
        <v>16019</v>
      </c>
      <c r="B384" t="s">
        <v>861</v>
      </c>
      <c r="C384" t="s">
        <v>486</v>
      </c>
      <c r="D384" t="s">
        <v>262</v>
      </c>
      <c r="E384" t="s">
        <v>465</v>
      </c>
      <c r="F384">
        <v>28</v>
      </c>
      <c r="G384">
        <v>1954</v>
      </c>
      <c r="H384">
        <v>581</v>
      </c>
      <c r="I384">
        <v>1.3129999999999999</v>
      </c>
      <c r="J384">
        <v>39.726999999999997</v>
      </c>
      <c r="K384">
        <v>0</v>
      </c>
    </row>
    <row r="385" spans="1:11">
      <c r="A385">
        <v>16079</v>
      </c>
      <c r="B385" t="s">
        <v>862</v>
      </c>
      <c r="C385" t="s">
        <v>863</v>
      </c>
      <c r="D385" t="s">
        <v>262</v>
      </c>
      <c r="E385" t="s">
        <v>392</v>
      </c>
      <c r="F385">
        <v>51</v>
      </c>
      <c r="G385">
        <v>1943</v>
      </c>
      <c r="H385">
        <v>269</v>
      </c>
      <c r="I385">
        <v>6.0789999999999997</v>
      </c>
      <c r="J385">
        <v>466.12400000000002</v>
      </c>
      <c r="K385">
        <v>201</v>
      </c>
    </row>
    <row r="386" spans="1:11">
      <c r="A386">
        <v>24235</v>
      </c>
      <c r="B386" t="s">
        <v>864</v>
      </c>
      <c r="C386" t="s">
        <v>486</v>
      </c>
      <c r="D386" t="s">
        <v>262</v>
      </c>
      <c r="E386" t="s">
        <v>503</v>
      </c>
      <c r="F386">
        <v>15</v>
      </c>
      <c r="G386">
        <v>1995</v>
      </c>
      <c r="H386">
        <v>32</v>
      </c>
      <c r="I386">
        <v>35.375</v>
      </c>
      <c r="J386">
        <v>2514.4259999999999</v>
      </c>
      <c r="K386">
        <v>970</v>
      </c>
    </row>
    <row r="387" spans="1:11">
      <c r="A387">
        <v>98312</v>
      </c>
      <c r="B387" t="s">
        <v>864</v>
      </c>
      <c r="C387" t="s">
        <v>865</v>
      </c>
      <c r="D387" t="s">
        <v>262</v>
      </c>
      <c r="E387" t="s">
        <v>503</v>
      </c>
      <c r="F387">
        <v>15</v>
      </c>
      <c r="G387">
        <v>1967</v>
      </c>
      <c r="H387">
        <v>536</v>
      </c>
      <c r="I387">
        <v>1.875</v>
      </c>
      <c r="J387">
        <v>64.688000000000002</v>
      </c>
      <c r="K387">
        <v>0</v>
      </c>
    </row>
    <row r="388" spans="1:11">
      <c r="A388">
        <v>98488</v>
      </c>
      <c r="B388" t="s">
        <v>866</v>
      </c>
      <c r="C388" t="s">
        <v>867</v>
      </c>
      <c r="E388" t="s">
        <v>503</v>
      </c>
      <c r="F388">
        <v>15</v>
      </c>
      <c r="G388">
        <v>1988</v>
      </c>
      <c r="H388">
        <v>769</v>
      </c>
      <c r="I388">
        <v>0</v>
      </c>
      <c r="J388">
        <v>0</v>
      </c>
      <c r="K388">
        <v>0</v>
      </c>
    </row>
    <row r="389" spans="1:11">
      <c r="A389">
        <v>98311</v>
      </c>
      <c r="B389" t="s">
        <v>866</v>
      </c>
      <c r="C389" t="s">
        <v>416</v>
      </c>
      <c r="E389" t="s">
        <v>503</v>
      </c>
      <c r="F389">
        <v>15</v>
      </c>
      <c r="G389">
        <v>1965</v>
      </c>
      <c r="H389">
        <v>537</v>
      </c>
      <c r="I389">
        <v>1.875</v>
      </c>
      <c r="J389">
        <v>64.688000000000002</v>
      </c>
      <c r="K389">
        <v>0</v>
      </c>
    </row>
    <row r="390" spans="1:11">
      <c r="A390">
        <v>27025</v>
      </c>
      <c r="B390" t="s">
        <v>868</v>
      </c>
      <c r="C390" t="s">
        <v>532</v>
      </c>
      <c r="E390" t="s">
        <v>379</v>
      </c>
      <c r="F390">
        <v>44</v>
      </c>
      <c r="G390">
        <v>1985</v>
      </c>
      <c r="H390">
        <v>588</v>
      </c>
      <c r="I390">
        <v>1.5</v>
      </c>
      <c r="J390">
        <v>37.481999999999999</v>
      </c>
      <c r="K390">
        <v>0</v>
      </c>
    </row>
    <row r="391" spans="1:11">
      <c r="A391">
        <v>25033</v>
      </c>
      <c r="B391" t="s">
        <v>868</v>
      </c>
      <c r="C391" t="s">
        <v>475</v>
      </c>
      <c r="E391" t="s">
        <v>456</v>
      </c>
      <c r="F391">
        <v>24</v>
      </c>
      <c r="G391">
        <v>1963</v>
      </c>
      <c r="H391">
        <v>587</v>
      </c>
      <c r="I391">
        <v>1.5</v>
      </c>
      <c r="J391">
        <v>37.481999999999999</v>
      </c>
      <c r="K391">
        <v>0</v>
      </c>
    </row>
    <row r="392" spans="1:11">
      <c r="A392">
        <v>26075</v>
      </c>
      <c r="B392" t="s">
        <v>869</v>
      </c>
      <c r="C392" t="s">
        <v>532</v>
      </c>
      <c r="E392" t="s">
        <v>456</v>
      </c>
      <c r="F392">
        <v>24</v>
      </c>
      <c r="G392">
        <v>1985</v>
      </c>
      <c r="H392">
        <v>3</v>
      </c>
      <c r="I392">
        <v>50.375</v>
      </c>
      <c r="J392">
        <v>3899.8330000000001</v>
      </c>
      <c r="K392">
        <v>1432</v>
      </c>
    </row>
    <row r="393" spans="1:11">
      <c r="A393">
        <v>16106</v>
      </c>
      <c r="B393" t="s">
        <v>869</v>
      </c>
      <c r="C393" t="s">
        <v>870</v>
      </c>
      <c r="D393" t="s">
        <v>397</v>
      </c>
      <c r="E393" t="s">
        <v>276</v>
      </c>
      <c r="F393">
        <v>14</v>
      </c>
      <c r="G393">
        <v>2004</v>
      </c>
      <c r="H393">
        <v>100</v>
      </c>
      <c r="I393">
        <v>31.312999999999999</v>
      </c>
      <c r="J393">
        <v>1501.9390000000001</v>
      </c>
      <c r="K393">
        <v>284</v>
      </c>
    </row>
    <row r="394" spans="1:11">
      <c r="A394">
        <v>17035</v>
      </c>
      <c r="B394" t="s">
        <v>871</v>
      </c>
      <c r="C394" t="s">
        <v>872</v>
      </c>
      <c r="D394" t="s">
        <v>262</v>
      </c>
      <c r="E394" t="s">
        <v>482</v>
      </c>
      <c r="F394">
        <v>75</v>
      </c>
      <c r="G394">
        <v>1968</v>
      </c>
      <c r="H394">
        <v>281</v>
      </c>
      <c r="I394">
        <v>9.8130000000000006</v>
      </c>
      <c r="J394">
        <v>434.471</v>
      </c>
      <c r="K394">
        <v>65</v>
      </c>
    </row>
    <row r="395" spans="1:11">
      <c r="A395">
        <v>15018</v>
      </c>
      <c r="B395" t="s">
        <v>873</v>
      </c>
      <c r="C395" t="s">
        <v>874</v>
      </c>
      <c r="D395" t="s">
        <v>262</v>
      </c>
      <c r="E395" t="s">
        <v>543</v>
      </c>
      <c r="F395">
        <v>54</v>
      </c>
      <c r="G395">
        <v>1949</v>
      </c>
      <c r="H395">
        <v>500</v>
      </c>
      <c r="I395">
        <v>1.3280000000000001</v>
      </c>
      <c r="J395">
        <v>84.040999999999997</v>
      </c>
      <c r="K395">
        <v>25</v>
      </c>
    </row>
    <row r="396" spans="1:11">
      <c r="A396">
        <v>97291</v>
      </c>
      <c r="B396" t="s">
        <v>875</v>
      </c>
      <c r="C396" t="s">
        <v>414</v>
      </c>
      <c r="E396" t="s">
        <v>264</v>
      </c>
      <c r="F396">
        <v>6</v>
      </c>
      <c r="G396">
        <v>1971</v>
      </c>
      <c r="H396">
        <v>770</v>
      </c>
      <c r="I396">
        <v>0</v>
      </c>
      <c r="J396">
        <v>0</v>
      </c>
      <c r="K396">
        <v>0</v>
      </c>
    </row>
    <row r="397" spans="1:11">
      <c r="A397">
        <v>22991</v>
      </c>
      <c r="B397" t="s">
        <v>876</v>
      </c>
      <c r="C397" t="s">
        <v>508</v>
      </c>
      <c r="E397" t="s">
        <v>660</v>
      </c>
      <c r="F397">
        <v>85</v>
      </c>
      <c r="G397">
        <v>1991</v>
      </c>
      <c r="H397">
        <v>18</v>
      </c>
      <c r="I397">
        <v>32.75</v>
      </c>
      <c r="J397">
        <v>2889.6</v>
      </c>
      <c r="K397">
        <v>1270</v>
      </c>
    </row>
    <row r="398" spans="1:11">
      <c r="A398">
        <v>21912</v>
      </c>
      <c r="B398" t="s">
        <v>876</v>
      </c>
      <c r="C398" t="s">
        <v>801</v>
      </c>
      <c r="E398" t="s">
        <v>660</v>
      </c>
      <c r="F398">
        <v>85</v>
      </c>
      <c r="G398">
        <v>1956</v>
      </c>
      <c r="H398">
        <v>4</v>
      </c>
      <c r="I398">
        <v>46.125</v>
      </c>
      <c r="J398">
        <v>3801.5010000000002</v>
      </c>
      <c r="K398">
        <v>1629</v>
      </c>
    </row>
    <row r="399" spans="1:11">
      <c r="A399">
        <v>21913</v>
      </c>
      <c r="B399" t="s">
        <v>877</v>
      </c>
      <c r="C399" t="s">
        <v>437</v>
      </c>
      <c r="D399" t="s">
        <v>262</v>
      </c>
      <c r="E399" t="s">
        <v>660</v>
      </c>
      <c r="F399">
        <v>85</v>
      </c>
      <c r="G399">
        <v>1957</v>
      </c>
      <c r="H399">
        <v>55</v>
      </c>
      <c r="I399">
        <v>25.532</v>
      </c>
      <c r="J399">
        <v>2213.6289999999999</v>
      </c>
      <c r="K399">
        <v>965</v>
      </c>
    </row>
    <row r="400" spans="1:11">
      <c r="A400">
        <v>16062</v>
      </c>
      <c r="B400" t="s">
        <v>878</v>
      </c>
      <c r="C400" t="s">
        <v>769</v>
      </c>
      <c r="E400" t="s">
        <v>759</v>
      </c>
      <c r="F400">
        <v>83</v>
      </c>
      <c r="G400">
        <v>1967</v>
      </c>
      <c r="H400">
        <v>771</v>
      </c>
      <c r="I400">
        <v>0</v>
      </c>
      <c r="J400">
        <v>0</v>
      </c>
      <c r="K400">
        <v>0</v>
      </c>
    </row>
    <row r="401" spans="1:11">
      <c r="A401">
        <v>13077</v>
      </c>
      <c r="B401" t="s">
        <v>879</v>
      </c>
      <c r="C401" t="s">
        <v>416</v>
      </c>
      <c r="E401" t="s">
        <v>392</v>
      </c>
      <c r="F401">
        <v>51</v>
      </c>
      <c r="G401">
        <v>1951</v>
      </c>
      <c r="H401">
        <v>151</v>
      </c>
      <c r="I401">
        <v>16.594000000000001</v>
      </c>
      <c r="J401">
        <v>1104.125</v>
      </c>
      <c r="K401">
        <v>365</v>
      </c>
    </row>
    <row r="402" spans="1:11">
      <c r="A402">
        <v>21798</v>
      </c>
      <c r="B402" t="s">
        <v>880</v>
      </c>
      <c r="C402" t="s">
        <v>372</v>
      </c>
      <c r="E402" t="s">
        <v>300</v>
      </c>
      <c r="F402">
        <v>30</v>
      </c>
      <c r="G402">
        <v>1979</v>
      </c>
      <c r="H402">
        <v>486</v>
      </c>
      <c r="I402">
        <v>2.75</v>
      </c>
      <c r="J402">
        <v>94.875</v>
      </c>
      <c r="K402">
        <v>0</v>
      </c>
    </row>
    <row r="403" spans="1:11">
      <c r="A403">
        <v>13078</v>
      </c>
      <c r="B403" t="s">
        <v>881</v>
      </c>
      <c r="C403" t="s">
        <v>545</v>
      </c>
      <c r="D403" t="s">
        <v>262</v>
      </c>
      <c r="E403" t="s">
        <v>392</v>
      </c>
      <c r="F403">
        <v>51</v>
      </c>
      <c r="G403">
        <v>1949</v>
      </c>
      <c r="H403">
        <v>152</v>
      </c>
      <c r="I403">
        <v>16.594000000000001</v>
      </c>
      <c r="J403">
        <v>1104.125</v>
      </c>
      <c r="K403">
        <v>365</v>
      </c>
    </row>
    <row r="404" spans="1:11">
      <c r="A404">
        <v>18056</v>
      </c>
      <c r="B404" t="s">
        <v>882</v>
      </c>
      <c r="C404" t="s">
        <v>834</v>
      </c>
      <c r="D404" t="s">
        <v>262</v>
      </c>
      <c r="E404" t="s">
        <v>373</v>
      </c>
      <c r="F404">
        <v>79</v>
      </c>
      <c r="G404">
        <v>1988</v>
      </c>
      <c r="H404">
        <v>105</v>
      </c>
      <c r="I404">
        <v>17.626000000000001</v>
      </c>
      <c r="J404">
        <v>1455.403</v>
      </c>
      <c r="K404">
        <v>616</v>
      </c>
    </row>
    <row r="405" spans="1:11">
      <c r="A405">
        <v>18071</v>
      </c>
      <c r="B405" t="s">
        <v>883</v>
      </c>
      <c r="C405" t="s">
        <v>384</v>
      </c>
      <c r="E405" t="s">
        <v>248</v>
      </c>
      <c r="F405">
        <v>88</v>
      </c>
      <c r="G405">
        <v>1956</v>
      </c>
      <c r="H405">
        <v>283</v>
      </c>
      <c r="I405">
        <v>9.5009999999999994</v>
      </c>
      <c r="J405">
        <v>422.53300000000002</v>
      </c>
      <c r="K405">
        <v>75</v>
      </c>
    </row>
    <row r="406" spans="1:11">
      <c r="A406">
        <v>12031</v>
      </c>
      <c r="B406" t="s">
        <v>884</v>
      </c>
      <c r="C406" t="s">
        <v>885</v>
      </c>
      <c r="D406" t="s">
        <v>262</v>
      </c>
      <c r="E406" t="s">
        <v>440</v>
      </c>
      <c r="F406">
        <v>73</v>
      </c>
      <c r="G406">
        <v>1940</v>
      </c>
      <c r="H406">
        <v>524</v>
      </c>
      <c r="I406">
        <v>1.5629999999999999</v>
      </c>
      <c r="J406">
        <v>69.980999999999995</v>
      </c>
      <c r="K406">
        <v>0</v>
      </c>
    </row>
    <row r="407" spans="1:11">
      <c r="A407">
        <v>18070</v>
      </c>
      <c r="B407" t="s">
        <v>884</v>
      </c>
      <c r="C407" t="s">
        <v>886</v>
      </c>
      <c r="D407" t="s">
        <v>262</v>
      </c>
      <c r="E407" t="s">
        <v>248</v>
      </c>
      <c r="F407">
        <v>88</v>
      </c>
      <c r="G407">
        <v>1957</v>
      </c>
      <c r="H407">
        <v>264</v>
      </c>
      <c r="I407">
        <v>10.125999999999999</v>
      </c>
      <c r="J407">
        <v>474.40600000000001</v>
      </c>
      <c r="K407">
        <v>75</v>
      </c>
    </row>
    <row r="408" spans="1:11">
      <c r="A408">
        <v>27072</v>
      </c>
      <c r="B408" t="s">
        <v>887</v>
      </c>
      <c r="C408" t="s">
        <v>488</v>
      </c>
      <c r="E408" t="s">
        <v>382</v>
      </c>
      <c r="F408">
        <v>61</v>
      </c>
      <c r="G408">
        <v>1983</v>
      </c>
      <c r="H408">
        <v>522</v>
      </c>
      <c r="I408">
        <v>3</v>
      </c>
      <c r="J408">
        <v>70.635000000000005</v>
      </c>
      <c r="K408">
        <v>0</v>
      </c>
    </row>
    <row r="409" spans="1:11">
      <c r="A409">
        <v>27074</v>
      </c>
      <c r="B409" t="s">
        <v>888</v>
      </c>
      <c r="C409" t="s">
        <v>569</v>
      </c>
      <c r="D409" t="s">
        <v>262</v>
      </c>
      <c r="E409" t="s">
        <v>382</v>
      </c>
      <c r="F409">
        <v>61</v>
      </c>
      <c r="G409">
        <v>1986</v>
      </c>
      <c r="H409">
        <v>772</v>
      </c>
      <c r="I409">
        <v>0</v>
      </c>
      <c r="J409">
        <v>0</v>
      </c>
      <c r="K409">
        <v>0</v>
      </c>
    </row>
    <row r="410" spans="1:11">
      <c r="A410">
        <v>13072</v>
      </c>
      <c r="B410" t="s">
        <v>889</v>
      </c>
      <c r="C410" t="s">
        <v>688</v>
      </c>
      <c r="D410" t="s">
        <v>262</v>
      </c>
      <c r="E410" t="s">
        <v>453</v>
      </c>
      <c r="F410">
        <v>78</v>
      </c>
      <c r="G410">
        <v>1977</v>
      </c>
      <c r="H410">
        <v>290</v>
      </c>
      <c r="I410">
        <v>2.9529999999999998</v>
      </c>
      <c r="J410">
        <v>395.83</v>
      </c>
      <c r="K410">
        <v>255</v>
      </c>
    </row>
    <row r="411" spans="1:11">
      <c r="A411">
        <v>26039</v>
      </c>
      <c r="B411" t="s">
        <v>890</v>
      </c>
      <c r="C411" t="s">
        <v>372</v>
      </c>
      <c r="E411" t="s">
        <v>465</v>
      </c>
      <c r="F411">
        <v>28</v>
      </c>
      <c r="G411">
        <v>1984</v>
      </c>
      <c r="H411">
        <v>773</v>
      </c>
      <c r="I411">
        <v>0</v>
      </c>
      <c r="J411">
        <v>0</v>
      </c>
      <c r="K411">
        <v>0</v>
      </c>
    </row>
    <row r="412" spans="1:11">
      <c r="A412">
        <v>19004</v>
      </c>
      <c r="B412" t="s">
        <v>891</v>
      </c>
      <c r="C412" t="s">
        <v>416</v>
      </c>
      <c r="D412" t="s">
        <v>397</v>
      </c>
      <c r="E412" t="s">
        <v>692</v>
      </c>
      <c r="F412">
        <v>77</v>
      </c>
      <c r="G412">
        <v>2011</v>
      </c>
      <c r="H412">
        <v>774</v>
      </c>
      <c r="I412">
        <v>0</v>
      </c>
      <c r="J412">
        <v>0</v>
      </c>
      <c r="K412">
        <v>0</v>
      </c>
    </row>
    <row r="413" spans="1:11">
      <c r="A413">
        <v>20517</v>
      </c>
      <c r="B413" t="s">
        <v>892</v>
      </c>
      <c r="C413" t="s">
        <v>597</v>
      </c>
      <c r="E413" t="s">
        <v>376</v>
      </c>
      <c r="F413">
        <v>70</v>
      </c>
      <c r="G413">
        <v>1943</v>
      </c>
      <c r="H413">
        <v>775</v>
      </c>
      <c r="I413">
        <v>0</v>
      </c>
      <c r="J413">
        <v>0</v>
      </c>
      <c r="K413">
        <v>0</v>
      </c>
    </row>
    <row r="414" spans="1:11">
      <c r="A414">
        <v>15072</v>
      </c>
      <c r="B414" t="s">
        <v>893</v>
      </c>
      <c r="C414" t="s">
        <v>427</v>
      </c>
      <c r="D414" t="s">
        <v>397</v>
      </c>
      <c r="E414" t="s">
        <v>342</v>
      </c>
      <c r="F414">
        <v>52</v>
      </c>
      <c r="G414">
        <v>2006</v>
      </c>
      <c r="H414">
        <v>531</v>
      </c>
      <c r="I414">
        <v>0.92200000000000004</v>
      </c>
      <c r="J414">
        <v>65.863</v>
      </c>
      <c r="K414">
        <v>20</v>
      </c>
    </row>
    <row r="415" spans="1:11">
      <c r="A415">
        <v>24224</v>
      </c>
      <c r="B415" t="s">
        <v>894</v>
      </c>
      <c r="C415" t="s">
        <v>395</v>
      </c>
      <c r="E415" t="s">
        <v>392</v>
      </c>
      <c r="F415">
        <v>51</v>
      </c>
      <c r="G415">
        <v>1964</v>
      </c>
      <c r="H415">
        <v>776</v>
      </c>
      <c r="I415">
        <v>0</v>
      </c>
      <c r="J415">
        <v>0</v>
      </c>
      <c r="K415">
        <v>0</v>
      </c>
    </row>
    <row r="416" spans="1:11">
      <c r="A416">
        <v>15045</v>
      </c>
      <c r="B416" t="s">
        <v>895</v>
      </c>
      <c r="C416" t="s">
        <v>580</v>
      </c>
      <c r="D416" t="s">
        <v>262</v>
      </c>
      <c r="E416" t="s">
        <v>376</v>
      </c>
      <c r="F416">
        <v>70</v>
      </c>
      <c r="G416">
        <v>1939</v>
      </c>
      <c r="H416">
        <v>777</v>
      </c>
      <c r="I416">
        <v>0</v>
      </c>
      <c r="J416">
        <v>0</v>
      </c>
      <c r="K416">
        <v>0</v>
      </c>
    </row>
    <row r="417" spans="1:11">
      <c r="A417">
        <v>19006</v>
      </c>
      <c r="B417" t="s">
        <v>896</v>
      </c>
      <c r="C417" t="s">
        <v>378</v>
      </c>
      <c r="D417" t="s">
        <v>262</v>
      </c>
      <c r="E417" t="s">
        <v>524</v>
      </c>
      <c r="F417">
        <v>87</v>
      </c>
      <c r="G417">
        <v>1941</v>
      </c>
      <c r="H417">
        <v>282</v>
      </c>
      <c r="I417">
        <v>8.2669999999999995</v>
      </c>
      <c r="J417">
        <v>432.67200000000003</v>
      </c>
      <c r="K417">
        <v>78</v>
      </c>
    </row>
    <row r="418" spans="1:11">
      <c r="A418">
        <v>18075</v>
      </c>
      <c r="B418" t="s">
        <v>897</v>
      </c>
      <c r="C418" t="s">
        <v>387</v>
      </c>
      <c r="D418" t="s">
        <v>262</v>
      </c>
      <c r="E418" t="s">
        <v>138</v>
      </c>
      <c r="F418">
        <v>89</v>
      </c>
      <c r="G418">
        <v>1997</v>
      </c>
      <c r="H418">
        <v>211</v>
      </c>
      <c r="I418">
        <v>15.44</v>
      </c>
      <c r="J418">
        <v>705.96799999999996</v>
      </c>
      <c r="K418">
        <v>143</v>
      </c>
    </row>
    <row r="419" spans="1:11">
      <c r="A419">
        <v>20626</v>
      </c>
      <c r="B419" t="s">
        <v>898</v>
      </c>
      <c r="C419" t="s">
        <v>404</v>
      </c>
      <c r="E419" t="s">
        <v>157</v>
      </c>
      <c r="F419">
        <v>10</v>
      </c>
      <c r="G419">
        <v>1973</v>
      </c>
      <c r="H419">
        <v>614</v>
      </c>
      <c r="I419">
        <v>0.93799999999999994</v>
      </c>
      <c r="J419">
        <v>22.602</v>
      </c>
      <c r="K419">
        <v>0</v>
      </c>
    </row>
    <row r="420" spans="1:11">
      <c r="A420">
        <v>26005</v>
      </c>
      <c r="B420" t="s">
        <v>899</v>
      </c>
      <c r="C420" t="s">
        <v>567</v>
      </c>
      <c r="D420" t="s">
        <v>262</v>
      </c>
      <c r="E420" t="s">
        <v>157</v>
      </c>
      <c r="F420">
        <v>10</v>
      </c>
      <c r="G420">
        <v>1970</v>
      </c>
      <c r="H420">
        <v>615</v>
      </c>
      <c r="I420">
        <v>0.93799999999999994</v>
      </c>
      <c r="J420">
        <v>22.602</v>
      </c>
      <c r="K420">
        <v>0</v>
      </c>
    </row>
    <row r="421" spans="1:11">
      <c r="A421">
        <v>10082</v>
      </c>
      <c r="B421" t="s">
        <v>900</v>
      </c>
      <c r="C421" t="s">
        <v>492</v>
      </c>
      <c r="E421" t="s">
        <v>417</v>
      </c>
      <c r="F421">
        <v>69</v>
      </c>
      <c r="G421">
        <v>1961</v>
      </c>
      <c r="H421">
        <v>163</v>
      </c>
      <c r="I421">
        <v>14.079000000000001</v>
      </c>
      <c r="J421">
        <v>1003.312</v>
      </c>
      <c r="K421">
        <v>503</v>
      </c>
    </row>
    <row r="422" spans="1:11">
      <c r="A422">
        <v>22979</v>
      </c>
      <c r="B422" t="s">
        <v>901</v>
      </c>
      <c r="C422" t="s">
        <v>902</v>
      </c>
      <c r="E422" t="s">
        <v>116</v>
      </c>
      <c r="F422">
        <v>19</v>
      </c>
      <c r="G422">
        <v>1977</v>
      </c>
      <c r="H422">
        <v>298</v>
      </c>
      <c r="I422">
        <v>4.4379999999999997</v>
      </c>
      <c r="J422">
        <v>371.99799999999999</v>
      </c>
      <c r="K422">
        <v>176</v>
      </c>
    </row>
    <row r="423" spans="1:11">
      <c r="A423">
        <v>17029</v>
      </c>
      <c r="B423" t="s">
        <v>903</v>
      </c>
      <c r="C423" t="s">
        <v>904</v>
      </c>
      <c r="E423" t="s">
        <v>342</v>
      </c>
      <c r="F423">
        <v>52</v>
      </c>
      <c r="G423">
        <v>1966</v>
      </c>
      <c r="H423">
        <v>335</v>
      </c>
      <c r="I423">
        <v>5.3780000000000001</v>
      </c>
      <c r="J423">
        <v>298.01400000000001</v>
      </c>
      <c r="K423">
        <v>83</v>
      </c>
    </row>
    <row r="424" spans="1:11">
      <c r="A424">
        <v>99502</v>
      </c>
      <c r="B424" t="s">
        <v>905</v>
      </c>
      <c r="C424" t="s">
        <v>450</v>
      </c>
      <c r="E424" t="s">
        <v>401</v>
      </c>
      <c r="F424">
        <v>16</v>
      </c>
      <c r="G424">
        <v>1952</v>
      </c>
      <c r="H424">
        <v>778</v>
      </c>
      <c r="I424">
        <v>0</v>
      </c>
      <c r="J424">
        <v>0</v>
      </c>
      <c r="K424">
        <v>0</v>
      </c>
    </row>
    <row r="425" spans="1:11">
      <c r="A425">
        <v>12038</v>
      </c>
      <c r="B425" t="s">
        <v>906</v>
      </c>
      <c r="C425" t="s">
        <v>907</v>
      </c>
      <c r="E425" t="s">
        <v>440</v>
      </c>
      <c r="F425">
        <v>73</v>
      </c>
      <c r="G425">
        <v>1955</v>
      </c>
      <c r="H425">
        <v>13</v>
      </c>
      <c r="I425">
        <v>31.687999999999999</v>
      </c>
      <c r="J425">
        <v>3012.2060000000001</v>
      </c>
      <c r="K425">
        <v>1511</v>
      </c>
    </row>
    <row r="426" spans="1:11">
      <c r="A426">
        <v>12037</v>
      </c>
      <c r="B426" t="s">
        <v>908</v>
      </c>
      <c r="C426" t="s">
        <v>872</v>
      </c>
      <c r="D426" t="s">
        <v>262</v>
      </c>
      <c r="E426" t="s">
        <v>440</v>
      </c>
      <c r="F426">
        <v>73</v>
      </c>
      <c r="G426">
        <v>1951</v>
      </c>
      <c r="H426">
        <v>20</v>
      </c>
      <c r="I426">
        <v>27.937999999999999</v>
      </c>
      <c r="J426">
        <v>2721.8609999999999</v>
      </c>
      <c r="K426">
        <v>1413</v>
      </c>
    </row>
    <row r="427" spans="1:11">
      <c r="A427">
        <v>20562</v>
      </c>
      <c r="B427" t="s">
        <v>909</v>
      </c>
      <c r="C427" t="s">
        <v>910</v>
      </c>
      <c r="D427" t="s">
        <v>262</v>
      </c>
      <c r="E427" t="s">
        <v>413</v>
      </c>
      <c r="F427">
        <v>94</v>
      </c>
      <c r="G427">
        <v>1976</v>
      </c>
      <c r="H427">
        <v>779</v>
      </c>
      <c r="I427">
        <v>0</v>
      </c>
      <c r="J427">
        <v>0</v>
      </c>
      <c r="K427">
        <v>0</v>
      </c>
    </row>
    <row r="428" spans="1:11">
      <c r="A428">
        <v>16060</v>
      </c>
      <c r="B428" t="s">
        <v>911</v>
      </c>
      <c r="C428" t="s">
        <v>394</v>
      </c>
      <c r="E428" t="s">
        <v>759</v>
      </c>
      <c r="F428">
        <v>83</v>
      </c>
      <c r="G428">
        <v>1972</v>
      </c>
      <c r="H428">
        <v>315</v>
      </c>
      <c r="I428">
        <v>4.3440000000000003</v>
      </c>
      <c r="J428">
        <v>340.34199999999998</v>
      </c>
      <c r="K428">
        <v>142</v>
      </c>
    </row>
    <row r="429" spans="1:11">
      <c r="A429">
        <v>19030</v>
      </c>
      <c r="B429" t="s">
        <v>912</v>
      </c>
      <c r="C429" t="s">
        <v>464</v>
      </c>
      <c r="E429" t="s">
        <v>600</v>
      </c>
      <c r="F429">
        <v>74</v>
      </c>
      <c r="G429">
        <v>1954</v>
      </c>
      <c r="H429">
        <v>548</v>
      </c>
      <c r="I429">
        <v>1.6259999999999999</v>
      </c>
      <c r="J429">
        <v>58.323999999999998</v>
      </c>
      <c r="K429">
        <v>0</v>
      </c>
    </row>
    <row r="430" spans="1:11">
      <c r="A430">
        <v>29039</v>
      </c>
      <c r="B430" t="s">
        <v>913</v>
      </c>
      <c r="C430" t="s">
        <v>486</v>
      </c>
      <c r="D430" t="s">
        <v>262</v>
      </c>
      <c r="E430" t="s">
        <v>276</v>
      </c>
      <c r="F430">
        <v>14</v>
      </c>
      <c r="G430">
        <v>1956</v>
      </c>
      <c r="H430">
        <v>131</v>
      </c>
      <c r="I430">
        <v>14.923</v>
      </c>
      <c r="J430">
        <v>1214.713</v>
      </c>
      <c r="K430">
        <v>546</v>
      </c>
    </row>
    <row r="431" spans="1:11">
      <c r="A431">
        <v>16105</v>
      </c>
      <c r="B431" t="s">
        <v>914</v>
      </c>
      <c r="C431" t="s">
        <v>597</v>
      </c>
      <c r="E431" t="s">
        <v>276</v>
      </c>
      <c r="F431">
        <v>14</v>
      </c>
      <c r="G431">
        <v>1959</v>
      </c>
      <c r="H431">
        <v>92</v>
      </c>
      <c r="I431">
        <v>28.751000000000001</v>
      </c>
      <c r="J431">
        <v>1592.479</v>
      </c>
      <c r="K431">
        <v>449</v>
      </c>
    </row>
    <row r="432" spans="1:11">
      <c r="A432">
        <v>29040</v>
      </c>
      <c r="B432" t="s">
        <v>914</v>
      </c>
      <c r="C432" t="s">
        <v>394</v>
      </c>
      <c r="E432" t="s">
        <v>276</v>
      </c>
      <c r="F432">
        <v>14</v>
      </c>
      <c r="G432">
        <v>1961</v>
      </c>
      <c r="H432">
        <v>67</v>
      </c>
      <c r="I432">
        <v>26.437999999999999</v>
      </c>
      <c r="J432">
        <v>1978.691</v>
      </c>
      <c r="K432">
        <v>821</v>
      </c>
    </row>
    <row r="433" spans="1:11">
      <c r="A433">
        <v>11045</v>
      </c>
      <c r="B433" t="s">
        <v>915</v>
      </c>
      <c r="C433" t="s">
        <v>375</v>
      </c>
      <c r="E433" t="s">
        <v>432</v>
      </c>
      <c r="F433">
        <v>2</v>
      </c>
      <c r="G433">
        <v>1954</v>
      </c>
      <c r="H433">
        <v>239</v>
      </c>
      <c r="I433">
        <v>7.72</v>
      </c>
      <c r="J433">
        <v>534.76199999999994</v>
      </c>
      <c r="K433">
        <v>185</v>
      </c>
    </row>
    <row r="434" spans="1:11">
      <c r="A434">
        <v>21776</v>
      </c>
      <c r="B434" t="s">
        <v>916</v>
      </c>
      <c r="C434" t="s">
        <v>611</v>
      </c>
      <c r="E434" t="s">
        <v>205</v>
      </c>
      <c r="F434">
        <v>17</v>
      </c>
      <c r="G434">
        <v>1971</v>
      </c>
      <c r="H434">
        <v>567</v>
      </c>
      <c r="I434">
        <v>1.125</v>
      </c>
      <c r="J434">
        <v>44.231000000000002</v>
      </c>
      <c r="K434">
        <v>0</v>
      </c>
    </row>
    <row r="435" spans="1:11">
      <c r="A435">
        <v>15013</v>
      </c>
      <c r="B435" t="s">
        <v>917</v>
      </c>
      <c r="C435" t="s">
        <v>918</v>
      </c>
      <c r="D435" t="s">
        <v>262</v>
      </c>
      <c r="E435" t="s">
        <v>205</v>
      </c>
      <c r="F435">
        <v>17</v>
      </c>
      <c r="G435">
        <v>1972</v>
      </c>
      <c r="H435">
        <v>426</v>
      </c>
      <c r="I435">
        <v>4.375</v>
      </c>
      <c r="J435">
        <v>163.80799999999999</v>
      </c>
      <c r="K435">
        <v>0</v>
      </c>
    </row>
    <row r="436" spans="1:11">
      <c r="A436">
        <v>15050</v>
      </c>
      <c r="B436" t="s">
        <v>919</v>
      </c>
      <c r="C436" t="s">
        <v>437</v>
      </c>
      <c r="D436" t="s">
        <v>262</v>
      </c>
      <c r="E436" t="s">
        <v>306</v>
      </c>
      <c r="F436">
        <v>33</v>
      </c>
      <c r="G436">
        <v>1949</v>
      </c>
      <c r="H436">
        <v>396</v>
      </c>
      <c r="I436">
        <v>5.0789999999999997</v>
      </c>
      <c r="J436">
        <v>202.179</v>
      </c>
      <c r="K436">
        <v>15</v>
      </c>
    </row>
    <row r="437" spans="1:11">
      <c r="A437">
        <v>17006</v>
      </c>
      <c r="B437" t="s">
        <v>920</v>
      </c>
      <c r="C437" t="s">
        <v>444</v>
      </c>
      <c r="D437" t="s">
        <v>397</v>
      </c>
      <c r="E437" t="s">
        <v>660</v>
      </c>
      <c r="F437">
        <v>85</v>
      </c>
      <c r="G437">
        <v>2009</v>
      </c>
      <c r="H437">
        <v>782</v>
      </c>
      <c r="I437">
        <v>0</v>
      </c>
      <c r="J437">
        <v>0</v>
      </c>
      <c r="K437">
        <v>0</v>
      </c>
    </row>
    <row r="438" spans="1:11">
      <c r="A438">
        <v>17005</v>
      </c>
      <c r="B438" t="s">
        <v>920</v>
      </c>
      <c r="C438" t="s">
        <v>375</v>
      </c>
      <c r="D438" t="s">
        <v>397</v>
      </c>
      <c r="E438" t="s">
        <v>660</v>
      </c>
      <c r="F438">
        <v>85</v>
      </c>
      <c r="G438">
        <v>2008</v>
      </c>
      <c r="H438">
        <v>781</v>
      </c>
      <c r="I438">
        <v>0</v>
      </c>
      <c r="J438">
        <v>0</v>
      </c>
      <c r="K438">
        <v>0</v>
      </c>
    </row>
    <row r="439" spans="1:11">
      <c r="A439">
        <v>26043</v>
      </c>
      <c r="B439" t="s">
        <v>920</v>
      </c>
      <c r="C439" t="s">
        <v>416</v>
      </c>
      <c r="E439" t="s">
        <v>650</v>
      </c>
      <c r="F439">
        <v>45</v>
      </c>
      <c r="G439">
        <v>1969</v>
      </c>
      <c r="H439">
        <v>103</v>
      </c>
      <c r="I439">
        <v>24.875</v>
      </c>
      <c r="J439">
        <v>1479.575</v>
      </c>
      <c r="K439">
        <v>489</v>
      </c>
    </row>
    <row r="440" spans="1:11">
      <c r="A440">
        <v>17004</v>
      </c>
      <c r="B440" t="s">
        <v>920</v>
      </c>
      <c r="C440" t="s">
        <v>769</v>
      </c>
      <c r="D440" t="s">
        <v>397</v>
      </c>
      <c r="E440" t="s">
        <v>660</v>
      </c>
      <c r="F440">
        <v>85</v>
      </c>
      <c r="G440">
        <v>2006</v>
      </c>
      <c r="H440">
        <v>780</v>
      </c>
      <c r="I440">
        <v>0</v>
      </c>
      <c r="J440">
        <v>0</v>
      </c>
      <c r="K440">
        <v>0</v>
      </c>
    </row>
    <row r="441" spans="1:11">
      <c r="A441">
        <v>17003</v>
      </c>
      <c r="B441" t="s">
        <v>921</v>
      </c>
      <c r="C441" t="s">
        <v>437</v>
      </c>
      <c r="D441" t="s">
        <v>262</v>
      </c>
      <c r="E441" t="s">
        <v>660</v>
      </c>
      <c r="F441">
        <v>85</v>
      </c>
      <c r="G441">
        <v>1979</v>
      </c>
      <c r="H441">
        <v>783</v>
      </c>
      <c r="I441">
        <v>0</v>
      </c>
      <c r="J441">
        <v>0</v>
      </c>
      <c r="K441">
        <v>0</v>
      </c>
    </row>
    <row r="442" spans="1:11">
      <c r="A442">
        <v>16041</v>
      </c>
      <c r="B442" t="s">
        <v>922</v>
      </c>
      <c r="C442" t="s">
        <v>545</v>
      </c>
      <c r="D442" t="s">
        <v>262</v>
      </c>
      <c r="E442" t="s">
        <v>376</v>
      </c>
      <c r="F442">
        <v>70</v>
      </c>
      <c r="G442">
        <v>1936</v>
      </c>
      <c r="H442">
        <v>784</v>
      </c>
      <c r="I442">
        <v>0</v>
      </c>
      <c r="J442">
        <v>0</v>
      </c>
      <c r="K442">
        <v>0</v>
      </c>
    </row>
    <row r="443" spans="1:11">
      <c r="A443">
        <v>26025</v>
      </c>
      <c r="B443" t="s">
        <v>923</v>
      </c>
      <c r="C443" t="s">
        <v>410</v>
      </c>
      <c r="D443" t="s">
        <v>262</v>
      </c>
      <c r="E443" t="s">
        <v>133</v>
      </c>
      <c r="F443">
        <v>63</v>
      </c>
      <c r="G443">
        <v>1971</v>
      </c>
      <c r="H443">
        <v>364</v>
      </c>
      <c r="I443">
        <v>5.0940000000000003</v>
      </c>
      <c r="J443">
        <v>255.197</v>
      </c>
      <c r="K443">
        <v>63</v>
      </c>
    </row>
    <row r="444" spans="1:11">
      <c r="A444">
        <v>24236</v>
      </c>
      <c r="B444" t="s">
        <v>924</v>
      </c>
      <c r="C444" t="s">
        <v>626</v>
      </c>
      <c r="E444" t="s">
        <v>116</v>
      </c>
      <c r="F444">
        <v>19</v>
      </c>
      <c r="G444">
        <v>1959</v>
      </c>
      <c r="H444">
        <v>184</v>
      </c>
      <c r="I444">
        <v>13.468999999999999</v>
      </c>
      <c r="J444">
        <v>855.67399999999998</v>
      </c>
      <c r="K444">
        <v>393</v>
      </c>
    </row>
    <row r="445" spans="1:11">
      <c r="A445">
        <v>20564</v>
      </c>
      <c r="B445" t="s">
        <v>925</v>
      </c>
      <c r="C445" t="s">
        <v>414</v>
      </c>
      <c r="E445" t="s">
        <v>373</v>
      </c>
      <c r="F445">
        <v>79</v>
      </c>
      <c r="G445">
        <v>1964</v>
      </c>
      <c r="H445">
        <v>785</v>
      </c>
      <c r="I445">
        <v>0</v>
      </c>
      <c r="J445">
        <v>0</v>
      </c>
      <c r="K445">
        <v>0</v>
      </c>
    </row>
    <row r="446" spans="1:11">
      <c r="A446">
        <v>17078</v>
      </c>
      <c r="B446" t="s">
        <v>926</v>
      </c>
      <c r="C446" t="s">
        <v>407</v>
      </c>
      <c r="E446" t="s">
        <v>365</v>
      </c>
      <c r="F446">
        <v>86</v>
      </c>
      <c r="G446">
        <v>1991</v>
      </c>
      <c r="H446">
        <v>604</v>
      </c>
      <c r="I446">
        <v>0.51600000000000001</v>
      </c>
      <c r="J446">
        <v>24.637</v>
      </c>
      <c r="K446">
        <v>0</v>
      </c>
    </row>
    <row r="447" spans="1:11">
      <c r="A447">
        <v>16042</v>
      </c>
      <c r="B447" t="s">
        <v>927</v>
      </c>
      <c r="C447" t="s">
        <v>384</v>
      </c>
      <c r="E447" t="s">
        <v>376</v>
      </c>
      <c r="F447">
        <v>70</v>
      </c>
      <c r="G447">
        <v>1938</v>
      </c>
      <c r="H447">
        <v>786</v>
      </c>
      <c r="I447">
        <v>0</v>
      </c>
      <c r="J447">
        <v>0</v>
      </c>
      <c r="K447">
        <v>0</v>
      </c>
    </row>
    <row r="448" spans="1:11">
      <c r="A448">
        <v>12069</v>
      </c>
      <c r="B448" t="s">
        <v>928</v>
      </c>
      <c r="C448" t="s">
        <v>407</v>
      </c>
      <c r="E448" t="s">
        <v>621</v>
      </c>
      <c r="F448">
        <v>68</v>
      </c>
      <c r="G448">
        <v>1976</v>
      </c>
      <c r="H448">
        <v>547</v>
      </c>
      <c r="I448">
        <v>1.25</v>
      </c>
      <c r="J448">
        <v>58.829000000000001</v>
      </c>
      <c r="K448">
        <v>0</v>
      </c>
    </row>
    <row r="449" spans="1:11">
      <c r="A449">
        <v>10085</v>
      </c>
      <c r="B449" t="s">
        <v>929</v>
      </c>
      <c r="C449" t="s">
        <v>384</v>
      </c>
      <c r="E449" t="s">
        <v>417</v>
      </c>
      <c r="F449">
        <v>69</v>
      </c>
      <c r="G449">
        <v>1961</v>
      </c>
      <c r="H449">
        <v>220</v>
      </c>
      <c r="I449">
        <v>10.891</v>
      </c>
      <c r="J449">
        <v>653.17999999999995</v>
      </c>
      <c r="K449">
        <v>303</v>
      </c>
    </row>
    <row r="450" spans="1:11">
      <c r="A450">
        <v>13018</v>
      </c>
      <c r="B450" t="s">
        <v>930</v>
      </c>
      <c r="C450" t="s">
        <v>931</v>
      </c>
      <c r="E450" t="s">
        <v>482</v>
      </c>
      <c r="F450">
        <v>75</v>
      </c>
      <c r="G450">
        <v>1965</v>
      </c>
      <c r="H450">
        <v>787</v>
      </c>
      <c r="I450">
        <v>0</v>
      </c>
      <c r="J450">
        <v>0</v>
      </c>
      <c r="K450">
        <v>0</v>
      </c>
    </row>
    <row r="451" spans="1:11">
      <c r="A451">
        <v>19029</v>
      </c>
      <c r="B451" t="s">
        <v>932</v>
      </c>
      <c r="C451" t="s">
        <v>783</v>
      </c>
      <c r="D451" t="s">
        <v>262</v>
      </c>
      <c r="E451" t="s">
        <v>398</v>
      </c>
      <c r="F451">
        <v>27</v>
      </c>
      <c r="G451">
        <v>1954</v>
      </c>
      <c r="H451">
        <v>359</v>
      </c>
      <c r="I451">
        <v>3.9380000000000002</v>
      </c>
      <c r="J451">
        <v>261.47800000000001</v>
      </c>
      <c r="K451">
        <v>90</v>
      </c>
    </row>
    <row r="452" spans="1:11">
      <c r="A452">
        <v>17059</v>
      </c>
      <c r="B452" t="s">
        <v>933</v>
      </c>
      <c r="C452" t="s">
        <v>395</v>
      </c>
      <c r="E452" t="s">
        <v>264</v>
      </c>
      <c r="F452">
        <v>6</v>
      </c>
      <c r="G452">
        <v>1990</v>
      </c>
      <c r="H452">
        <v>289</v>
      </c>
      <c r="I452">
        <v>6.157</v>
      </c>
      <c r="J452">
        <v>398.149</v>
      </c>
      <c r="K452">
        <v>139</v>
      </c>
    </row>
    <row r="453" spans="1:11">
      <c r="A453">
        <v>18062</v>
      </c>
      <c r="B453" t="s">
        <v>934</v>
      </c>
      <c r="C453" t="s">
        <v>618</v>
      </c>
      <c r="D453" t="s">
        <v>262</v>
      </c>
      <c r="E453" t="s">
        <v>142</v>
      </c>
      <c r="F453">
        <v>20</v>
      </c>
      <c r="G453">
        <v>1974</v>
      </c>
      <c r="H453">
        <v>788</v>
      </c>
      <c r="I453">
        <v>0</v>
      </c>
      <c r="J453">
        <v>0</v>
      </c>
      <c r="K453">
        <v>0</v>
      </c>
    </row>
    <row r="454" spans="1:11">
      <c r="A454">
        <v>11006</v>
      </c>
      <c r="B454" t="s">
        <v>935</v>
      </c>
      <c r="C454" t="s">
        <v>391</v>
      </c>
      <c r="E454" t="s">
        <v>543</v>
      </c>
      <c r="F454">
        <v>54</v>
      </c>
      <c r="G454">
        <v>1957</v>
      </c>
      <c r="H454">
        <v>37</v>
      </c>
      <c r="I454">
        <v>34.469000000000001</v>
      </c>
      <c r="J454">
        <v>2401.3310000000001</v>
      </c>
      <c r="K454">
        <v>1050</v>
      </c>
    </row>
    <row r="455" spans="1:11">
      <c r="A455">
        <v>19039</v>
      </c>
      <c r="B455" t="s">
        <v>936</v>
      </c>
      <c r="C455" t="s">
        <v>416</v>
      </c>
      <c r="E455" t="s">
        <v>630</v>
      </c>
      <c r="F455">
        <v>82</v>
      </c>
      <c r="G455">
        <v>1974</v>
      </c>
      <c r="H455">
        <v>525</v>
      </c>
      <c r="I455">
        <v>2.4689999999999999</v>
      </c>
      <c r="J455">
        <v>69.257000000000005</v>
      </c>
      <c r="K455">
        <v>0</v>
      </c>
    </row>
    <row r="456" spans="1:11">
      <c r="A456">
        <v>11047</v>
      </c>
      <c r="B456" t="s">
        <v>937</v>
      </c>
      <c r="C456" t="s">
        <v>395</v>
      </c>
      <c r="E456" t="s">
        <v>621</v>
      </c>
      <c r="F456">
        <v>68</v>
      </c>
      <c r="G456">
        <v>1979</v>
      </c>
      <c r="H456">
        <v>789</v>
      </c>
      <c r="I456">
        <v>0</v>
      </c>
      <c r="J456">
        <v>0</v>
      </c>
      <c r="K456">
        <v>0</v>
      </c>
    </row>
    <row r="457" spans="1:11">
      <c r="A457">
        <v>18127</v>
      </c>
      <c r="B457" t="s">
        <v>938</v>
      </c>
      <c r="C457" t="s">
        <v>872</v>
      </c>
      <c r="D457" t="s">
        <v>262</v>
      </c>
      <c r="E457" t="s">
        <v>365</v>
      </c>
      <c r="F457">
        <v>86</v>
      </c>
      <c r="G457">
        <v>1977</v>
      </c>
      <c r="H457">
        <v>790</v>
      </c>
      <c r="I457">
        <v>0</v>
      </c>
      <c r="J457">
        <v>0</v>
      </c>
      <c r="K457">
        <v>0</v>
      </c>
    </row>
    <row r="458" spans="1:11">
      <c r="A458">
        <v>15086</v>
      </c>
      <c r="B458" t="s">
        <v>939</v>
      </c>
      <c r="C458" t="s">
        <v>458</v>
      </c>
      <c r="E458" t="s">
        <v>153</v>
      </c>
      <c r="F458">
        <v>42</v>
      </c>
      <c r="G458">
        <v>1951</v>
      </c>
      <c r="H458">
        <v>271</v>
      </c>
      <c r="I458">
        <v>9.2349999999999994</v>
      </c>
      <c r="J458">
        <v>463.76799999999997</v>
      </c>
      <c r="K458">
        <v>70</v>
      </c>
    </row>
    <row r="459" spans="1:11">
      <c r="A459">
        <v>27030</v>
      </c>
      <c r="B459" t="s">
        <v>940</v>
      </c>
      <c r="C459" t="s">
        <v>941</v>
      </c>
      <c r="D459" t="s">
        <v>262</v>
      </c>
      <c r="E459" t="s">
        <v>645</v>
      </c>
      <c r="F459">
        <v>56</v>
      </c>
      <c r="G459">
        <v>1962</v>
      </c>
      <c r="H459">
        <v>43</v>
      </c>
      <c r="I459">
        <v>28.5</v>
      </c>
      <c r="J459">
        <v>2355.0479999999998</v>
      </c>
      <c r="K459">
        <v>1197</v>
      </c>
    </row>
    <row r="460" spans="1:11">
      <c r="A460">
        <v>25061</v>
      </c>
      <c r="B460" t="s">
        <v>942</v>
      </c>
      <c r="C460" t="s">
        <v>395</v>
      </c>
      <c r="E460" t="s">
        <v>645</v>
      </c>
      <c r="F460">
        <v>56</v>
      </c>
      <c r="G460">
        <v>1988</v>
      </c>
      <c r="H460">
        <v>114</v>
      </c>
      <c r="I460">
        <v>24.905999999999999</v>
      </c>
      <c r="J460">
        <v>1349.4059999999999</v>
      </c>
      <c r="K460">
        <v>384</v>
      </c>
    </row>
    <row r="461" spans="1:11">
      <c r="A461">
        <v>27083</v>
      </c>
      <c r="B461" t="s">
        <v>943</v>
      </c>
      <c r="C461" t="s">
        <v>944</v>
      </c>
      <c r="E461" t="s">
        <v>456</v>
      </c>
      <c r="F461">
        <v>24</v>
      </c>
      <c r="G461">
        <v>1966</v>
      </c>
      <c r="H461">
        <v>517</v>
      </c>
      <c r="I461">
        <v>0.68799999999999994</v>
      </c>
      <c r="J461">
        <v>72.715999999999994</v>
      </c>
      <c r="K461">
        <v>41</v>
      </c>
    </row>
    <row r="462" spans="1:11">
      <c r="A462">
        <v>17016</v>
      </c>
      <c r="B462" t="s">
        <v>943</v>
      </c>
      <c r="C462" t="s">
        <v>372</v>
      </c>
      <c r="E462" t="s">
        <v>300</v>
      </c>
      <c r="F462">
        <v>30</v>
      </c>
      <c r="G462">
        <v>1965</v>
      </c>
      <c r="H462">
        <v>528</v>
      </c>
      <c r="I462">
        <v>1.782</v>
      </c>
      <c r="J462">
        <v>68.316000000000003</v>
      </c>
      <c r="K462">
        <v>0</v>
      </c>
    </row>
    <row r="463" spans="1:11">
      <c r="A463">
        <v>13075</v>
      </c>
      <c r="B463" t="s">
        <v>945</v>
      </c>
      <c r="C463" t="s">
        <v>946</v>
      </c>
      <c r="D463" t="s">
        <v>262</v>
      </c>
      <c r="E463" t="s">
        <v>660</v>
      </c>
      <c r="F463">
        <v>85</v>
      </c>
      <c r="G463">
        <v>1986</v>
      </c>
      <c r="H463">
        <v>791</v>
      </c>
      <c r="I463">
        <v>0</v>
      </c>
      <c r="J463">
        <v>0</v>
      </c>
      <c r="K463">
        <v>0</v>
      </c>
    </row>
    <row r="464" spans="1:11">
      <c r="A464">
        <v>17015</v>
      </c>
      <c r="B464" t="s">
        <v>947</v>
      </c>
      <c r="C464" t="s">
        <v>486</v>
      </c>
      <c r="D464" t="s">
        <v>262</v>
      </c>
      <c r="E464" t="s">
        <v>300</v>
      </c>
      <c r="F464">
        <v>30</v>
      </c>
      <c r="G464">
        <v>1965</v>
      </c>
      <c r="H464">
        <v>529</v>
      </c>
      <c r="I464">
        <v>1.782</v>
      </c>
      <c r="J464">
        <v>68.316000000000003</v>
      </c>
      <c r="K464">
        <v>0</v>
      </c>
    </row>
    <row r="465" spans="1:11">
      <c r="A465">
        <v>12025</v>
      </c>
      <c r="B465" t="s">
        <v>947</v>
      </c>
      <c r="C465" t="s">
        <v>400</v>
      </c>
      <c r="D465" t="s">
        <v>262</v>
      </c>
      <c r="E465" t="s">
        <v>376</v>
      </c>
      <c r="F465">
        <v>70</v>
      </c>
      <c r="G465">
        <v>1946</v>
      </c>
      <c r="H465">
        <v>792</v>
      </c>
      <c r="I465">
        <v>0</v>
      </c>
      <c r="J465">
        <v>0</v>
      </c>
      <c r="K465">
        <v>0</v>
      </c>
    </row>
    <row r="466" spans="1:11">
      <c r="A466">
        <v>18060</v>
      </c>
      <c r="B466" t="s">
        <v>948</v>
      </c>
      <c r="C466" t="s">
        <v>949</v>
      </c>
      <c r="E466" t="s">
        <v>393</v>
      </c>
      <c r="F466">
        <v>29</v>
      </c>
      <c r="G466">
        <v>1980</v>
      </c>
      <c r="H466">
        <v>793</v>
      </c>
      <c r="I466">
        <v>0</v>
      </c>
      <c r="J466">
        <v>0</v>
      </c>
      <c r="K466">
        <v>0</v>
      </c>
    </row>
    <row r="467" spans="1:11">
      <c r="A467">
        <v>22980</v>
      </c>
      <c r="B467" t="s">
        <v>950</v>
      </c>
      <c r="C467" t="s">
        <v>414</v>
      </c>
      <c r="E467" t="s">
        <v>116</v>
      </c>
      <c r="F467">
        <v>19</v>
      </c>
      <c r="G467">
        <v>1972</v>
      </c>
      <c r="H467">
        <v>455</v>
      </c>
      <c r="I467">
        <v>2.0630000000000002</v>
      </c>
      <c r="J467">
        <v>122.791</v>
      </c>
      <c r="K467">
        <v>40</v>
      </c>
    </row>
    <row r="468" spans="1:11">
      <c r="A468">
        <v>16151</v>
      </c>
      <c r="B468" t="s">
        <v>951</v>
      </c>
      <c r="C468" t="s">
        <v>444</v>
      </c>
      <c r="E468" t="s">
        <v>365</v>
      </c>
      <c r="F468">
        <v>86</v>
      </c>
      <c r="G468">
        <v>1991</v>
      </c>
      <c r="H468">
        <v>95</v>
      </c>
      <c r="I468">
        <v>23.062999999999999</v>
      </c>
      <c r="J468">
        <v>1579.038</v>
      </c>
      <c r="K468">
        <v>535</v>
      </c>
    </row>
    <row r="469" spans="1:11">
      <c r="A469">
        <v>18040</v>
      </c>
      <c r="B469" t="s">
        <v>951</v>
      </c>
      <c r="C469" t="s">
        <v>414</v>
      </c>
      <c r="E469" t="s">
        <v>600</v>
      </c>
      <c r="F469">
        <v>74</v>
      </c>
      <c r="G469">
        <v>1960</v>
      </c>
      <c r="H469">
        <v>630</v>
      </c>
      <c r="I469">
        <v>0.438</v>
      </c>
      <c r="J469">
        <v>10.301</v>
      </c>
      <c r="K469">
        <v>0</v>
      </c>
    </row>
    <row r="470" spans="1:11">
      <c r="A470">
        <v>12003</v>
      </c>
      <c r="B470" t="s">
        <v>952</v>
      </c>
      <c r="C470" t="s">
        <v>953</v>
      </c>
      <c r="E470" t="s">
        <v>465</v>
      </c>
      <c r="F470">
        <v>28</v>
      </c>
      <c r="G470">
        <v>1948</v>
      </c>
      <c r="H470">
        <v>495</v>
      </c>
      <c r="I470">
        <v>2.875</v>
      </c>
      <c r="J470">
        <v>87.787999999999997</v>
      </c>
      <c r="K470">
        <v>0</v>
      </c>
    </row>
    <row r="471" spans="1:11">
      <c r="A471">
        <v>20557</v>
      </c>
      <c r="B471" t="s">
        <v>954</v>
      </c>
      <c r="C471" t="s">
        <v>486</v>
      </c>
      <c r="D471" t="s">
        <v>262</v>
      </c>
      <c r="E471" t="s">
        <v>373</v>
      </c>
      <c r="F471">
        <v>79</v>
      </c>
      <c r="G471">
        <v>1968</v>
      </c>
      <c r="H471">
        <v>794</v>
      </c>
      <c r="I471">
        <v>0</v>
      </c>
      <c r="J471">
        <v>0</v>
      </c>
      <c r="K471">
        <v>0</v>
      </c>
    </row>
    <row r="472" spans="1:11">
      <c r="A472">
        <v>20532</v>
      </c>
      <c r="B472" t="s">
        <v>955</v>
      </c>
      <c r="C472" t="s">
        <v>956</v>
      </c>
      <c r="E472" t="s">
        <v>524</v>
      </c>
      <c r="F472">
        <v>87</v>
      </c>
      <c r="G472">
        <v>1951</v>
      </c>
      <c r="H472">
        <v>623</v>
      </c>
      <c r="I472">
        <v>0.313</v>
      </c>
      <c r="J472">
        <v>15.156000000000001</v>
      </c>
      <c r="K472">
        <v>0</v>
      </c>
    </row>
    <row r="473" spans="1:11">
      <c r="A473">
        <v>19043</v>
      </c>
      <c r="B473" t="s">
        <v>957</v>
      </c>
      <c r="C473" t="s">
        <v>384</v>
      </c>
      <c r="D473" t="s">
        <v>397</v>
      </c>
      <c r="E473" t="s">
        <v>148</v>
      </c>
      <c r="F473">
        <v>1</v>
      </c>
      <c r="G473">
        <v>2006</v>
      </c>
      <c r="H473">
        <v>575</v>
      </c>
      <c r="I473">
        <v>0.90600000000000003</v>
      </c>
      <c r="J473">
        <v>41.929000000000002</v>
      </c>
      <c r="K473">
        <v>0</v>
      </c>
    </row>
    <row r="474" spans="1:11">
      <c r="A474">
        <v>15015</v>
      </c>
      <c r="B474" t="s">
        <v>958</v>
      </c>
      <c r="C474" t="s">
        <v>959</v>
      </c>
      <c r="E474" t="s">
        <v>543</v>
      </c>
      <c r="F474">
        <v>54</v>
      </c>
      <c r="G474">
        <v>1978</v>
      </c>
      <c r="H474">
        <v>490</v>
      </c>
      <c r="I474">
        <v>0.95299999999999996</v>
      </c>
      <c r="J474">
        <v>92.418000000000006</v>
      </c>
      <c r="K474">
        <v>45</v>
      </c>
    </row>
    <row r="475" spans="1:11">
      <c r="A475">
        <v>99539</v>
      </c>
      <c r="B475" t="s">
        <v>960</v>
      </c>
      <c r="C475" t="s">
        <v>961</v>
      </c>
      <c r="E475" t="s">
        <v>543</v>
      </c>
      <c r="F475">
        <v>54</v>
      </c>
      <c r="G475">
        <v>1974</v>
      </c>
      <c r="H475">
        <v>248</v>
      </c>
      <c r="I475">
        <v>7.407</v>
      </c>
      <c r="J475">
        <v>511.06200000000001</v>
      </c>
      <c r="K475">
        <v>213</v>
      </c>
    </row>
    <row r="476" spans="1:11">
      <c r="A476">
        <v>20730</v>
      </c>
      <c r="B476" t="s">
        <v>960</v>
      </c>
      <c r="C476" t="s">
        <v>962</v>
      </c>
      <c r="E476" t="s">
        <v>543</v>
      </c>
      <c r="F476">
        <v>54</v>
      </c>
      <c r="G476">
        <v>1952</v>
      </c>
      <c r="H476">
        <v>77</v>
      </c>
      <c r="I476">
        <v>25.391999999999999</v>
      </c>
      <c r="J476">
        <v>1816.414</v>
      </c>
      <c r="K476">
        <v>703</v>
      </c>
    </row>
    <row r="477" spans="1:11">
      <c r="A477">
        <v>99540</v>
      </c>
      <c r="B477" t="s">
        <v>960</v>
      </c>
      <c r="C477" t="s">
        <v>786</v>
      </c>
      <c r="E477" t="s">
        <v>543</v>
      </c>
      <c r="F477">
        <v>54</v>
      </c>
      <c r="G477">
        <v>1974</v>
      </c>
      <c r="H477">
        <v>249</v>
      </c>
      <c r="I477">
        <v>7.407</v>
      </c>
      <c r="J477">
        <v>511.06200000000001</v>
      </c>
      <c r="K477">
        <v>213</v>
      </c>
    </row>
    <row r="478" spans="1:11">
      <c r="A478">
        <v>19052</v>
      </c>
      <c r="B478" t="s">
        <v>963</v>
      </c>
      <c r="C478" t="s">
        <v>473</v>
      </c>
      <c r="D478" t="s">
        <v>262</v>
      </c>
      <c r="E478" t="s">
        <v>549</v>
      </c>
      <c r="F478">
        <v>91</v>
      </c>
      <c r="G478">
        <v>1955</v>
      </c>
      <c r="H478">
        <v>297</v>
      </c>
      <c r="I478">
        <v>9.8770000000000007</v>
      </c>
      <c r="J478">
        <v>372.25299999999999</v>
      </c>
      <c r="K478">
        <v>0</v>
      </c>
    </row>
    <row r="479" spans="1:11">
      <c r="A479">
        <v>96216</v>
      </c>
      <c r="B479" t="s">
        <v>964</v>
      </c>
      <c r="C479" t="s">
        <v>965</v>
      </c>
      <c r="E479" t="s">
        <v>639</v>
      </c>
      <c r="F479">
        <v>5</v>
      </c>
      <c r="G479">
        <v>1951</v>
      </c>
      <c r="H479">
        <v>371</v>
      </c>
      <c r="I479">
        <v>4.5469999999999997</v>
      </c>
      <c r="J479">
        <v>237.309</v>
      </c>
      <c r="K479">
        <v>23</v>
      </c>
    </row>
    <row r="480" spans="1:11">
      <c r="A480">
        <v>25047</v>
      </c>
      <c r="B480" t="s">
        <v>964</v>
      </c>
      <c r="C480" t="s">
        <v>372</v>
      </c>
      <c r="E480" t="s">
        <v>639</v>
      </c>
      <c r="F480">
        <v>5</v>
      </c>
      <c r="G480">
        <v>1995</v>
      </c>
      <c r="H480">
        <v>795</v>
      </c>
      <c r="I480">
        <v>0</v>
      </c>
      <c r="J480">
        <v>0</v>
      </c>
      <c r="K480">
        <v>0</v>
      </c>
    </row>
    <row r="481" spans="1:11">
      <c r="A481">
        <v>16030</v>
      </c>
      <c r="B481" t="s">
        <v>966</v>
      </c>
      <c r="C481" t="s">
        <v>967</v>
      </c>
      <c r="E481" t="s">
        <v>198</v>
      </c>
      <c r="F481">
        <v>21</v>
      </c>
      <c r="G481">
        <v>1941</v>
      </c>
      <c r="H481">
        <v>796</v>
      </c>
      <c r="I481">
        <v>0</v>
      </c>
      <c r="J481">
        <v>0</v>
      </c>
      <c r="K481">
        <v>0</v>
      </c>
    </row>
    <row r="482" spans="1:11">
      <c r="A482">
        <v>17007</v>
      </c>
      <c r="B482" t="s">
        <v>968</v>
      </c>
      <c r="C482" t="s">
        <v>414</v>
      </c>
      <c r="E482" t="s">
        <v>660</v>
      </c>
      <c r="F482">
        <v>85</v>
      </c>
      <c r="G482">
        <v>1952</v>
      </c>
      <c r="H482">
        <v>797</v>
      </c>
      <c r="I482">
        <v>0</v>
      </c>
      <c r="J482">
        <v>0</v>
      </c>
      <c r="K482">
        <v>0</v>
      </c>
    </row>
    <row r="483" spans="1:11">
      <c r="A483">
        <v>15033</v>
      </c>
      <c r="B483" t="s">
        <v>969</v>
      </c>
      <c r="C483" t="s">
        <v>450</v>
      </c>
      <c r="E483" t="s">
        <v>440</v>
      </c>
      <c r="F483">
        <v>73</v>
      </c>
      <c r="G483">
        <v>1945</v>
      </c>
      <c r="H483">
        <v>202</v>
      </c>
      <c r="I483">
        <v>12.329000000000001</v>
      </c>
      <c r="J483">
        <v>779.46100000000001</v>
      </c>
      <c r="K483">
        <v>287</v>
      </c>
    </row>
    <row r="484" spans="1:11">
      <c r="A484">
        <v>20535</v>
      </c>
      <c r="B484" t="s">
        <v>970</v>
      </c>
      <c r="C484" t="s">
        <v>434</v>
      </c>
      <c r="D484" t="s">
        <v>262</v>
      </c>
      <c r="E484" t="s">
        <v>524</v>
      </c>
      <c r="F484">
        <v>87</v>
      </c>
      <c r="G484">
        <v>1948</v>
      </c>
      <c r="H484">
        <v>798</v>
      </c>
      <c r="I484">
        <v>0</v>
      </c>
      <c r="J484">
        <v>0</v>
      </c>
      <c r="K484">
        <v>0</v>
      </c>
    </row>
    <row r="485" spans="1:11">
      <c r="A485">
        <v>17057</v>
      </c>
      <c r="B485" t="s">
        <v>971</v>
      </c>
      <c r="C485" t="s">
        <v>701</v>
      </c>
      <c r="E485" t="s">
        <v>365</v>
      </c>
      <c r="F485">
        <v>86</v>
      </c>
      <c r="G485">
        <v>2000</v>
      </c>
      <c r="H485">
        <v>799</v>
      </c>
      <c r="I485">
        <v>0</v>
      </c>
      <c r="J485">
        <v>0</v>
      </c>
      <c r="K485">
        <v>0</v>
      </c>
    </row>
    <row r="486" spans="1:11">
      <c r="A486">
        <v>18133</v>
      </c>
      <c r="B486" t="s">
        <v>972</v>
      </c>
      <c r="C486" t="s">
        <v>387</v>
      </c>
      <c r="D486" t="s">
        <v>262</v>
      </c>
      <c r="E486" t="s">
        <v>660</v>
      </c>
      <c r="F486">
        <v>85</v>
      </c>
      <c r="G486">
        <v>1992</v>
      </c>
      <c r="H486">
        <v>800</v>
      </c>
      <c r="I486">
        <v>0</v>
      </c>
      <c r="J486">
        <v>0</v>
      </c>
      <c r="K486">
        <v>0</v>
      </c>
    </row>
    <row r="487" spans="1:11">
      <c r="A487">
        <v>18063</v>
      </c>
      <c r="B487" t="s">
        <v>973</v>
      </c>
      <c r="C487" t="s">
        <v>458</v>
      </c>
      <c r="E487" t="s">
        <v>142</v>
      </c>
      <c r="F487">
        <v>20</v>
      </c>
      <c r="G487">
        <v>1988</v>
      </c>
      <c r="H487">
        <v>585</v>
      </c>
      <c r="I487">
        <v>0.81299999999999994</v>
      </c>
      <c r="J487">
        <v>37.787999999999997</v>
      </c>
      <c r="K487">
        <v>0</v>
      </c>
    </row>
    <row r="488" spans="1:11">
      <c r="A488">
        <v>19015</v>
      </c>
      <c r="B488" t="s">
        <v>974</v>
      </c>
      <c r="C488" t="s">
        <v>444</v>
      </c>
      <c r="E488" t="s">
        <v>365</v>
      </c>
      <c r="F488">
        <v>86</v>
      </c>
      <c r="G488">
        <v>1991</v>
      </c>
      <c r="H488">
        <v>369</v>
      </c>
      <c r="I488">
        <v>3.2509999999999999</v>
      </c>
      <c r="J488">
        <v>239.511</v>
      </c>
      <c r="K488">
        <v>84</v>
      </c>
    </row>
    <row r="489" spans="1:11">
      <c r="A489">
        <v>18074</v>
      </c>
      <c r="B489" t="s">
        <v>975</v>
      </c>
      <c r="C489" t="s">
        <v>532</v>
      </c>
      <c r="E489" t="s">
        <v>148</v>
      </c>
      <c r="F489">
        <v>1</v>
      </c>
      <c r="G489">
        <v>2006</v>
      </c>
      <c r="H489">
        <v>363</v>
      </c>
      <c r="I489">
        <v>3.4380000000000002</v>
      </c>
      <c r="J489">
        <v>257.887</v>
      </c>
      <c r="K489">
        <v>91</v>
      </c>
    </row>
    <row r="490" spans="1:11">
      <c r="A490">
        <v>11001</v>
      </c>
      <c r="B490" t="s">
        <v>381</v>
      </c>
      <c r="C490" t="s">
        <v>414</v>
      </c>
      <c r="E490" t="s">
        <v>976</v>
      </c>
      <c r="F490">
        <v>80</v>
      </c>
      <c r="G490">
        <v>1954</v>
      </c>
      <c r="H490">
        <v>29</v>
      </c>
      <c r="I490">
        <v>30.5</v>
      </c>
      <c r="J490">
        <v>2618.8389999999999</v>
      </c>
      <c r="K490">
        <v>1332</v>
      </c>
    </row>
    <row r="491" spans="1:11">
      <c r="A491">
        <v>11039</v>
      </c>
      <c r="B491" t="s">
        <v>381</v>
      </c>
      <c r="C491" t="s">
        <v>497</v>
      </c>
      <c r="E491" t="s">
        <v>976</v>
      </c>
      <c r="F491">
        <v>80</v>
      </c>
      <c r="G491">
        <v>1980</v>
      </c>
      <c r="H491">
        <v>5</v>
      </c>
      <c r="I491">
        <v>49</v>
      </c>
      <c r="J491">
        <v>3693.85</v>
      </c>
      <c r="K491">
        <v>1549</v>
      </c>
    </row>
    <row r="492" spans="1:11">
      <c r="A492">
        <v>15002</v>
      </c>
      <c r="B492" t="s">
        <v>381</v>
      </c>
      <c r="C492" t="s">
        <v>533</v>
      </c>
      <c r="E492" t="s">
        <v>976</v>
      </c>
      <c r="F492">
        <v>80</v>
      </c>
      <c r="G492">
        <v>1978</v>
      </c>
      <c r="H492">
        <v>801</v>
      </c>
      <c r="I492">
        <v>0</v>
      </c>
      <c r="J492">
        <v>0</v>
      </c>
      <c r="K492">
        <v>0</v>
      </c>
    </row>
    <row r="493" spans="1:11">
      <c r="A493">
        <v>11002</v>
      </c>
      <c r="B493" t="s">
        <v>977</v>
      </c>
      <c r="C493" t="s">
        <v>486</v>
      </c>
      <c r="D493" t="s">
        <v>262</v>
      </c>
      <c r="E493" t="s">
        <v>976</v>
      </c>
      <c r="F493">
        <v>80</v>
      </c>
      <c r="G493">
        <v>1956</v>
      </c>
      <c r="H493">
        <v>34</v>
      </c>
      <c r="I493">
        <v>32.75</v>
      </c>
      <c r="J493">
        <v>2489.4479999999999</v>
      </c>
      <c r="K493">
        <v>1130</v>
      </c>
    </row>
    <row r="494" spans="1:11">
      <c r="A494">
        <v>10095</v>
      </c>
      <c r="B494" t="s">
        <v>978</v>
      </c>
      <c r="C494" t="s">
        <v>979</v>
      </c>
      <c r="D494" t="s">
        <v>262</v>
      </c>
      <c r="E494" t="s">
        <v>417</v>
      </c>
      <c r="F494">
        <v>69</v>
      </c>
      <c r="G494">
        <v>1956</v>
      </c>
      <c r="H494">
        <v>802</v>
      </c>
      <c r="I494">
        <v>0</v>
      </c>
      <c r="J494">
        <v>0</v>
      </c>
      <c r="K494">
        <v>0</v>
      </c>
    </row>
    <row r="495" spans="1:11">
      <c r="A495">
        <v>96130</v>
      </c>
      <c r="B495" t="s">
        <v>980</v>
      </c>
      <c r="C495" t="s">
        <v>981</v>
      </c>
      <c r="E495" t="s">
        <v>725</v>
      </c>
      <c r="F495">
        <v>7</v>
      </c>
      <c r="G495">
        <v>1958</v>
      </c>
      <c r="H495">
        <v>803</v>
      </c>
      <c r="I495">
        <v>0</v>
      </c>
      <c r="J495">
        <v>0</v>
      </c>
      <c r="K495">
        <v>0</v>
      </c>
    </row>
    <row r="496" spans="1:11">
      <c r="A496">
        <v>15052</v>
      </c>
      <c r="B496" t="s">
        <v>982</v>
      </c>
      <c r="C496" t="s">
        <v>414</v>
      </c>
      <c r="E496" t="s">
        <v>306</v>
      </c>
      <c r="F496">
        <v>33</v>
      </c>
      <c r="G496">
        <v>1952</v>
      </c>
      <c r="H496">
        <v>433</v>
      </c>
      <c r="I496">
        <v>4.375</v>
      </c>
      <c r="J496">
        <v>152.55500000000001</v>
      </c>
      <c r="K496">
        <v>0</v>
      </c>
    </row>
    <row r="497" spans="1:11">
      <c r="A497">
        <v>21823</v>
      </c>
      <c r="B497" t="s">
        <v>983</v>
      </c>
      <c r="C497" t="s">
        <v>492</v>
      </c>
      <c r="E497" t="s">
        <v>310</v>
      </c>
      <c r="F497">
        <v>36</v>
      </c>
      <c r="G497">
        <v>1970</v>
      </c>
      <c r="H497">
        <v>804</v>
      </c>
      <c r="I497">
        <v>0</v>
      </c>
      <c r="J497">
        <v>0</v>
      </c>
      <c r="K497">
        <v>0</v>
      </c>
    </row>
    <row r="498" spans="1:11">
      <c r="A498">
        <v>25035</v>
      </c>
      <c r="B498" t="s">
        <v>984</v>
      </c>
      <c r="C498" t="s">
        <v>714</v>
      </c>
      <c r="E498" t="s">
        <v>379</v>
      </c>
      <c r="F498">
        <v>44</v>
      </c>
      <c r="G498">
        <v>1971</v>
      </c>
      <c r="H498">
        <v>622</v>
      </c>
      <c r="I498">
        <v>0.625</v>
      </c>
      <c r="J498">
        <v>15.618</v>
      </c>
      <c r="K498">
        <v>0</v>
      </c>
    </row>
    <row r="499" spans="1:11">
      <c r="A499">
        <v>18122</v>
      </c>
      <c r="B499" t="s">
        <v>985</v>
      </c>
      <c r="C499" t="s">
        <v>677</v>
      </c>
      <c r="D499" t="s">
        <v>262</v>
      </c>
      <c r="E499" t="s">
        <v>138</v>
      </c>
      <c r="F499">
        <v>89</v>
      </c>
      <c r="G499">
        <v>1957</v>
      </c>
      <c r="H499">
        <v>394</v>
      </c>
      <c r="I499">
        <v>5.4690000000000003</v>
      </c>
      <c r="J499">
        <v>203.745</v>
      </c>
      <c r="K499">
        <v>0</v>
      </c>
    </row>
    <row r="500" spans="1:11">
      <c r="A500">
        <v>19068</v>
      </c>
      <c r="B500" t="s">
        <v>986</v>
      </c>
      <c r="C500" t="s">
        <v>416</v>
      </c>
      <c r="E500" t="s">
        <v>264</v>
      </c>
      <c r="F500">
        <v>6</v>
      </c>
      <c r="G500">
        <v>1952</v>
      </c>
      <c r="H500">
        <v>521</v>
      </c>
      <c r="I500">
        <v>1.8759999999999999</v>
      </c>
      <c r="J500">
        <v>71.13</v>
      </c>
      <c r="K500">
        <v>15</v>
      </c>
    </row>
    <row r="501" spans="1:11">
      <c r="A501">
        <v>13080</v>
      </c>
      <c r="B501" t="s">
        <v>987</v>
      </c>
      <c r="C501" t="s">
        <v>384</v>
      </c>
      <c r="E501" t="s">
        <v>392</v>
      </c>
      <c r="F501">
        <v>51</v>
      </c>
      <c r="G501">
        <v>1951</v>
      </c>
      <c r="H501">
        <v>518</v>
      </c>
      <c r="I501">
        <v>0.95299999999999996</v>
      </c>
      <c r="J501">
        <v>72.418000000000006</v>
      </c>
      <c r="K501">
        <v>25</v>
      </c>
    </row>
    <row r="502" spans="1:11">
      <c r="A502">
        <v>13081</v>
      </c>
      <c r="B502" t="s">
        <v>988</v>
      </c>
      <c r="C502" t="s">
        <v>460</v>
      </c>
      <c r="D502" t="s">
        <v>262</v>
      </c>
      <c r="E502" t="s">
        <v>392</v>
      </c>
      <c r="F502">
        <v>51</v>
      </c>
      <c r="G502">
        <v>1958</v>
      </c>
      <c r="H502">
        <v>519</v>
      </c>
      <c r="I502">
        <v>0.95299999999999996</v>
      </c>
      <c r="J502">
        <v>72.418000000000006</v>
      </c>
      <c r="K502">
        <v>25</v>
      </c>
    </row>
    <row r="503" spans="1:11">
      <c r="A503">
        <v>20511</v>
      </c>
      <c r="B503" t="s">
        <v>989</v>
      </c>
      <c r="C503" t="s">
        <v>597</v>
      </c>
      <c r="E503" t="s">
        <v>603</v>
      </c>
      <c r="F503">
        <v>66</v>
      </c>
      <c r="G503">
        <v>1969</v>
      </c>
      <c r="H503">
        <v>805</v>
      </c>
      <c r="I503">
        <v>0</v>
      </c>
      <c r="J503">
        <v>0</v>
      </c>
      <c r="K503">
        <v>0</v>
      </c>
    </row>
    <row r="504" spans="1:11">
      <c r="A504">
        <v>12058</v>
      </c>
      <c r="B504" t="s">
        <v>990</v>
      </c>
      <c r="C504" t="s">
        <v>460</v>
      </c>
      <c r="D504" t="s">
        <v>262</v>
      </c>
      <c r="E504" t="s">
        <v>148</v>
      </c>
      <c r="F504">
        <v>1</v>
      </c>
      <c r="G504">
        <v>1979</v>
      </c>
      <c r="H504">
        <v>806</v>
      </c>
      <c r="I504">
        <v>0</v>
      </c>
      <c r="J504">
        <v>0</v>
      </c>
      <c r="K504">
        <v>0</v>
      </c>
    </row>
    <row r="505" spans="1:11">
      <c r="A505">
        <v>23034</v>
      </c>
      <c r="B505" t="s">
        <v>991</v>
      </c>
      <c r="C505" t="s">
        <v>464</v>
      </c>
      <c r="E505" t="s">
        <v>379</v>
      </c>
      <c r="F505">
        <v>44</v>
      </c>
      <c r="G505">
        <v>1968</v>
      </c>
      <c r="H505">
        <v>542</v>
      </c>
      <c r="I505">
        <v>2.5</v>
      </c>
      <c r="J505">
        <v>62.47</v>
      </c>
      <c r="K505">
        <v>0</v>
      </c>
    </row>
    <row r="506" spans="1:11">
      <c r="A506">
        <v>13056</v>
      </c>
      <c r="B506" t="s">
        <v>992</v>
      </c>
      <c r="C506" t="s">
        <v>404</v>
      </c>
      <c r="E506" t="s">
        <v>300</v>
      </c>
      <c r="F506">
        <v>30</v>
      </c>
      <c r="G506">
        <v>1978</v>
      </c>
      <c r="H506">
        <v>807</v>
      </c>
      <c r="I506">
        <v>0</v>
      </c>
      <c r="J506">
        <v>0</v>
      </c>
      <c r="K506">
        <v>0</v>
      </c>
    </row>
    <row r="507" spans="1:11">
      <c r="A507">
        <v>10071</v>
      </c>
      <c r="B507" t="s">
        <v>993</v>
      </c>
      <c r="C507" t="s">
        <v>439</v>
      </c>
      <c r="E507" t="s">
        <v>198</v>
      </c>
      <c r="F507">
        <v>21</v>
      </c>
      <c r="G507">
        <v>1958</v>
      </c>
      <c r="H507">
        <v>158</v>
      </c>
      <c r="I507">
        <v>14.391999999999999</v>
      </c>
      <c r="J507">
        <v>1061.991</v>
      </c>
      <c r="K507">
        <v>493</v>
      </c>
    </row>
    <row r="508" spans="1:11">
      <c r="A508">
        <v>12076</v>
      </c>
      <c r="B508" t="s">
        <v>994</v>
      </c>
      <c r="C508" t="s">
        <v>579</v>
      </c>
      <c r="D508" t="s">
        <v>262</v>
      </c>
      <c r="E508" t="s">
        <v>198</v>
      </c>
      <c r="F508">
        <v>21</v>
      </c>
      <c r="G508">
        <v>1991</v>
      </c>
      <c r="H508">
        <v>808</v>
      </c>
      <c r="I508">
        <v>0</v>
      </c>
      <c r="J508">
        <v>0</v>
      </c>
      <c r="K508">
        <v>0</v>
      </c>
    </row>
    <row r="509" spans="1:11">
      <c r="A509">
        <v>23056</v>
      </c>
      <c r="B509" t="s">
        <v>995</v>
      </c>
      <c r="C509" t="s">
        <v>996</v>
      </c>
      <c r="D509" t="s">
        <v>262</v>
      </c>
      <c r="E509" t="s">
        <v>324</v>
      </c>
      <c r="F509">
        <v>43</v>
      </c>
      <c r="G509">
        <v>1981</v>
      </c>
      <c r="H509">
        <v>142</v>
      </c>
      <c r="I509">
        <v>16.501000000000001</v>
      </c>
      <c r="J509">
        <v>1157.9860000000001</v>
      </c>
      <c r="K509">
        <v>418</v>
      </c>
    </row>
    <row r="510" spans="1:11">
      <c r="A510">
        <v>16124</v>
      </c>
      <c r="B510" t="s">
        <v>995</v>
      </c>
      <c r="C510" t="s">
        <v>388</v>
      </c>
      <c r="D510" t="s">
        <v>262</v>
      </c>
      <c r="E510" t="s">
        <v>440</v>
      </c>
      <c r="F510">
        <v>73</v>
      </c>
      <c r="G510">
        <v>1987</v>
      </c>
      <c r="H510">
        <v>154</v>
      </c>
      <c r="I510">
        <v>10.516999999999999</v>
      </c>
      <c r="J510">
        <v>1096.922</v>
      </c>
      <c r="K510">
        <v>575</v>
      </c>
    </row>
    <row r="511" spans="1:11">
      <c r="A511">
        <v>15073</v>
      </c>
      <c r="B511" t="s">
        <v>997</v>
      </c>
      <c r="C511" t="s">
        <v>384</v>
      </c>
      <c r="E511" t="s">
        <v>392</v>
      </c>
      <c r="F511">
        <v>51</v>
      </c>
      <c r="G511">
        <v>1944</v>
      </c>
      <c r="H511">
        <v>458</v>
      </c>
      <c r="I511">
        <v>1.3440000000000001</v>
      </c>
      <c r="J511">
        <v>121.684</v>
      </c>
      <c r="K511">
        <v>54</v>
      </c>
    </row>
    <row r="512" spans="1:11">
      <c r="A512">
        <v>16122</v>
      </c>
      <c r="B512" t="s">
        <v>997</v>
      </c>
      <c r="C512" t="s">
        <v>395</v>
      </c>
      <c r="E512" t="s">
        <v>342</v>
      </c>
      <c r="F512">
        <v>52</v>
      </c>
      <c r="G512">
        <v>1982</v>
      </c>
      <c r="H512">
        <v>329</v>
      </c>
      <c r="I512">
        <v>6.234</v>
      </c>
      <c r="J512">
        <v>308.995</v>
      </c>
      <c r="K512">
        <v>70</v>
      </c>
    </row>
    <row r="513" spans="1:11">
      <c r="A513">
        <v>27088</v>
      </c>
      <c r="B513" t="s">
        <v>998</v>
      </c>
      <c r="C513" t="s">
        <v>999</v>
      </c>
      <c r="D513" t="s">
        <v>262</v>
      </c>
      <c r="E513" t="s">
        <v>153</v>
      </c>
      <c r="F513">
        <v>42</v>
      </c>
      <c r="G513">
        <v>1970</v>
      </c>
      <c r="H513">
        <v>72</v>
      </c>
      <c r="I513">
        <v>20.564</v>
      </c>
      <c r="J513">
        <v>1941.0640000000001</v>
      </c>
      <c r="K513">
        <v>984</v>
      </c>
    </row>
    <row r="514" spans="1:11">
      <c r="A514">
        <v>98482</v>
      </c>
      <c r="B514" t="s">
        <v>1000</v>
      </c>
      <c r="C514" t="s">
        <v>458</v>
      </c>
      <c r="E514" t="s">
        <v>276</v>
      </c>
      <c r="F514">
        <v>14</v>
      </c>
      <c r="G514">
        <v>1970</v>
      </c>
      <c r="H514">
        <v>222</v>
      </c>
      <c r="I514">
        <v>11.313000000000001</v>
      </c>
      <c r="J514">
        <v>645.94799999999998</v>
      </c>
      <c r="K514">
        <v>148</v>
      </c>
    </row>
    <row r="515" spans="1:11">
      <c r="A515">
        <v>17021</v>
      </c>
      <c r="B515" t="s">
        <v>1001</v>
      </c>
      <c r="C515" t="s">
        <v>1002</v>
      </c>
      <c r="D515" t="s">
        <v>397</v>
      </c>
      <c r="E515" t="s">
        <v>198</v>
      </c>
      <c r="F515">
        <v>21</v>
      </c>
      <c r="G515">
        <v>2009</v>
      </c>
      <c r="H515">
        <v>483</v>
      </c>
      <c r="I515">
        <v>2.407</v>
      </c>
      <c r="J515">
        <v>101.35</v>
      </c>
      <c r="K515">
        <v>0</v>
      </c>
    </row>
    <row r="516" spans="1:11">
      <c r="A516">
        <v>19010</v>
      </c>
      <c r="B516" t="s">
        <v>1001</v>
      </c>
      <c r="C516" t="s">
        <v>372</v>
      </c>
      <c r="E516" t="s">
        <v>198</v>
      </c>
      <c r="F516">
        <v>21</v>
      </c>
      <c r="G516">
        <v>1976</v>
      </c>
      <c r="H516">
        <v>513</v>
      </c>
      <c r="I516">
        <v>3</v>
      </c>
      <c r="J516">
        <v>74.893000000000001</v>
      </c>
      <c r="K516">
        <v>0</v>
      </c>
    </row>
    <row r="517" spans="1:11">
      <c r="A517">
        <v>20537</v>
      </c>
      <c r="B517" t="s">
        <v>1003</v>
      </c>
      <c r="C517" t="s">
        <v>381</v>
      </c>
      <c r="E517" t="s">
        <v>490</v>
      </c>
      <c r="F517">
        <v>92</v>
      </c>
      <c r="G517">
        <v>1984</v>
      </c>
      <c r="H517">
        <v>809</v>
      </c>
      <c r="I517">
        <v>0</v>
      </c>
      <c r="J517">
        <v>0</v>
      </c>
      <c r="K517">
        <v>0</v>
      </c>
    </row>
    <row r="518" spans="1:11">
      <c r="A518">
        <v>20538</v>
      </c>
      <c r="B518" t="s">
        <v>1004</v>
      </c>
      <c r="C518" t="s">
        <v>400</v>
      </c>
      <c r="D518" t="s">
        <v>262</v>
      </c>
      <c r="E518" t="s">
        <v>490</v>
      </c>
      <c r="F518">
        <v>92</v>
      </c>
      <c r="G518">
        <v>1981</v>
      </c>
      <c r="H518">
        <v>810</v>
      </c>
      <c r="I518">
        <v>0</v>
      </c>
      <c r="J518">
        <v>0</v>
      </c>
      <c r="K518">
        <v>0</v>
      </c>
    </row>
    <row r="519" spans="1:11">
      <c r="A519">
        <v>18131</v>
      </c>
      <c r="B519" t="s">
        <v>1005</v>
      </c>
      <c r="C519" t="s">
        <v>1006</v>
      </c>
      <c r="D519" t="s">
        <v>262</v>
      </c>
      <c r="E519" t="s">
        <v>630</v>
      </c>
      <c r="F519">
        <v>82</v>
      </c>
      <c r="G519">
        <v>1968</v>
      </c>
      <c r="H519">
        <v>237</v>
      </c>
      <c r="I519">
        <v>12.877000000000001</v>
      </c>
      <c r="J519">
        <v>541.74400000000003</v>
      </c>
      <c r="K519">
        <v>59</v>
      </c>
    </row>
    <row r="520" spans="1:11">
      <c r="A520">
        <v>29049</v>
      </c>
      <c r="B520" t="s">
        <v>1007</v>
      </c>
      <c r="C520" t="s">
        <v>444</v>
      </c>
      <c r="E520" t="s">
        <v>130</v>
      </c>
      <c r="F520">
        <v>64</v>
      </c>
      <c r="G520">
        <v>1987</v>
      </c>
      <c r="H520">
        <v>6</v>
      </c>
      <c r="I520">
        <v>48.375</v>
      </c>
      <c r="J520">
        <v>3453.8690000000001</v>
      </c>
      <c r="K520">
        <v>1245</v>
      </c>
    </row>
    <row r="521" spans="1:11">
      <c r="A521">
        <v>16136</v>
      </c>
      <c r="B521" t="s">
        <v>1008</v>
      </c>
      <c r="C521" t="s">
        <v>1009</v>
      </c>
      <c r="D521" t="s">
        <v>511</v>
      </c>
      <c r="E521" t="s">
        <v>198</v>
      </c>
      <c r="F521">
        <v>21</v>
      </c>
      <c r="G521">
        <v>2006</v>
      </c>
      <c r="H521">
        <v>811</v>
      </c>
      <c r="I521">
        <v>0</v>
      </c>
      <c r="J521">
        <v>0</v>
      </c>
      <c r="K521">
        <v>0</v>
      </c>
    </row>
    <row r="522" spans="1:11">
      <c r="A522">
        <v>17031</v>
      </c>
      <c r="B522" t="s">
        <v>1010</v>
      </c>
      <c r="C522" t="s">
        <v>532</v>
      </c>
      <c r="D522" t="s">
        <v>397</v>
      </c>
      <c r="E522" t="s">
        <v>148</v>
      </c>
      <c r="F522">
        <v>1</v>
      </c>
      <c r="G522">
        <v>2004</v>
      </c>
      <c r="H522">
        <v>139</v>
      </c>
      <c r="I522">
        <v>18.062999999999999</v>
      </c>
      <c r="J522">
        <v>1169.442</v>
      </c>
      <c r="K522">
        <v>314</v>
      </c>
    </row>
    <row r="523" spans="1:11">
      <c r="A523">
        <v>27071</v>
      </c>
      <c r="B523" t="s">
        <v>1011</v>
      </c>
      <c r="C523" t="s">
        <v>532</v>
      </c>
      <c r="E523" t="s">
        <v>382</v>
      </c>
      <c r="F523">
        <v>61</v>
      </c>
      <c r="G523">
        <v>1986</v>
      </c>
      <c r="H523">
        <v>631</v>
      </c>
      <c r="I523">
        <v>0.438</v>
      </c>
      <c r="J523">
        <v>10.301</v>
      </c>
      <c r="K523">
        <v>0</v>
      </c>
    </row>
    <row r="524" spans="1:11">
      <c r="A524">
        <v>27073</v>
      </c>
      <c r="B524" t="s">
        <v>1011</v>
      </c>
      <c r="C524" t="s">
        <v>375</v>
      </c>
      <c r="E524" t="s">
        <v>382</v>
      </c>
      <c r="F524">
        <v>61</v>
      </c>
      <c r="G524">
        <v>1988</v>
      </c>
      <c r="H524">
        <v>523</v>
      </c>
      <c r="I524">
        <v>3</v>
      </c>
      <c r="J524">
        <v>70.635000000000005</v>
      </c>
      <c r="K524">
        <v>0</v>
      </c>
    </row>
    <row r="525" spans="1:11">
      <c r="A525">
        <v>14046</v>
      </c>
      <c r="B525" t="s">
        <v>1011</v>
      </c>
      <c r="C525" t="s">
        <v>458</v>
      </c>
      <c r="E525" t="s">
        <v>148</v>
      </c>
      <c r="F525">
        <v>1</v>
      </c>
      <c r="G525">
        <v>1953</v>
      </c>
      <c r="H525">
        <v>812</v>
      </c>
      <c r="I525">
        <v>0</v>
      </c>
      <c r="J525">
        <v>0</v>
      </c>
      <c r="K525">
        <v>0</v>
      </c>
    </row>
    <row r="526" spans="1:11">
      <c r="A526">
        <v>18001</v>
      </c>
      <c r="B526" t="s">
        <v>1012</v>
      </c>
      <c r="C526" t="s">
        <v>458</v>
      </c>
      <c r="E526" t="s">
        <v>630</v>
      </c>
      <c r="F526">
        <v>82</v>
      </c>
      <c r="G526">
        <v>1988</v>
      </c>
      <c r="H526">
        <v>156</v>
      </c>
      <c r="I526">
        <v>22.657</v>
      </c>
      <c r="J526">
        <v>1080.453</v>
      </c>
      <c r="K526">
        <v>208</v>
      </c>
    </row>
    <row r="527" spans="1:11">
      <c r="A527">
        <v>13004</v>
      </c>
      <c r="B527" t="s">
        <v>1013</v>
      </c>
      <c r="C527" t="s">
        <v>416</v>
      </c>
      <c r="E527" t="s">
        <v>142</v>
      </c>
      <c r="F527">
        <v>20</v>
      </c>
      <c r="G527">
        <v>1965</v>
      </c>
      <c r="H527">
        <v>194</v>
      </c>
      <c r="I527">
        <v>11.157</v>
      </c>
      <c r="J527">
        <v>815.678</v>
      </c>
      <c r="K527">
        <v>284</v>
      </c>
    </row>
    <row r="528" spans="1:11">
      <c r="A528">
        <v>21821</v>
      </c>
      <c r="B528" t="s">
        <v>1014</v>
      </c>
      <c r="C528" t="s">
        <v>464</v>
      </c>
      <c r="E528" t="s">
        <v>310</v>
      </c>
      <c r="F528">
        <v>36</v>
      </c>
      <c r="G528">
        <v>1960</v>
      </c>
      <c r="H528">
        <v>814</v>
      </c>
      <c r="I528">
        <v>0</v>
      </c>
      <c r="J528">
        <v>0</v>
      </c>
      <c r="K528">
        <v>0</v>
      </c>
    </row>
    <row r="529" spans="1:11">
      <c r="A529">
        <v>19041</v>
      </c>
      <c r="B529" t="s">
        <v>1014</v>
      </c>
      <c r="C529" t="s">
        <v>391</v>
      </c>
      <c r="E529" t="s">
        <v>148</v>
      </c>
      <c r="F529">
        <v>1</v>
      </c>
      <c r="G529">
        <v>1969</v>
      </c>
      <c r="H529">
        <v>813</v>
      </c>
      <c r="I529">
        <v>0</v>
      </c>
      <c r="J529">
        <v>0</v>
      </c>
      <c r="K529">
        <v>0</v>
      </c>
    </row>
    <row r="530" spans="1:11">
      <c r="A530">
        <v>23054</v>
      </c>
      <c r="B530" t="s">
        <v>1014</v>
      </c>
      <c r="C530" t="s">
        <v>416</v>
      </c>
      <c r="E530" t="s">
        <v>148</v>
      </c>
      <c r="F530">
        <v>1</v>
      </c>
      <c r="G530">
        <v>1978</v>
      </c>
      <c r="H530">
        <v>296</v>
      </c>
      <c r="I530">
        <v>8.25</v>
      </c>
      <c r="J530">
        <v>374.99700000000001</v>
      </c>
      <c r="K530">
        <v>0</v>
      </c>
    </row>
    <row r="531" spans="1:11">
      <c r="A531">
        <v>18097</v>
      </c>
      <c r="B531" t="s">
        <v>1015</v>
      </c>
      <c r="C531" t="s">
        <v>1016</v>
      </c>
      <c r="D531" t="s">
        <v>511</v>
      </c>
      <c r="E531" t="s">
        <v>148</v>
      </c>
      <c r="F531">
        <v>1</v>
      </c>
      <c r="G531">
        <v>2008</v>
      </c>
      <c r="H531">
        <v>815</v>
      </c>
      <c r="I531">
        <v>0</v>
      </c>
      <c r="J531">
        <v>0</v>
      </c>
      <c r="K531">
        <v>0</v>
      </c>
    </row>
    <row r="532" spans="1:11">
      <c r="A532">
        <v>19025</v>
      </c>
      <c r="B532" t="s">
        <v>1017</v>
      </c>
      <c r="C532" t="s">
        <v>444</v>
      </c>
      <c r="E532" t="s">
        <v>373</v>
      </c>
      <c r="F532">
        <v>79</v>
      </c>
      <c r="G532">
        <v>1967</v>
      </c>
      <c r="H532">
        <v>201</v>
      </c>
      <c r="I532">
        <v>15.72</v>
      </c>
      <c r="J532">
        <v>781</v>
      </c>
      <c r="K532">
        <v>98</v>
      </c>
    </row>
    <row r="533" spans="1:11">
      <c r="A533">
        <v>18076</v>
      </c>
      <c r="B533" t="s">
        <v>1018</v>
      </c>
      <c r="C533" t="s">
        <v>1019</v>
      </c>
      <c r="E533" t="s">
        <v>138</v>
      </c>
      <c r="F533">
        <v>89</v>
      </c>
      <c r="G533">
        <v>1960</v>
      </c>
      <c r="H533">
        <v>193</v>
      </c>
      <c r="I533">
        <v>17.251999999999999</v>
      </c>
      <c r="J533">
        <v>817.55100000000004</v>
      </c>
      <c r="K533">
        <v>187</v>
      </c>
    </row>
    <row r="534" spans="1:11">
      <c r="A534">
        <v>18077</v>
      </c>
      <c r="B534" t="s">
        <v>1020</v>
      </c>
      <c r="C534" t="s">
        <v>723</v>
      </c>
      <c r="D534" t="s">
        <v>262</v>
      </c>
      <c r="E534" t="s">
        <v>138</v>
      </c>
      <c r="F534">
        <v>89</v>
      </c>
      <c r="G534">
        <v>1965</v>
      </c>
      <c r="H534">
        <v>285</v>
      </c>
      <c r="I534">
        <v>5.6580000000000004</v>
      </c>
      <c r="J534">
        <v>412.43700000000001</v>
      </c>
      <c r="K534">
        <v>144</v>
      </c>
    </row>
    <row r="535" spans="1:11">
      <c r="A535">
        <v>16061</v>
      </c>
      <c r="B535" t="s">
        <v>1021</v>
      </c>
      <c r="C535" t="s">
        <v>450</v>
      </c>
      <c r="E535" t="s">
        <v>759</v>
      </c>
      <c r="F535">
        <v>83</v>
      </c>
      <c r="G535">
        <v>1969</v>
      </c>
      <c r="H535">
        <v>816</v>
      </c>
      <c r="I535">
        <v>0</v>
      </c>
      <c r="J535">
        <v>0</v>
      </c>
      <c r="K535">
        <v>0</v>
      </c>
    </row>
    <row r="536" spans="1:11">
      <c r="A536">
        <v>10012</v>
      </c>
      <c r="B536" t="s">
        <v>1022</v>
      </c>
      <c r="C536" t="s">
        <v>444</v>
      </c>
      <c r="E536" t="s">
        <v>603</v>
      </c>
      <c r="F536">
        <v>66</v>
      </c>
      <c r="G536">
        <v>1975</v>
      </c>
      <c r="H536">
        <v>207</v>
      </c>
      <c r="I536">
        <v>13.593999999999999</v>
      </c>
      <c r="J536">
        <v>748.952</v>
      </c>
      <c r="K536">
        <v>217</v>
      </c>
    </row>
    <row r="537" spans="1:11">
      <c r="A537">
        <v>10011</v>
      </c>
      <c r="B537" t="s">
        <v>1022</v>
      </c>
      <c r="C537" t="s">
        <v>416</v>
      </c>
      <c r="E537" t="s">
        <v>603</v>
      </c>
      <c r="F537">
        <v>66</v>
      </c>
      <c r="G537">
        <v>1976</v>
      </c>
      <c r="H537">
        <v>205</v>
      </c>
      <c r="I537">
        <v>14.375999999999999</v>
      </c>
      <c r="J537">
        <v>775.24199999999996</v>
      </c>
      <c r="K537">
        <v>217</v>
      </c>
    </row>
    <row r="538" spans="1:11">
      <c r="A538">
        <v>19011</v>
      </c>
      <c r="B538" t="s">
        <v>1023</v>
      </c>
      <c r="C538" t="s">
        <v>1024</v>
      </c>
      <c r="D538" t="s">
        <v>397</v>
      </c>
      <c r="E538" t="s">
        <v>198</v>
      </c>
      <c r="F538">
        <v>21</v>
      </c>
      <c r="G538">
        <v>2003</v>
      </c>
      <c r="H538">
        <v>506</v>
      </c>
      <c r="I538">
        <v>2.875</v>
      </c>
      <c r="J538">
        <v>79.262</v>
      </c>
      <c r="K538">
        <v>0</v>
      </c>
    </row>
    <row r="539" spans="1:11">
      <c r="A539">
        <v>19012</v>
      </c>
      <c r="B539" t="s">
        <v>1023</v>
      </c>
      <c r="C539" t="s">
        <v>855</v>
      </c>
      <c r="D539" t="s">
        <v>397</v>
      </c>
      <c r="E539" t="s">
        <v>198</v>
      </c>
      <c r="F539">
        <v>21</v>
      </c>
      <c r="G539">
        <v>2007</v>
      </c>
      <c r="H539">
        <v>484</v>
      </c>
      <c r="I539">
        <v>2.875</v>
      </c>
      <c r="J539">
        <v>97.18</v>
      </c>
      <c r="K539">
        <v>0</v>
      </c>
    </row>
    <row r="540" spans="1:11">
      <c r="A540">
        <v>16128</v>
      </c>
      <c r="B540" t="s">
        <v>1025</v>
      </c>
      <c r="C540" t="s">
        <v>1026</v>
      </c>
      <c r="D540" t="s">
        <v>397</v>
      </c>
      <c r="E540" t="s">
        <v>432</v>
      </c>
      <c r="F540">
        <v>2</v>
      </c>
      <c r="G540">
        <v>2009</v>
      </c>
      <c r="H540">
        <v>572</v>
      </c>
      <c r="I540">
        <v>1</v>
      </c>
      <c r="J540">
        <v>42.633000000000003</v>
      </c>
      <c r="K540">
        <v>0</v>
      </c>
    </row>
    <row r="541" spans="1:11">
      <c r="A541">
        <v>18099</v>
      </c>
      <c r="B541" t="s">
        <v>1025</v>
      </c>
      <c r="C541" t="s">
        <v>381</v>
      </c>
      <c r="E541" t="s">
        <v>432</v>
      </c>
      <c r="F541">
        <v>2</v>
      </c>
      <c r="G541">
        <v>1974</v>
      </c>
      <c r="H541">
        <v>468</v>
      </c>
      <c r="I541">
        <v>3.1880000000000002</v>
      </c>
      <c r="J541">
        <v>112.72199999999999</v>
      </c>
      <c r="K541">
        <v>0</v>
      </c>
    </row>
    <row r="542" spans="1:11">
      <c r="A542">
        <v>16129</v>
      </c>
      <c r="B542" t="s">
        <v>1027</v>
      </c>
      <c r="C542" t="s">
        <v>1028</v>
      </c>
      <c r="D542" t="s">
        <v>511</v>
      </c>
      <c r="E542" t="s">
        <v>432</v>
      </c>
      <c r="F542">
        <v>2</v>
      </c>
      <c r="G542">
        <v>2007</v>
      </c>
      <c r="H542">
        <v>573</v>
      </c>
      <c r="I542">
        <v>1</v>
      </c>
      <c r="J542">
        <v>42.633000000000003</v>
      </c>
      <c r="K542">
        <v>0</v>
      </c>
    </row>
    <row r="543" spans="1:11">
      <c r="A543">
        <v>20552</v>
      </c>
      <c r="B543" t="s">
        <v>1029</v>
      </c>
      <c r="C543" t="s">
        <v>375</v>
      </c>
      <c r="E543" t="s">
        <v>306</v>
      </c>
      <c r="F543">
        <v>33</v>
      </c>
      <c r="G543">
        <v>1956</v>
      </c>
      <c r="H543">
        <v>817</v>
      </c>
      <c r="I543">
        <v>0</v>
      </c>
      <c r="J543">
        <v>0</v>
      </c>
      <c r="K543">
        <v>0</v>
      </c>
    </row>
    <row r="544" spans="1:11">
      <c r="A544">
        <v>20502</v>
      </c>
      <c r="B544" t="s">
        <v>1030</v>
      </c>
      <c r="C544" t="s">
        <v>444</v>
      </c>
      <c r="D544" t="s">
        <v>397</v>
      </c>
      <c r="E544" t="s">
        <v>148</v>
      </c>
      <c r="F544">
        <v>1</v>
      </c>
      <c r="G544">
        <v>2007</v>
      </c>
      <c r="H544">
        <v>818</v>
      </c>
      <c r="I544">
        <v>0</v>
      </c>
      <c r="J544">
        <v>0</v>
      </c>
      <c r="K544">
        <v>0</v>
      </c>
    </row>
    <row r="545" spans="1:11">
      <c r="A545">
        <v>13064</v>
      </c>
      <c r="B545" t="s">
        <v>1030</v>
      </c>
      <c r="C545" t="s">
        <v>381</v>
      </c>
      <c r="E545" t="s">
        <v>148</v>
      </c>
      <c r="F545">
        <v>1</v>
      </c>
      <c r="G545">
        <v>1998</v>
      </c>
      <c r="H545">
        <v>51</v>
      </c>
      <c r="I545">
        <v>34.188000000000002</v>
      </c>
      <c r="J545">
        <v>2260.2060000000001</v>
      </c>
      <c r="K545">
        <v>671</v>
      </c>
    </row>
    <row r="546" spans="1:11">
      <c r="A546">
        <v>28029</v>
      </c>
      <c r="B546" t="s">
        <v>1031</v>
      </c>
      <c r="C546" t="s">
        <v>486</v>
      </c>
      <c r="D546" t="s">
        <v>262</v>
      </c>
      <c r="E546" t="s">
        <v>455</v>
      </c>
      <c r="F546">
        <v>62</v>
      </c>
      <c r="G546">
        <v>1968</v>
      </c>
      <c r="H546">
        <v>819</v>
      </c>
      <c r="I546">
        <v>0</v>
      </c>
      <c r="J546">
        <v>0</v>
      </c>
      <c r="K546">
        <v>0</v>
      </c>
    </row>
    <row r="547" spans="1:11">
      <c r="A547">
        <v>28030</v>
      </c>
      <c r="B547" t="s">
        <v>1032</v>
      </c>
      <c r="C547" t="s">
        <v>375</v>
      </c>
      <c r="E547" t="s">
        <v>455</v>
      </c>
      <c r="F547">
        <v>62</v>
      </c>
      <c r="G547">
        <v>1967</v>
      </c>
      <c r="H547">
        <v>400</v>
      </c>
      <c r="I547">
        <v>2.8130000000000002</v>
      </c>
      <c r="J547">
        <v>195.21600000000001</v>
      </c>
      <c r="K547">
        <v>80</v>
      </c>
    </row>
    <row r="548" spans="1:11">
      <c r="A548">
        <v>13069</v>
      </c>
      <c r="B548" t="s">
        <v>1032</v>
      </c>
      <c r="C548" t="s">
        <v>508</v>
      </c>
      <c r="D548" t="s">
        <v>397</v>
      </c>
      <c r="E548" t="s">
        <v>455</v>
      </c>
      <c r="F548">
        <v>62</v>
      </c>
      <c r="G548">
        <v>2003</v>
      </c>
      <c r="H548">
        <v>820</v>
      </c>
      <c r="I548">
        <v>0</v>
      </c>
      <c r="J548">
        <v>0</v>
      </c>
      <c r="K548">
        <v>0</v>
      </c>
    </row>
    <row r="549" spans="1:11">
      <c r="A549">
        <v>99532</v>
      </c>
      <c r="B549" t="s">
        <v>1033</v>
      </c>
      <c r="C549" t="s">
        <v>514</v>
      </c>
      <c r="E549" t="s">
        <v>205</v>
      </c>
      <c r="F549">
        <v>17</v>
      </c>
      <c r="G549">
        <v>1965</v>
      </c>
      <c r="H549">
        <v>7</v>
      </c>
      <c r="I549">
        <v>42</v>
      </c>
      <c r="J549">
        <v>3367.828</v>
      </c>
      <c r="K549">
        <v>1445</v>
      </c>
    </row>
    <row r="550" spans="1:11">
      <c r="A550">
        <v>21775</v>
      </c>
      <c r="B550" t="s">
        <v>1033</v>
      </c>
      <c r="C550" t="s">
        <v>444</v>
      </c>
      <c r="E550" t="s">
        <v>205</v>
      </c>
      <c r="F550">
        <v>17</v>
      </c>
      <c r="G550">
        <v>1991</v>
      </c>
      <c r="H550">
        <v>53</v>
      </c>
      <c r="I550">
        <v>30.469000000000001</v>
      </c>
      <c r="J550">
        <v>2250.0320000000002</v>
      </c>
      <c r="K550">
        <v>804</v>
      </c>
    </row>
    <row r="551" spans="1:11">
      <c r="A551">
        <v>21774</v>
      </c>
      <c r="B551" t="s">
        <v>1033</v>
      </c>
      <c r="C551" t="s">
        <v>395</v>
      </c>
      <c r="E551" t="s">
        <v>205</v>
      </c>
      <c r="F551">
        <v>17</v>
      </c>
      <c r="G551">
        <v>1994</v>
      </c>
      <c r="H551">
        <v>11</v>
      </c>
      <c r="I551">
        <v>53</v>
      </c>
      <c r="J551">
        <v>3177.5650000000001</v>
      </c>
      <c r="K551">
        <v>895</v>
      </c>
    </row>
    <row r="552" spans="1:11">
      <c r="A552">
        <v>20702</v>
      </c>
      <c r="B552" t="s">
        <v>1034</v>
      </c>
      <c r="C552" t="s">
        <v>834</v>
      </c>
      <c r="D552" t="s">
        <v>262</v>
      </c>
      <c r="E552" t="s">
        <v>205</v>
      </c>
      <c r="F552">
        <v>17</v>
      </c>
      <c r="G552">
        <v>1969</v>
      </c>
      <c r="H552">
        <v>182</v>
      </c>
      <c r="I552">
        <v>11.875</v>
      </c>
      <c r="J552">
        <v>867.29100000000005</v>
      </c>
      <c r="K552">
        <v>330</v>
      </c>
    </row>
    <row r="553" spans="1:11">
      <c r="A553">
        <v>15076</v>
      </c>
      <c r="B553" t="s">
        <v>1035</v>
      </c>
      <c r="C553" t="s">
        <v>518</v>
      </c>
      <c r="E553" t="s">
        <v>151</v>
      </c>
      <c r="F553">
        <v>13</v>
      </c>
      <c r="G553">
        <v>1984</v>
      </c>
      <c r="H553">
        <v>821</v>
      </c>
      <c r="I553">
        <v>0</v>
      </c>
      <c r="J553">
        <v>0</v>
      </c>
      <c r="K553">
        <v>0</v>
      </c>
    </row>
    <row r="554" spans="1:11">
      <c r="A554">
        <v>26060</v>
      </c>
      <c r="B554" t="s">
        <v>1036</v>
      </c>
      <c r="C554" t="s">
        <v>444</v>
      </c>
      <c r="E554" t="s">
        <v>398</v>
      </c>
      <c r="F554">
        <v>27</v>
      </c>
      <c r="G554">
        <v>1953</v>
      </c>
      <c r="H554">
        <v>328</v>
      </c>
      <c r="I554">
        <v>5.2809999999999997</v>
      </c>
      <c r="J554">
        <v>309.79300000000001</v>
      </c>
      <c r="K554">
        <v>90</v>
      </c>
    </row>
    <row r="555" spans="1:11">
      <c r="A555">
        <v>18126</v>
      </c>
      <c r="B555" t="s">
        <v>1037</v>
      </c>
      <c r="C555" t="s">
        <v>404</v>
      </c>
      <c r="E555" t="s">
        <v>365</v>
      </c>
      <c r="F555">
        <v>86</v>
      </c>
      <c r="G555">
        <v>1992</v>
      </c>
      <c r="H555">
        <v>822</v>
      </c>
      <c r="I555">
        <v>0</v>
      </c>
      <c r="J555">
        <v>0</v>
      </c>
      <c r="K555">
        <v>0</v>
      </c>
    </row>
    <row r="556" spans="1:11">
      <c r="A556">
        <v>15047</v>
      </c>
      <c r="B556" t="s">
        <v>1038</v>
      </c>
      <c r="C556" t="s">
        <v>391</v>
      </c>
      <c r="E556" t="s">
        <v>543</v>
      </c>
      <c r="F556">
        <v>54</v>
      </c>
      <c r="G556">
        <v>1978</v>
      </c>
      <c r="H556">
        <v>46</v>
      </c>
      <c r="I556">
        <v>24.609000000000002</v>
      </c>
      <c r="J556">
        <v>2339.902</v>
      </c>
      <c r="K556">
        <v>1168</v>
      </c>
    </row>
    <row r="557" spans="1:11">
      <c r="A557">
        <v>24225</v>
      </c>
      <c r="B557" t="s">
        <v>1039</v>
      </c>
      <c r="C557" t="s">
        <v>391</v>
      </c>
      <c r="E557" t="s">
        <v>392</v>
      </c>
      <c r="F557">
        <v>51</v>
      </c>
      <c r="G557">
        <v>1945</v>
      </c>
      <c r="H557">
        <v>823</v>
      </c>
      <c r="I557">
        <v>0</v>
      </c>
      <c r="J557">
        <v>0</v>
      </c>
      <c r="K557">
        <v>0</v>
      </c>
    </row>
    <row r="558" spans="1:11">
      <c r="A558">
        <v>12085</v>
      </c>
      <c r="B558" t="s">
        <v>1040</v>
      </c>
      <c r="C558" t="s">
        <v>378</v>
      </c>
      <c r="D558" t="s">
        <v>262</v>
      </c>
      <c r="E558" t="s">
        <v>440</v>
      </c>
      <c r="F558">
        <v>73</v>
      </c>
      <c r="G558">
        <v>1949</v>
      </c>
      <c r="H558">
        <v>106</v>
      </c>
      <c r="I558">
        <v>18.626000000000001</v>
      </c>
      <c r="J558">
        <v>1451.9</v>
      </c>
      <c r="K558">
        <v>715</v>
      </c>
    </row>
    <row r="559" spans="1:11">
      <c r="A559">
        <v>29037</v>
      </c>
      <c r="B559" t="s">
        <v>1041</v>
      </c>
      <c r="C559" t="s">
        <v>1042</v>
      </c>
      <c r="E559" t="s">
        <v>205</v>
      </c>
      <c r="F559">
        <v>17</v>
      </c>
      <c r="G559">
        <v>1974</v>
      </c>
      <c r="H559">
        <v>602</v>
      </c>
      <c r="I559">
        <v>0.65600000000000003</v>
      </c>
      <c r="J559">
        <v>27.07</v>
      </c>
      <c r="K559">
        <v>0</v>
      </c>
    </row>
    <row r="560" spans="1:11">
      <c r="A560">
        <v>15014</v>
      </c>
      <c r="B560" t="s">
        <v>1043</v>
      </c>
      <c r="C560" t="s">
        <v>733</v>
      </c>
      <c r="D560" t="s">
        <v>511</v>
      </c>
      <c r="E560" t="s">
        <v>205</v>
      </c>
      <c r="F560">
        <v>17</v>
      </c>
      <c r="G560">
        <v>2006</v>
      </c>
      <c r="H560">
        <v>549</v>
      </c>
      <c r="I560">
        <v>1.6879999999999999</v>
      </c>
      <c r="J560">
        <v>56.360999999999997</v>
      </c>
      <c r="K560">
        <v>0</v>
      </c>
    </row>
    <row r="561" spans="1:11">
      <c r="A561">
        <v>24330</v>
      </c>
      <c r="B561" t="s">
        <v>1043</v>
      </c>
      <c r="C561" t="s">
        <v>510</v>
      </c>
      <c r="D561" t="s">
        <v>262</v>
      </c>
      <c r="E561" t="s">
        <v>205</v>
      </c>
      <c r="F561">
        <v>17</v>
      </c>
      <c r="G561">
        <v>1979</v>
      </c>
      <c r="H561">
        <v>355</v>
      </c>
      <c r="I561">
        <v>7.5010000000000003</v>
      </c>
      <c r="J561">
        <v>265.35500000000002</v>
      </c>
      <c r="K561">
        <v>0</v>
      </c>
    </row>
    <row r="562" spans="1:11">
      <c r="A562">
        <v>98446</v>
      </c>
      <c r="B562" t="s">
        <v>1044</v>
      </c>
      <c r="C562" t="s">
        <v>414</v>
      </c>
      <c r="E562" t="s">
        <v>142</v>
      </c>
      <c r="F562">
        <v>20</v>
      </c>
      <c r="G562">
        <v>1969</v>
      </c>
      <c r="H562">
        <v>17</v>
      </c>
      <c r="I562">
        <v>40.125</v>
      </c>
      <c r="J562">
        <v>2890.5819999999999</v>
      </c>
      <c r="K562">
        <v>1116</v>
      </c>
    </row>
    <row r="563" spans="1:11">
      <c r="A563">
        <v>19019</v>
      </c>
      <c r="B563" t="s">
        <v>1045</v>
      </c>
      <c r="C563" t="s">
        <v>967</v>
      </c>
      <c r="E563" t="s">
        <v>276</v>
      </c>
      <c r="F563">
        <v>14</v>
      </c>
      <c r="G563">
        <v>1986</v>
      </c>
      <c r="H563">
        <v>133</v>
      </c>
      <c r="I563">
        <v>17.954000000000001</v>
      </c>
      <c r="J563">
        <v>1191.5609999999999</v>
      </c>
      <c r="K563">
        <v>430</v>
      </c>
    </row>
    <row r="564" spans="1:11">
      <c r="A564">
        <v>16001</v>
      </c>
      <c r="B564" t="s">
        <v>1046</v>
      </c>
      <c r="C564" t="s">
        <v>500</v>
      </c>
      <c r="E564" t="s">
        <v>153</v>
      </c>
      <c r="F564">
        <v>42</v>
      </c>
      <c r="G564">
        <v>1981</v>
      </c>
      <c r="H564">
        <v>358</v>
      </c>
      <c r="I564">
        <v>3.5310000000000001</v>
      </c>
      <c r="J564">
        <v>261.84500000000003</v>
      </c>
      <c r="K564">
        <v>98</v>
      </c>
    </row>
    <row r="565" spans="1:11">
      <c r="A565">
        <v>17074</v>
      </c>
      <c r="B565" t="s">
        <v>1047</v>
      </c>
      <c r="C565" t="s">
        <v>677</v>
      </c>
      <c r="D565" t="s">
        <v>262</v>
      </c>
      <c r="E565" t="s">
        <v>376</v>
      </c>
      <c r="F565">
        <v>70</v>
      </c>
      <c r="G565">
        <v>1938</v>
      </c>
      <c r="H565">
        <v>824</v>
      </c>
      <c r="I565">
        <v>0</v>
      </c>
      <c r="J565">
        <v>0</v>
      </c>
      <c r="K565">
        <v>0</v>
      </c>
    </row>
    <row r="566" spans="1:11">
      <c r="A566">
        <v>19045</v>
      </c>
      <c r="B566" t="s">
        <v>1048</v>
      </c>
      <c r="C566" t="s">
        <v>384</v>
      </c>
      <c r="E566" t="s">
        <v>148</v>
      </c>
      <c r="F566">
        <v>1</v>
      </c>
      <c r="G566">
        <v>1974</v>
      </c>
      <c r="H566">
        <v>421</v>
      </c>
      <c r="I566">
        <v>1.0940000000000001</v>
      </c>
      <c r="J566">
        <v>171.15600000000001</v>
      </c>
      <c r="K566">
        <v>111</v>
      </c>
    </row>
    <row r="567" spans="1:11">
      <c r="A567">
        <v>96151</v>
      </c>
      <c r="B567" t="s">
        <v>1049</v>
      </c>
      <c r="C567" t="s">
        <v>567</v>
      </c>
      <c r="D567" t="s">
        <v>262</v>
      </c>
      <c r="E567" t="s">
        <v>157</v>
      </c>
      <c r="F567">
        <v>10</v>
      </c>
      <c r="G567">
        <v>1989</v>
      </c>
      <c r="H567">
        <v>825</v>
      </c>
      <c r="I567">
        <v>0</v>
      </c>
      <c r="J567">
        <v>0</v>
      </c>
      <c r="K567">
        <v>0</v>
      </c>
    </row>
    <row r="568" spans="1:11">
      <c r="A568">
        <v>27062</v>
      </c>
      <c r="B568" t="s">
        <v>1050</v>
      </c>
      <c r="C568" t="s">
        <v>464</v>
      </c>
      <c r="E568" t="s">
        <v>650</v>
      </c>
      <c r="F568">
        <v>45</v>
      </c>
      <c r="G568">
        <v>1954</v>
      </c>
      <c r="H568">
        <v>132</v>
      </c>
      <c r="I568">
        <v>26.25</v>
      </c>
      <c r="J568">
        <v>1195.453</v>
      </c>
      <c r="K568">
        <v>268</v>
      </c>
    </row>
    <row r="569" spans="1:11">
      <c r="A569">
        <v>27063</v>
      </c>
      <c r="B569" t="s">
        <v>1051</v>
      </c>
      <c r="C569" t="s">
        <v>486</v>
      </c>
      <c r="D569" t="s">
        <v>262</v>
      </c>
      <c r="E569" t="s">
        <v>650</v>
      </c>
      <c r="F569">
        <v>45</v>
      </c>
      <c r="G569">
        <v>1956</v>
      </c>
      <c r="H569">
        <v>314</v>
      </c>
      <c r="I569">
        <v>11.343999999999999</v>
      </c>
      <c r="J569">
        <v>340.46899999999999</v>
      </c>
      <c r="K569">
        <v>0</v>
      </c>
    </row>
    <row r="570" spans="1:11">
      <c r="A570">
        <v>16003</v>
      </c>
      <c r="B570" t="s">
        <v>1052</v>
      </c>
      <c r="C570" t="s">
        <v>427</v>
      </c>
      <c r="D570" t="s">
        <v>397</v>
      </c>
      <c r="E570" t="s">
        <v>133</v>
      </c>
      <c r="F570">
        <v>63</v>
      </c>
      <c r="G570">
        <v>2007</v>
      </c>
      <c r="H570">
        <v>505</v>
      </c>
      <c r="I570">
        <v>2.3759999999999999</v>
      </c>
      <c r="J570">
        <v>79.686999999999998</v>
      </c>
      <c r="K570">
        <v>0</v>
      </c>
    </row>
    <row r="571" spans="1:11">
      <c r="A571">
        <v>25014</v>
      </c>
      <c r="B571" t="s">
        <v>1053</v>
      </c>
      <c r="C571" t="s">
        <v>769</v>
      </c>
      <c r="E571" t="s">
        <v>470</v>
      </c>
      <c r="F571">
        <v>55</v>
      </c>
      <c r="G571">
        <v>1959</v>
      </c>
      <c r="H571">
        <v>87</v>
      </c>
      <c r="I571">
        <v>18.297999999999998</v>
      </c>
      <c r="J571">
        <v>1631.4280000000001</v>
      </c>
      <c r="K571">
        <v>800</v>
      </c>
    </row>
    <row r="572" spans="1:11">
      <c r="A572">
        <v>12070</v>
      </c>
      <c r="B572" t="s">
        <v>1054</v>
      </c>
      <c r="C572" t="s">
        <v>414</v>
      </c>
      <c r="E572" t="s">
        <v>116</v>
      </c>
      <c r="F572">
        <v>19</v>
      </c>
      <c r="G572">
        <v>1968</v>
      </c>
      <c r="H572">
        <v>113</v>
      </c>
      <c r="I572">
        <v>21.44</v>
      </c>
      <c r="J572">
        <v>1360.57</v>
      </c>
      <c r="K572">
        <v>497</v>
      </c>
    </row>
    <row r="573" spans="1:11">
      <c r="A573">
        <v>29002</v>
      </c>
      <c r="B573" t="s">
        <v>1055</v>
      </c>
      <c r="C573" t="s">
        <v>999</v>
      </c>
      <c r="D573" t="s">
        <v>262</v>
      </c>
      <c r="E573" t="s">
        <v>116</v>
      </c>
      <c r="F573">
        <v>19</v>
      </c>
      <c r="G573">
        <v>1975</v>
      </c>
      <c r="H573">
        <v>30</v>
      </c>
      <c r="I573">
        <v>34.375</v>
      </c>
      <c r="J573">
        <v>2567.3020000000001</v>
      </c>
      <c r="K573">
        <v>1054</v>
      </c>
    </row>
    <row r="574" spans="1:11">
      <c r="A574">
        <v>12073</v>
      </c>
      <c r="B574" t="s">
        <v>1056</v>
      </c>
      <c r="C574" t="s">
        <v>710</v>
      </c>
      <c r="D574" t="s">
        <v>262</v>
      </c>
      <c r="E574" t="s">
        <v>470</v>
      </c>
      <c r="F574">
        <v>55</v>
      </c>
      <c r="G574">
        <v>1975</v>
      </c>
      <c r="H574">
        <v>171</v>
      </c>
      <c r="I574">
        <v>11.563000000000001</v>
      </c>
      <c r="J574">
        <v>953.03399999999999</v>
      </c>
      <c r="K574">
        <v>437</v>
      </c>
    </row>
    <row r="575" spans="1:11">
      <c r="A575">
        <v>25015</v>
      </c>
      <c r="B575" t="s">
        <v>1056</v>
      </c>
      <c r="C575" t="s">
        <v>434</v>
      </c>
      <c r="D575" t="s">
        <v>262</v>
      </c>
      <c r="E575" t="s">
        <v>470</v>
      </c>
      <c r="F575">
        <v>55</v>
      </c>
      <c r="G575">
        <v>1960</v>
      </c>
      <c r="H575">
        <v>164</v>
      </c>
      <c r="I575">
        <v>10.595000000000001</v>
      </c>
      <c r="J575">
        <v>997.38800000000003</v>
      </c>
      <c r="K575">
        <v>499</v>
      </c>
    </row>
    <row r="576" spans="1:11">
      <c r="A576">
        <v>18091</v>
      </c>
      <c r="B576" t="s">
        <v>1057</v>
      </c>
      <c r="C576" t="s">
        <v>444</v>
      </c>
      <c r="E576" t="s">
        <v>663</v>
      </c>
      <c r="F576">
        <v>90</v>
      </c>
      <c r="G576">
        <v>1985</v>
      </c>
      <c r="H576">
        <v>828</v>
      </c>
      <c r="I576">
        <v>0</v>
      </c>
      <c r="J576">
        <v>0</v>
      </c>
      <c r="K576">
        <v>0</v>
      </c>
    </row>
    <row r="577" spans="1:11">
      <c r="A577">
        <v>18087</v>
      </c>
      <c r="B577" t="s">
        <v>1057</v>
      </c>
      <c r="C577" t="s">
        <v>384</v>
      </c>
      <c r="E577" t="s">
        <v>663</v>
      </c>
      <c r="F577">
        <v>90</v>
      </c>
      <c r="G577">
        <v>1960</v>
      </c>
      <c r="H577">
        <v>620</v>
      </c>
      <c r="I577">
        <v>0.40600000000000003</v>
      </c>
      <c r="J577">
        <v>18.893999999999998</v>
      </c>
      <c r="K577">
        <v>0</v>
      </c>
    </row>
    <row r="578" spans="1:11">
      <c r="A578">
        <v>18090</v>
      </c>
      <c r="B578" t="s">
        <v>1057</v>
      </c>
      <c r="C578" t="s">
        <v>372</v>
      </c>
      <c r="E578" t="s">
        <v>663</v>
      </c>
      <c r="F578">
        <v>90</v>
      </c>
      <c r="G578">
        <v>1990</v>
      </c>
      <c r="H578">
        <v>827</v>
      </c>
      <c r="I578">
        <v>0</v>
      </c>
      <c r="J578">
        <v>0</v>
      </c>
      <c r="K578">
        <v>0</v>
      </c>
    </row>
    <row r="579" spans="1:11">
      <c r="A579">
        <v>18089</v>
      </c>
      <c r="B579" t="s">
        <v>1057</v>
      </c>
      <c r="C579" t="s">
        <v>416</v>
      </c>
      <c r="D579" t="s">
        <v>397</v>
      </c>
      <c r="E579" t="s">
        <v>663</v>
      </c>
      <c r="F579">
        <v>90</v>
      </c>
      <c r="G579">
        <v>2004</v>
      </c>
      <c r="H579">
        <v>826</v>
      </c>
      <c r="I579">
        <v>0</v>
      </c>
      <c r="J579">
        <v>0</v>
      </c>
      <c r="K579">
        <v>0</v>
      </c>
    </row>
    <row r="580" spans="1:11">
      <c r="A580">
        <v>18088</v>
      </c>
      <c r="B580" t="s">
        <v>1058</v>
      </c>
      <c r="C580" t="s">
        <v>478</v>
      </c>
      <c r="D580" t="s">
        <v>262</v>
      </c>
      <c r="E580" t="s">
        <v>663</v>
      </c>
      <c r="F580">
        <v>90</v>
      </c>
      <c r="G580">
        <v>1965</v>
      </c>
      <c r="H580">
        <v>829</v>
      </c>
      <c r="I580">
        <v>0</v>
      </c>
      <c r="J580">
        <v>0</v>
      </c>
      <c r="K580">
        <v>0</v>
      </c>
    </row>
    <row r="581" spans="1:11">
      <c r="A581">
        <v>98457</v>
      </c>
      <c r="B581" t="s">
        <v>1059</v>
      </c>
      <c r="C581" t="s">
        <v>450</v>
      </c>
      <c r="E581" t="s">
        <v>142</v>
      </c>
      <c r="F581">
        <v>20</v>
      </c>
      <c r="G581">
        <v>1960</v>
      </c>
      <c r="H581">
        <v>326</v>
      </c>
      <c r="I581">
        <v>3.6880000000000002</v>
      </c>
      <c r="J581">
        <v>312.31</v>
      </c>
      <c r="K581">
        <v>131</v>
      </c>
    </row>
    <row r="582" spans="1:11">
      <c r="A582">
        <v>98458</v>
      </c>
      <c r="B582" t="s">
        <v>1060</v>
      </c>
      <c r="C582" t="s">
        <v>1061</v>
      </c>
      <c r="D582" t="s">
        <v>262</v>
      </c>
      <c r="E582" t="s">
        <v>142</v>
      </c>
      <c r="F582">
        <v>20</v>
      </c>
      <c r="G582">
        <v>1962</v>
      </c>
      <c r="H582">
        <v>327</v>
      </c>
      <c r="I582">
        <v>6.0789999999999997</v>
      </c>
      <c r="J582">
        <v>312.05099999999999</v>
      </c>
      <c r="K582">
        <v>38</v>
      </c>
    </row>
    <row r="583" spans="1:11">
      <c r="A583">
        <v>21757</v>
      </c>
      <c r="B583" t="s">
        <v>1062</v>
      </c>
      <c r="C583" t="s">
        <v>394</v>
      </c>
      <c r="E583" t="s">
        <v>1063</v>
      </c>
      <c r="F583">
        <v>31</v>
      </c>
      <c r="G583">
        <v>1973</v>
      </c>
      <c r="H583">
        <v>830</v>
      </c>
      <c r="I583">
        <v>0</v>
      </c>
      <c r="J583">
        <v>0</v>
      </c>
      <c r="K583">
        <v>0</v>
      </c>
    </row>
    <row r="584" spans="1:11">
      <c r="A584">
        <v>23069</v>
      </c>
      <c r="B584" t="s">
        <v>1064</v>
      </c>
      <c r="C584" t="s">
        <v>372</v>
      </c>
      <c r="E584" t="s">
        <v>116</v>
      </c>
      <c r="F584">
        <v>19</v>
      </c>
      <c r="G584">
        <v>1969</v>
      </c>
      <c r="H584">
        <v>831</v>
      </c>
      <c r="I584">
        <v>0</v>
      </c>
      <c r="J584">
        <v>0</v>
      </c>
      <c r="K584">
        <v>0</v>
      </c>
    </row>
    <row r="585" spans="1:11">
      <c r="A585">
        <v>18045</v>
      </c>
      <c r="B585" t="s">
        <v>1065</v>
      </c>
      <c r="C585" t="s">
        <v>1066</v>
      </c>
      <c r="D585" t="s">
        <v>262</v>
      </c>
      <c r="E585" t="s">
        <v>300</v>
      </c>
      <c r="F585">
        <v>30</v>
      </c>
      <c r="G585">
        <v>1977</v>
      </c>
      <c r="H585">
        <v>832</v>
      </c>
      <c r="I585">
        <v>0</v>
      </c>
      <c r="J585">
        <v>0</v>
      </c>
      <c r="K585">
        <v>0</v>
      </c>
    </row>
    <row r="586" spans="1:11">
      <c r="A586">
        <v>16110</v>
      </c>
      <c r="B586" t="s">
        <v>1067</v>
      </c>
      <c r="C586" t="s">
        <v>444</v>
      </c>
      <c r="E586" t="s">
        <v>365</v>
      </c>
      <c r="F586">
        <v>86</v>
      </c>
      <c r="G586">
        <v>1989</v>
      </c>
      <c r="H586">
        <v>557</v>
      </c>
      <c r="I586">
        <v>1.0309999999999999</v>
      </c>
      <c r="J586">
        <v>49.274000000000001</v>
      </c>
      <c r="K586">
        <v>0</v>
      </c>
    </row>
    <row r="587" spans="1:11">
      <c r="A587">
        <v>15022</v>
      </c>
      <c r="B587" t="s">
        <v>1068</v>
      </c>
      <c r="C587" t="s">
        <v>583</v>
      </c>
      <c r="D587" t="s">
        <v>262</v>
      </c>
      <c r="E587" t="s">
        <v>368</v>
      </c>
      <c r="F587">
        <v>81</v>
      </c>
      <c r="G587">
        <v>1995</v>
      </c>
      <c r="H587">
        <v>538</v>
      </c>
      <c r="I587">
        <v>2</v>
      </c>
      <c r="J587">
        <v>64.245000000000005</v>
      </c>
      <c r="K587">
        <v>0</v>
      </c>
    </row>
    <row r="588" spans="1:11">
      <c r="A588">
        <v>15021</v>
      </c>
      <c r="B588" t="s">
        <v>1068</v>
      </c>
      <c r="C588" t="s">
        <v>1069</v>
      </c>
      <c r="E588" t="s">
        <v>368</v>
      </c>
      <c r="F588">
        <v>81</v>
      </c>
      <c r="G588">
        <v>1970</v>
      </c>
      <c r="H588">
        <v>243</v>
      </c>
      <c r="I588">
        <v>10.061999999999999</v>
      </c>
      <c r="J588">
        <v>525.36800000000005</v>
      </c>
      <c r="K588">
        <v>184</v>
      </c>
    </row>
    <row r="589" spans="1:11">
      <c r="A589">
        <v>11048</v>
      </c>
      <c r="B589" t="s">
        <v>1070</v>
      </c>
      <c r="C589" t="s">
        <v>488</v>
      </c>
      <c r="E589" t="s">
        <v>130</v>
      </c>
      <c r="F589">
        <v>64</v>
      </c>
      <c r="G589">
        <v>1977</v>
      </c>
      <c r="H589">
        <v>236</v>
      </c>
      <c r="I589">
        <v>7.4390000000000001</v>
      </c>
      <c r="J589">
        <v>547.31399999999996</v>
      </c>
      <c r="K589">
        <v>232</v>
      </c>
    </row>
    <row r="590" spans="1:11">
      <c r="A590">
        <v>12053</v>
      </c>
      <c r="B590" t="s">
        <v>1071</v>
      </c>
      <c r="C590" t="s">
        <v>514</v>
      </c>
      <c r="E590" t="s">
        <v>645</v>
      </c>
      <c r="F590">
        <v>56</v>
      </c>
      <c r="G590">
        <v>1970</v>
      </c>
      <c r="H590">
        <v>833</v>
      </c>
      <c r="I590">
        <v>0</v>
      </c>
      <c r="J590">
        <v>0</v>
      </c>
      <c r="K590">
        <v>0</v>
      </c>
    </row>
    <row r="591" spans="1:11">
      <c r="A591">
        <v>20508</v>
      </c>
      <c r="B591" t="s">
        <v>1072</v>
      </c>
      <c r="C591" t="s">
        <v>714</v>
      </c>
      <c r="E591" t="s">
        <v>306</v>
      </c>
      <c r="F591">
        <v>33</v>
      </c>
      <c r="G591">
        <v>1979</v>
      </c>
      <c r="H591">
        <v>835</v>
      </c>
      <c r="I591">
        <v>0</v>
      </c>
      <c r="J591">
        <v>0</v>
      </c>
      <c r="K591">
        <v>0</v>
      </c>
    </row>
    <row r="592" spans="1:11">
      <c r="A592">
        <v>12026</v>
      </c>
      <c r="B592" t="s">
        <v>1072</v>
      </c>
      <c r="C592" t="s">
        <v>391</v>
      </c>
      <c r="E592" t="s">
        <v>376</v>
      </c>
      <c r="F592">
        <v>70</v>
      </c>
      <c r="G592">
        <v>1945</v>
      </c>
      <c r="H592">
        <v>834</v>
      </c>
      <c r="I592">
        <v>0</v>
      </c>
      <c r="J592">
        <v>0</v>
      </c>
      <c r="K592">
        <v>0</v>
      </c>
    </row>
    <row r="593" spans="1:11">
      <c r="A593">
        <v>13011</v>
      </c>
      <c r="B593" t="s">
        <v>1072</v>
      </c>
      <c r="C593" t="s">
        <v>414</v>
      </c>
      <c r="E593" t="s">
        <v>482</v>
      </c>
      <c r="F593">
        <v>75</v>
      </c>
      <c r="G593">
        <v>1958</v>
      </c>
      <c r="H593">
        <v>435</v>
      </c>
      <c r="I593">
        <v>3.1259999999999999</v>
      </c>
      <c r="J593">
        <v>151.292</v>
      </c>
      <c r="K593">
        <v>25</v>
      </c>
    </row>
    <row r="594" spans="1:11">
      <c r="A594">
        <v>16009</v>
      </c>
      <c r="B594" t="s">
        <v>1073</v>
      </c>
      <c r="C594" t="s">
        <v>618</v>
      </c>
      <c r="D594" t="s">
        <v>262</v>
      </c>
      <c r="E594" t="s">
        <v>151</v>
      </c>
      <c r="F594">
        <v>13</v>
      </c>
      <c r="G594">
        <v>1989</v>
      </c>
      <c r="H594">
        <v>836</v>
      </c>
      <c r="I594">
        <v>0</v>
      </c>
      <c r="J594">
        <v>0</v>
      </c>
      <c r="K594">
        <v>0</v>
      </c>
    </row>
    <row r="595" spans="1:11">
      <c r="A595">
        <v>16058</v>
      </c>
      <c r="B595" t="s">
        <v>1074</v>
      </c>
      <c r="C595" t="s">
        <v>450</v>
      </c>
      <c r="E595" t="s">
        <v>759</v>
      </c>
      <c r="F595">
        <v>83</v>
      </c>
      <c r="G595">
        <v>1975</v>
      </c>
      <c r="H595">
        <v>245</v>
      </c>
      <c r="I595">
        <v>7.766</v>
      </c>
      <c r="J595">
        <v>524.88099999999997</v>
      </c>
      <c r="K595">
        <v>161</v>
      </c>
    </row>
    <row r="596" spans="1:11">
      <c r="A596">
        <v>24310</v>
      </c>
      <c r="B596" t="s">
        <v>1075</v>
      </c>
      <c r="C596" t="s">
        <v>1076</v>
      </c>
      <c r="E596" t="s">
        <v>401</v>
      </c>
      <c r="F596">
        <v>16</v>
      </c>
      <c r="G596">
        <v>1990</v>
      </c>
      <c r="H596">
        <v>73</v>
      </c>
      <c r="I596">
        <v>25.875</v>
      </c>
      <c r="J596">
        <v>1885.7739999999999</v>
      </c>
      <c r="K596">
        <v>675</v>
      </c>
    </row>
    <row r="597" spans="1:11">
      <c r="A597">
        <v>20530</v>
      </c>
      <c r="B597" t="s">
        <v>1077</v>
      </c>
      <c r="C597" t="s">
        <v>486</v>
      </c>
      <c r="D597" t="s">
        <v>262</v>
      </c>
      <c r="E597" t="s">
        <v>365</v>
      </c>
      <c r="F597">
        <v>86</v>
      </c>
      <c r="G597">
        <v>1980</v>
      </c>
      <c r="H597">
        <v>837</v>
      </c>
      <c r="I597">
        <v>0</v>
      </c>
      <c r="J597">
        <v>0</v>
      </c>
      <c r="K597">
        <v>0</v>
      </c>
    </row>
    <row r="598" spans="1:11">
      <c r="A598">
        <v>10026</v>
      </c>
      <c r="B598" t="s">
        <v>1078</v>
      </c>
      <c r="C598" t="s">
        <v>394</v>
      </c>
      <c r="E598" t="s">
        <v>170</v>
      </c>
      <c r="F598">
        <v>67</v>
      </c>
      <c r="G598">
        <v>1962</v>
      </c>
      <c r="H598">
        <v>341</v>
      </c>
      <c r="I598">
        <v>3.25</v>
      </c>
      <c r="J598">
        <v>277.93299999999999</v>
      </c>
      <c r="K598">
        <v>127</v>
      </c>
    </row>
    <row r="599" spans="1:11">
      <c r="A599">
        <v>17063</v>
      </c>
      <c r="B599" t="s">
        <v>1078</v>
      </c>
      <c r="C599" t="s">
        <v>1079</v>
      </c>
      <c r="D599" t="s">
        <v>397</v>
      </c>
      <c r="E599" t="s">
        <v>413</v>
      </c>
      <c r="F599">
        <v>94</v>
      </c>
      <c r="G599">
        <v>2004</v>
      </c>
      <c r="H599">
        <v>838</v>
      </c>
      <c r="I599">
        <v>0</v>
      </c>
      <c r="J599">
        <v>0</v>
      </c>
      <c r="K599">
        <v>0</v>
      </c>
    </row>
    <row r="600" spans="1:11">
      <c r="A600">
        <v>15093</v>
      </c>
      <c r="B600" t="s">
        <v>1078</v>
      </c>
      <c r="C600" t="s">
        <v>458</v>
      </c>
      <c r="E600" t="s">
        <v>142</v>
      </c>
      <c r="F600">
        <v>20</v>
      </c>
      <c r="G600">
        <v>1969</v>
      </c>
      <c r="H600">
        <v>436</v>
      </c>
      <c r="I600">
        <v>3.2970000000000002</v>
      </c>
      <c r="J600">
        <v>151.114</v>
      </c>
      <c r="K600">
        <v>0</v>
      </c>
    </row>
    <row r="601" spans="1:11">
      <c r="A601">
        <v>17024</v>
      </c>
      <c r="B601" t="s">
        <v>1080</v>
      </c>
      <c r="C601" t="s">
        <v>1081</v>
      </c>
      <c r="E601" t="s">
        <v>630</v>
      </c>
      <c r="F601">
        <v>82</v>
      </c>
      <c r="G601">
        <v>1967</v>
      </c>
      <c r="H601">
        <v>607</v>
      </c>
      <c r="I601">
        <v>0.71899999999999997</v>
      </c>
      <c r="J601">
        <v>24.006</v>
      </c>
      <c r="K601">
        <v>0</v>
      </c>
    </row>
    <row r="602" spans="1:11">
      <c r="A602">
        <v>21829</v>
      </c>
      <c r="B602" t="s">
        <v>1082</v>
      </c>
      <c r="C602" t="s">
        <v>1083</v>
      </c>
      <c r="D602" t="s">
        <v>262</v>
      </c>
      <c r="E602" t="s">
        <v>310</v>
      </c>
      <c r="F602">
        <v>36</v>
      </c>
      <c r="G602">
        <v>1954</v>
      </c>
      <c r="H602">
        <v>839</v>
      </c>
      <c r="I602">
        <v>0</v>
      </c>
      <c r="J602">
        <v>0</v>
      </c>
      <c r="K602">
        <v>0</v>
      </c>
    </row>
    <row r="603" spans="1:11">
      <c r="A603">
        <v>16043</v>
      </c>
      <c r="B603" t="s">
        <v>1084</v>
      </c>
      <c r="C603" t="s">
        <v>783</v>
      </c>
      <c r="D603" t="s">
        <v>262</v>
      </c>
      <c r="E603" t="s">
        <v>376</v>
      </c>
      <c r="F603">
        <v>70</v>
      </c>
      <c r="G603">
        <v>1939</v>
      </c>
      <c r="H603">
        <v>840</v>
      </c>
      <c r="I603">
        <v>0</v>
      </c>
      <c r="J603">
        <v>0</v>
      </c>
      <c r="K603">
        <v>0</v>
      </c>
    </row>
    <row r="604" spans="1:11">
      <c r="A604">
        <v>11018</v>
      </c>
      <c r="B604" t="s">
        <v>1085</v>
      </c>
      <c r="C604" t="s">
        <v>375</v>
      </c>
      <c r="E604" t="s">
        <v>650</v>
      </c>
      <c r="F604">
        <v>45</v>
      </c>
      <c r="G604">
        <v>1947</v>
      </c>
      <c r="H604">
        <v>219</v>
      </c>
      <c r="I604">
        <v>15.813000000000001</v>
      </c>
      <c r="J604">
        <v>658.28700000000003</v>
      </c>
      <c r="K604">
        <v>90</v>
      </c>
    </row>
    <row r="605" spans="1:11">
      <c r="A605">
        <v>15061</v>
      </c>
      <c r="B605" t="s">
        <v>1085</v>
      </c>
      <c r="C605" t="s">
        <v>414</v>
      </c>
      <c r="E605" t="s">
        <v>725</v>
      </c>
      <c r="F605">
        <v>7</v>
      </c>
      <c r="G605">
        <v>1972</v>
      </c>
      <c r="H605">
        <v>841</v>
      </c>
      <c r="I605">
        <v>0</v>
      </c>
      <c r="J605">
        <v>0</v>
      </c>
      <c r="K605">
        <v>0</v>
      </c>
    </row>
    <row r="606" spans="1:11">
      <c r="A606">
        <v>27014</v>
      </c>
      <c r="B606" t="s">
        <v>1085</v>
      </c>
      <c r="C606" t="s">
        <v>458</v>
      </c>
      <c r="E606" t="s">
        <v>432</v>
      </c>
      <c r="F606">
        <v>2</v>
      </c>
      <c r="G606">
        <v>1953</v>
      </c>
      <c r="H606">
        <v>842</v>
      </c>
      <c r="I606">
        <v>0</v>
      </c>
      <c r="J606">
        <v>0</v>
      </c>
      <c r="K606">
        <v>0</v>
      </c>
    </row>
    <row r="607" spans="1:11">
      <c r="A607">
        <v>18053</v>
      </c>
      <c r="B607" t="s">
        <v>1086</v>
      </c>
      <c r="C607" t="s">
        <v>1087</v>
      </c>
      <c r="D607" t="s">
        <v>262</v>
      </c>
      <c r="E607" t="s">
        <v>645</v>
      </c>
      <c r="F607">
        <v>56</v>
      </c>
      <c r="G607">
        <v>1967</v>
      </c>
      <c r="H607">
        <v>292</v>
      </c>
      <c r="I607">
        <v>8.8759999999999994</v>
      </c>
      <c r="J607">
        <v>388.74200000000002</v>
      </c>
      <c r="K607">
        <v>84</v>
      </c>
    </row>
    <row r="608" spans="1:11">
      <c r="A608">
        <v>16125</v>
      </c>
      <c r="B608" t="s">
        <v>1088</v>
      </c>
      <c r="C608" t="s">
        <v>675</v>
      </c>
      <c r="E608" t="s">
        <v>148</v>
      </c>
      <c r="F608">
        <v>1</v>
      </c>
      <c r="G608">
        <v>1996</v>
      </c>
      <c r="H608">
        <v>284</v>
      </c>
      <c r="I608">
        <v>6.3140000000000001</v>
      </c>
      <c r="J608">
        <v>421.92599999999999</v>
      </c>
      <c r="K608">
        <v>136</v>
      </c>
    </row>
    <row r="609" spans="1:11">
      <c r="A609">
        <v>19040</v>
      </c>
      <c r="B609" t="s">
        <v>1089</v>
      </c>
      <c r="C609" t="s">
        <v>395</v>
      </c>
      <c r="E609" t="s">
        <v>630</v>
      </c>
      <c r="F609">
        <v>82</v>
      </c>
      <c r="G609">
        <v>1975</v>
      </c>
      <c r="H609">
        <v>407</v>
      </c>
      <c r="I609">
        <v>3.7509999999999999</v>
      </c>
      <c r="J609">
        <v>186.07499999999999</v>
      </c>
      <c r="K609">
        <v>43</v>
      </c>
    </row>
    <row r="610" spans="1:11">
      <c r="A610">
        <v>10058</v>
      </c>
      <c r="B610" t="s">
        <v>1090</v>
      </c>
      <c r="C610" t="s">
        <v>1001</v>
      </c>
      <c r="E610" t="s">
        <v>300</v>
      </c>
      <c r="F610">
        <v>30</v>
      </c>
      <c r="G610">
        <v>1977</v>
      </c>
      <c r="H610">
        <v>186</v>
      </c>
      <c r="I610">
        <v>18.844000000000001</v>
      </c>
      <c r="J610">
        <v>843.17</v>
      </c>
      <c r="K610">
        <v>144</v>
      </c>
    </row>
    <row r="611" spans="1:11">
      <c r="A611">
        <v>20561</v>
      </c>
      <c r="B611" t="s">
        <v>1091</v>
      </c>
      <c r="C611" t="s">
        <v>1092</v>
      </c>
      <c r="D611" t="s">
        <v>397</v>
      </c>
      <c r="E611" t="s">
        <v>413</v>
      </c>
      <c r="F611">
        <v>94</v>
      </c>
      <c r="G611">
        <v>2008</v>
      </c>
      <c r="H611">
        <v>843</v>
      </c>
      <c r="I611">
        <v>0</v>
      </c>
      <c r="J611">
        <v>0</v>
      </c>
      <c r="K611">
        <v>0</v>
      </c>
    </row>
    <row r="612" spans="1:11">
      <c r="A612">
        <v>13066</v>
      </c>
      <c r="B612" t="s">
        <v>1091</v>
      </c>
      <c r="C612" t="s">
        <v>416</v>
      </c>
      <c r="E612" t="s">
        <v>645</v>
      </c>
      <c r="F612">
        <v>56</v>
      </c>
      <c r="G612">
        <v>1967</v>
      </c>
      <c r="H612">
        <v>469</v>
      </c>
      <c r="I612">
        <v>2.875</v>
      </c>
      <c r="J612">
        <v>112.27</v>
      </c>
      <c r="K612">
        <v>0</v>
      </c>
    </row>
    <row r="613" spans="1:11">
      <c r="A613">
        <v>18066</v>
      </c>
      <c r="B613" t="s">
        <v>1093</v>
      </c>
      <c r="C613" t="s">
        <v>384</v>
      </c>
      <c r="E613" t="s">
        <v>248</v>
      </c>
      <c r="F613">
        <v>88</v>
      </c>
      <c r="G613">
        <v>1969</v>
      </c>
      <c r="H613">
        <v>128</v>
      </c>
      <c r="I613">
        <v>19.096</v>
      </c>
      <c r="J613">
        <v>1236.6389999999999</v>
      </c>
      <c r="K613">
        <v>453</v>
      </c>
    </row>
    <row r="614" spans="1:11">
      <c r="A614">
        <v>18072</v>
      </c>
      <c r="B614" t="s">
        <v>1093</v>
      </c>
      <c r="C614" t="s">
        <v>381</v>
      </c>
      <c r="D614" t="s">
        <v>397</v>
      </c>
      <c r="E614" t="s">
        <v>248</v>
      </c>
      <c r="F614">
        <v>88</v>
      </c>
      <c r="G614">
        <v>2005</v>
      </c>
      <c r="H614">
        <v>187</v>
      </c>
      <c r="I614">
        <v>14.813000000000001</v>
      </c>
      <c r="J614">
        <v>835.07799999999997</v>
      </c>
      <c r="K614">
        <v>241</v>
      </c>
    </row>
    <row r="615" spans="1:11">
      <c r="A615">
        <v>23021</v>
      </c>
      <c r="B615" t="s">
        <v>1094</v>
      </c>
      <c r="C615" t="s">
        <v>375</v>
      </c>
      <c r="E615" t="s">
        <v>324</v>
      </c>
      <c r="F615">
        <v>43</v>
      </c>
      <c r="G615">
        <v>1958</v>
      </c>
      <c r="H615">
        <v>15</v>
      </c>
      <c r="I615">
        <v>40.5</v>
      </c>
      <c r="J615">
        <v>2987.7069999999999</v>
      </c>
      <c r="K615">
        <v>1161</v>
      </c>
    </row>
    <row r="616" spans="1:11">
      <c r="A616">
        <v>96022</v>
      </c>
      <c r="B616" t="s">
        <v>1095</v>
      </c>
      <c r="C616" t="s">
        <v>1096</v>
      </c>
      <c r="E616" t="s">
        <v>157</v>
      </c>
      <c r="F616">
        <v>10</v>
      </c>
      <c r="G616">
        <v>1950</v>
      </c>
      <c r="H616">
        <v>474</v>
      </c>
      <c r="I616">
        <v>3.4380000000000002</v>
      </c>
      <c r="J616">
        <v>105.625</v>
      </c>
      <c r="K616">
        <v>0</v>
      </c>
    </row>
    <row r="617" spans="1:11">
      <c r="A617">
        <v>96021</v>
      </c>
      <c r="B617" t="s">
        <v>1097</v>
      </c>
      <c r="C617" t="s">
        <v>1098</v>
      </c>
      <c r="D617" t="s">
        <v>262</v>
      </c>
      <c r="E617" t="s">
        <v>157</v>
      </c>
      <c r="F617">
        <v>10</v>
      </c>
      <c r="G617">
        <v>1954</v>
      </c>
      <c r="H617">
        <v>475</v>
      </c>
      <c r="I617">
        <v>3.4380000000000002</v>
      </c>
      <c r="J617">
        <v>105.625</v>
      </c>
      <c r="K617">
        <v>0</v>
      </c>
    </row>
    <row r="618" spans="1:11">
      <c r="A618">
        <v>12010</v>
      </c>
      <c r="B618" t="s">
        <v>1099</v>
      </c>
      <c r="C618" t="s">
        <v>416</v>
      </c>
      <c r="E618" t="s">
        <v>684</v>
      </c>
      <c r="F618">
        <v>93</v>
      </c>
      <c r="G618">
        <v>1946</v>
      </c>
      <c r="H618">
        <v>155</v>
      </c>
      <c r="I618">
        <v>18.158000000000001</v>
      </c>
      <c r="J618">
        <v>1094.5170000000001</v>
      </c>
      <c r="K618">
        <v>353</v>
      </c>
    </row>
    <row r="619" spans="1:11">
      <c r="A619">
        <v>25073</v>
      </c>
      <c r="B619" t="s">
        <v>1100</v>
      </c>
      <c r="C619" t="s">
        <v>488</v>
      </c>
      <c r="E619" t="s">
        <v>116</v>
      </c>
      <c r="F619">
        <v>19</v>
      </c>
      <c r="G619">
        <v>1980</v>
      </c>
      <c r="H619">
        <v>844</v>
      </c>
      <c r="I619">
        <v>0</v>
      </c>
      <c r="J619">
        <v>0</v>
      </c>
      <c r="K619">
        <v>0</v>
      </c>
    </row>
    <row r="620" spans="1:11">
      <c r="A620">
        <v>15065</v>
      </c>
      <c r="B620" t="s">
        <v>1101</v>
      </c>
      <c r="C620" t="s">
        <v>416</v>
      </c>
      <c r="E620" t="s">
        <v>392</v>
      </c>
      <c r="F620">
        <v>51</v>
      </c>
      <c r="G620">
        <v>1963</v>
      </c>
      <c r="H620">
        <v>81</v>
      </c>
      <c r="I620">
        <v>24.782</v>
      </c>
      <c r="J620">
        <v>1767.509</v>
      </c>
      <c r="K620">
        <v>824</v>
      </c>
    </row>
    <row r="621" spans="1:11">
      <c r="A621">
        <v>14024</v>
      </c>
      <c r="B621" t="s">
        <v>1102</v>
      </c>
      <c r="C621" t="s">
        <v>1016</v>
      </c>
      <c r="D621" t="s">
        <v>262</v>
      </c>
      <c r="E621" t="s">
        <v>976</v>
      </c>
      <c r="F621">
        <v>80</v>
      </c>
      <c r="G621">
        <v>1973</v>
      </c>
      <c r="H621">
        <v>8</v>
      </c>
      <c r="I621">
        <v>40.125</v>
      </c>
      <c r="J621">
        <v>3353.038</v>
      </c>
      <c r="K621">
        <v>1590</v>
      </c>
    </row>
    <row r="622" spans="1:11">
      <c r="A622">
        <v>19046</v>
      </c>
      <c r="B622" t="s">
        <v>1103</v>
      </c>
      <c r="C622" t="s">
        <v>1104</v>
      </c>
      <c r="E622" t="s">
        <v>645</v>
      </c>
      <c r="F622">
        <v>56</v>
      </c>
      <c r="G622">
        <v>1996</v>
      </c>
      <c r="H622">
        <v>544</v>
      </c>
      <c r="I622">
        <v>1.7809999999999999</v>
      </c>
      <c r="J622">
        <v>60.91</v>
      </c>
      <c r="K622">
        <v>0</v>
      </c>
    </row>
    <row r="623" spans="1:11">
      <c r="A623">
        <v>16082</v>
      </c>
      <c r="B623" t="s">
        <v>1105</v>
      </c>
      <c r="C623" t="s">
        <v>450</v>
      </c>
      <c r="E623" t="s">
        <v>524</v>
      </c>
      <c r="F623">
        <v>87</v>
      </c>
      <c r="G623">
        <v>1946</v>
      </c>
      <c r="H623">
        <v>84</v>
      </c>
      <c r="I623">
        <v>25.562999999999999</v>
      </c>
      <c r="J623">
        <v>1701.201</v>
      </c>
      <c r="K623">
        <v>678</v>
      </c>
    </row>
    <row r="624" spans="1:11">
      <c r="A624">
        <v>16083</v>
      </c>
      <c r="B624" t="s">
        <v>1106</v>
      </c>
      <c r="C624" t="s">
        <v>434</v>
      </c>
      <c r="D624" t="s">
        <v>262</v>
      </c>
      <c r="E624" t="s">
        <v>524</v>
      </c>
      <c r="F624">
        <v>87</v>
      </c>
      <c r="G624">
        <v>1946</v>
      </c>
      <c r="H624">
        <v>502</v>
      </c>
      <c r="I624">
        <v>1.734</v>
      </c>
      <c r="J624">
        <v>83.31</v>
      </c>
      <c r="K624">
        <v>0</v>
      </c>
    </row>
    <row r="625" spans="1:11">
      <c r="A625">
        <v>18073</v>
      </c>
      <c r="B625" t="s">
        <v>1107</v>
      </c>
      <c r="C625" t="s">
        <v>404</v>
      </c>
      <c r="E625" t="s">
        <v>248</v>
      </c>
      <c r="F625">
        <v>88</v>
      </c>
      <c r="G625">
        <v>1982</v>
      </c>
      <c r="H625">
        <v>845</v>
      </c>
      <c r="I625">
        <v>0</v>
      </c>
      <c r="J625">
        <v>0</v>
      </c>
      <c r="K625">
        <v>0</v>
      </c>
    </row>
    <row r="626" spans="1:11">
      <c r="A626">
        <v>18101</v>
      </c>
      <c r="B626" t="s">
        <v>1108</v>
      </c>
      <c r="C626" t="s">
        <v>618</v>
      </c>
      <c r="D626" t="s">
        <v>262</v>
      </c>
      <c r="E626" t="s">
        <v>248</v>
      </c>
      <c r="F626">
        <v>88</v>
      </c>
      <c r="G626">
        <v>1984</v>
      </c>
      <c r="H626">
        <v>846</v>
      </c>
      <c r="I626">
        <v>0</v>
      </c>
      <c r="J626">
        <v>0</v>
      </c>
      <c r="K626">
        <v>0</v>
      </c>
    </row>
    <row r="627" spans="1:11">
      <c r="A627">
        <v>16044</v>
      </c>
      <c r="B627" t="s">
        <v>1109</v>
      </c>
      <c r="C627" t="s">
        <v>545</v>
      </c>
      <c r="D627" t="s">
        <v>262</v>
      </c>
      <c r="E627" t="s">
        <v>376</v>
      </c>
      <c r="F627">
        <v>70</v>
      </c>
      <c r="G627">
        <v>1947</v>
      </c>
      <c r="H627">
        <v>847</v>
      </c>
      <c r="I627">
        <v>0</v>
      </c>
      <c r="J627">
        <v>0</v>
      </c>
      <c r="K627">
        <v>0</v>
      </c>
    </row>
    <row r="628" spans="1:11">
      <c r="A628">
        <v>29052</v>
      </c>
      <c r="B628" t="s">
        <v>1110</v>
      </c>
      <c r="C628" t="s">
        <v>444</v>
      </c>
      <c r="E628" t="s">
        <v>130</v>
      </c>
      <c r="F628">
        <v>64</v>
      </c>
      <c r="G628">
        <v>1973</v>
      </c>
      <c r="H628">
        <v>418</v>
      </c>
      <c r="I628">
        <v>4.1879999999999997</v>
      </c>
      <c r="J628">
        <v>173.827</v>
      </c>
      <c r="K628">
        <v>30</v>
      </c>
    </row>
    <row r="629" spans="1:11">
      <c r="A629">
        <v>19008</v>
      </c>
      <c r="B629" t="s">
        <v>1111</v>
      </c>
      <c r="C629" t="s">
        <v>381</v>
      </c>
      <c r="E629" t="s">
        <v>368</v>
      </c>
      <c r="F629">
        <v>81</v>
      </c>
      <c r="G629">
        <v>1981</v>
      </c>
      <c r="H629">
        <v>598</v>
      </c>
      <c r="I629">
        <v>0.90600000000000003</v>
      </c>
      <c r="J629">
        <v>30.497</v>
      </c>
      <c r="K629">
        <v>0</v>
      </c>
    </row>
    <row r="630" spans="1:11">
      <c r="A630">
        <v>15049</v>
      </c>
      <c r="B630" t="s">
        <v>1112</v>
      </c>
      <c r="C630" t="s">
        <v>364</v>
      </c>
      <c r="E630" t="s">
        <v>306</v>
      </c>
      <c r="F630">
        <v>33</v>
      </c>
      <c r="G630">
        <v>1953</v>
      </c>
      <c r="H630">
        <v>404</v>
      </c>
      <c r="I630">
        <v>4.7039999999999997</v>
      </c>
      <c r="J630">
        <v>189.077</v>
      </c>
      <c r="K630">
        <v>15</v>
      </c>
    </row>
    <row r="631" spans="1:11">
      <c r="A631">
        <v>12036</v>
      </c>
      <c r="B631" t="s">
        <v>1113</v>
      </c>
      <c r="C631" t="s">
        <v>391</v>
      </c>
      <c r="E631" t="s">
        <v>440</v>
      </c>
      <c r="F631">
        <v>73</v>
      </c>
      <c r="G631">
        <v>1939</v>
      </c>
      <c r="H631">
        <v>848</v>
      </c>
      <c r="I631">
        <v>0</v>
      </c>
      <c r="J631">
        <v>0</v>
      </c>
      <c r="K631">
        <v>0</v>
      </c>
    </row>
    <row r="632" spans="1:11">
      <c r="A632">
        <v>98432</v>
      </c>
      <c r="B632" t="s">
        <v>1114</v>
      </c>
      <c r="C632" t="s">
        <v>416</v>
      </c>
      <c r="E632" t="s">
        <v>153</v>
      </c>
      <c r="F632">
        <v>42</v>
      </c>
      <c r="G632">
        <v>1946</v>
      </c>
      <c r="H632">
        <v>849</v>
      </c>
      <c r="I632">
        <v>0</v>
      </c>
      <c r="J632">
        <v>0</v>
      </c>
      <c r="K632">
        <v>0</v>
      </c>
    </row>
    <row r="633" spans="1:11">
      <c r="A633">
        <v>15074</v>
      </c>
      <c r="B633" t="s">
        <v>1115</v>
      </c>
      <c r="C633" t="s">
        <v>372</v>
      </c>
      <c r="E633" t="s">
        <v>417</v>
      </c>
      <c r="F633">
        <v>69</v>
      </c>
      <c r="G633">
        <v>1975</v>
      </c>
      <c r="H633">
        <v>275</v>
      </c>
      <c r="I633">
        <v>6.3129999999999997</v>
      </c>
      <c r="J633">
        <v>444.71300000000002</v>
      </c>
      <c r="K633">
        <v>196</v>
      </c>
    </row>
    <row r="634" spans="1:11">
      <c r="A634">
        <v>15079</v>
      </c>
      <c r="B634" t="s">
        <v>1116</v>
      </c>
      <c r="C634" t="s">
        <v>407</v>
      </c>
      <c r="E634" t="s">
        <v>151</v>
      </c>
      <c r="F634">
        <v>13</v>
      </c>
      <c r="G634">
        <v>1982</v>
      </c>
      <c r="H634">
        <v>497</v>
      </c>
      <c r="I634">
        <v>3.5</v>
      </c>
      <c r="J634">
        <v>86.103999999999999</v>
      </c>
      <c r="K634">
        <v>0</v>
      </c>
    </row>
    <row r="635" spans="1:11">
      <c r="A635">
        <v>18050</v>
      </c>
      <c r="B635" t="s">
        <v>1117</v>
      </c>
      <c r="C635" t="s">
        <v>444</v>
      </c>
      <c r="D635" t="s">
        <v>397</v>
      </c>
      <c r="E635" t="s">
        <v>392</v>
      </c>
      <c r="F635">
        <v>51</v>
      </c>
      <c r="G635">
        <v>2005</v>
      </c>
      <c r="H635">
        <v>850</v>
      </c>
      <c r="I635">
        <v>0</v>
      </c>
      <c r="J635">
        <v>0</v>
      </c>
      <c r="K635">
        <v>0</v>
      </c>
    </row>
    <row r="636" spans="1:11">
      <c r="A636">
        <v>10060</v>
      </c>
      <c r="B636" t="s">
        <v>1118</v>
      </c>
      <c r="C636" t="s">
        <v>473</v>
      </c>
      <c r="D636" t="s">
        <v>262</v>
      </c>
      <c r="E636" t="s">
        <v>455</v>
      </c>
      <c r="F636">
        <v>62</v>
      </c>
      <c r="G636">
        <v>1979</v>
      </c>
      <c r="H636">
        <v>851</v>
      </c>
      <c r="I636">
        <v>0</v>
      </c>
      <c r="J636">
        <v>0</v>
      </c>
      <c r="K636">
        <v>0</v>
      </c>
    </row>
    <row r="637" spans="1:11">
      <c r="A637">
        <v>96056</v>
      </c>
      <c r="B637" t="s">
        <v>1119</v>
      </c>
      <c r="C637" t="s">
        <v>452</v>
      </c>
      <c r="E637" t="s">
        <v>151</v>
      </c>
      <c r="F637">
        <v>13</v>
      </c>
      <c r="G637">
        <v>1952</v>
      </c>
      <c r="H637">
        <v>852</v>
      </c>
      <c r="I637">
        <v>0</v>
      </c>
      <c r="J637">
        <v>0</v>
      </c>
      <c r="K637">
        <v>0</v>
      </c>
    </row>
    <row r="638" spans="1:11">
      <c r="A638">
        <v>19067</v>
      </c>
      <c r="B638" t="s">
        <v>1120</v>
      </c>
      <c r="C638" t="s">
        <v>384</v>
      </c>
      <c r="E638" t="s">
        <v>432</v>
      </c>
      <c r="F638">
        <v>2</v>
      </c>
      <c r="G638">
        <v>1963</v>
      </c>
      <c r="H638">
        <v>465</v>
      </c>
      <c r="I638">
        <v>2.7810000000000001</v>
      </c>
      <c r="J638">
        <v>116.673</v>
      </c>
      <c r="K638">
        <v>0</v>
      </c>
    </row>
    <row r="639" spans="1:11">
      <c r="A639">
        <v>24239</v>
      </c>
      <c r="B639" t="s">
        <v>1121</v>
      </c>
      <c r="C639" t="s">
        <v>583</v>
      </c>
      <c r="D639" t="s">
        <v>262</v>
      </c>
      <c r="E639" t="s">
        <v>205</v>
      </c>
      <c r="F639">
        <v>17</v>
      </c>
      <c r="G639">
        <v>1975</v>
      </c>
      <c r="H639">
        <v>853</v>
      </c>
      <c r="I639">
        <v>0</v>
      </c>
      <c r="J639">
        <v>0</v>
      </c>
      <c r="K639">
        <v>0</v>
      </c>
    </row>
    <row r="640" spans="1:11">
      <c r="A640">
        <v>97240</v>
      </c>
      <c r="B640" t="s">
        <v>1122</v>
      </c>
      <c r="C640" t="s">
        <v>450</v>
      </c>
      <c r="E640" t="s">
        <v>432</v>
      </c>
      <c r="F640">
        <v>2</v>
      </c>
      <c r="G640">
        <v>1950</v>
      </c>
      <c r="H640">
        <v>277</v>
      </c>
      <c r="I640">
        <v>6.0629999999999997</v>
      </c>
      <c r="J640">
        <v>440.84399999999999</v>
      </c>
      <c r="K640">
        <v>162</v>
      </c>
    </row>
    <row r="641" spans="1:11">
      <c r="A641">
        <v>98480</v>
      </c>
      <c r="B641" t="s">
        <v>1123</v>
      </c>
      <c r="C641" t="s">
        <v>486</v>
      </c>
      <c r="D641" t="s">
        <v>262</v>
      </c>
      <c r="E641" t="s">
        <v>142</v>
      </c>
      <c r="F641">
        <v>20</v>
      </c>
      <c r="G641">
        <v>1958</v>
      </c>
      <c r="H641">
        <v>337</v>
      </c>
      <c r="I641">
        <v>3.234</v>
      </c>
      <c r="J641">
        <v>288.52199999999999</v>
      </c>
      <c r="K641">
        <v>131</v>
      </c>
    </row>
    <row r="642" spans="1:11">
      <c r="A642">
        <v>98418</v>
      </c>
      <c r="B642" t="s">
        <v>1124</v>
      </c>
      <c r="C642" t="s">
        <v>394</v>
      </c>
      <c r="E642" t="s">
        <v>130</v>
      </c>
      <c r="F642">
        <v>64</v>
      </c>
      <c r="G642">
        <v>1952</v>
      </c>
      <c r="H642">
        <v>854</v>
      </c>
      <c r="I642">
        <v>0</v>
      </c>
      <c r="J642">
        <v>0</v>
      </c>
      <c r="K642">
        <v>0</v>
      </c>
    </row>
    <row r="643" spans="1:11">
      <c r="A643">
        <v>10027</v>
      </c>
      <c r="B643" t="s">
        <v>1125</v>
      </c>
      <c r="C643" t="s">
        <v>394</v>
      </c>
      <c r="E643" t="s">
        <v>170</v>
      </c>
      <c r="F643">
        <v>67</v>
      </c>
      <c r="G643">
        <v>1954</v>
      </c>
      <c r="H643">
        <v>360</v>
      </c>
      <c r="I643">
        <v>5.25</v>
      </c>
      <c r="J643">
        <v>258.97199999999998</v>
      </c>
      <c r="K643">
        <v>104</v>
      </c>
    </row>
    <row r="644" spans="1:11">
      <c r="A644">
        <v>18054</v>
      </c>
      <c r="B644" t="s">
        <v>1126</v>
      </c>
      <c r="C644" t="s">
        <v>518</v>
      </c>
      <c r="E644" t="s">
        <v>373</v>
      </c>
      <c r="F644">
        <v>79</v>
      </c>
      <c r="G644">
        <v>1978</v>
      </c>
      <c r="H644">
        <v>855</v>
      </c>
      <c r="I644">
        <v>0</v>
      </c>
      <c r="J644">
        <v>0</v>
      </c>
      <c r="K644">
        <v>0</v>
      </c>
    </row>
    <row r="645" spans="1:11">
      <c r="A645">
        <v>15043</v>
      </c>
      <c r="B645" t="s">
        <v>1127</v>
      </c>
      <c r="C645" t="s">
        <v>1098</v>
      </c>
      <c r="D645" t="s">
        <v>262</v>
      </c>
      <c r="E645" t="s">
        <v>392</v>
      </c>
      <c r="F645">
        <v>51</v>
      </c>
      <c r="G645">
        <v>1948</v>
      </c>
      <c r="H645">
        <v>172</v>
      </c>
      <c r="I645">
        <v>11.641999999999999</v>
      </c>
      <c r="J645">
        <v>949.03300000000002</v>
      </c>
      <c r="K645">
        <v>428</v>
      </c>
    </row>
    <row r="646" spans="1:11">
      <c r="A646">
        <v>21836</v>
      </c>
      <c r="B646" t="s">
        <v>1128</v>
      </c>
      <c r="C646" t="s">
        <v>395</v>
      </c>
      <c r="E646" t="s">
        <v>543</v>
      </c>
      <c r="F646">
        <v>54</v>
      </c>
      <c r="G646">
        <v>1963</v>
      </c>
      <c r="H646">
        <v>109</v>
      </c>
      <c r="I646">
        <v>17.329999999999998</v>
      </c>
      <c r="J646">
        <v>1404.079</v>
      </c>
      <c r="K646">
        <v>635</v>
      </c>
    </row>
    <row r="647" spans="1:11">
      <c r="A647">
        <v>28001</v>
      </c>
      <c r="B647" t="s">
        <v>1129</v>
      </c>
      <c r="C647" t="s">
        <v>779</v>
      </c>
      <c r="D647" t="s">
        <v>262</v>
      </c>
      <c r="E647" t="s">
        <v>543</v>
      </c>
      <c r="F647">
        <v>54</v>
      </c>
      <c r="G647">
        <v>1965</v>
      </c>
      <c r="H647">
        <v>134</v>
      </c>
      <c r="I647">
        <v>13.518000000000001</v>
      </c>
      <c r="J647">
        <v>1191.4490000000001</v>
      </c>
      <c r="K647">
        <v>557</v>
      </c>
    </row>
    <row r="648" spans="1:11">
      <c r="A648">
        <v>12042</v>
      </c>
      <c r="B648" t="s">
        <v>1130</v>
      </c>
      <c r="C648" t="s">
        <v>414</v>
      </c>
      <c r="E648" t="s">
        <v>440</v>
      </c>
      <c r="F648">
        <v>73</v>
      </c>
      <c r="G648">
        <v>1945</v>
      </c>
      <c r="H648">
        <v>96</v>
      </c>
      <c r="I648">
        <v>22.626000000000001</v>
      </c>
      <c r="J648">
        <v>1575.6010000000001</v>
      </c>
      <c r="K648">
        <v>655</v>
      </c>
    </row>
    <row r="649" spans="1:11">
      <c r="A649">
        <v>10029</v>
      </c>
      <c r="B649" t="s">
        <v>1131</v>
      </c>
      <c r="C649" t="s">
        <v>444</v>
      </c>
      <c r="E649" t="s">
        <v>170</v>
      </c>
      <c r="F649">
        <v>67</v>
      </c>
      <c r="G649">
        <v>1954</v>
      </c>
      <c r="H649">
        <v>526</v>
      </c>
      <c r="I649">
        <v>1</v>
      </c>
      <c r="J649">
        <v>68.5</v>
      </c>
      <c r="K649">
        <v>23</v>
      </c>
    </row>
    <row r="650" spans="1:11">
      <c r="A650">
        <v>19014</v>
      </c>
      <c r="B650" t="s">
        <v>1132</v>
      </c>
      <c r="C650" t="s">
        <v>688</v>
      </c>
      <c r="E650" t="s">
        <v>365</v>
      </c>
      <c r="F650">
        <v>86</v>
      </c>
      <c r="G650">
        <v>1970</v>
      </c>
      <c r="H650">
        <v>453</v>
      </c>
      <c r="I650">
        <v>2.984</v>
      </c>
      <c r="J650">
        <v>125.4</v>
      </c>
      <c r="K650">
        <v>35</v>
      </c>
    </row>
    <row r="651" spans="1:11">
      <c r="A651">
        <v>18003</v>
      </c>
      <c r="B651" t="s">
        <v>1133</v>
      </c>
      <c r="C651" t="s">
        <v>416</v>
      </c>
      <c r="E651" t="s">
        <v>365</v>
      </c>
      <c r="F651">
        <v>86</v>
      </c>
      <c r="G651">
        <v>1996</v>
      </c>
      <c r="H651">
        <v>397</v>
      </c>
      <c r="I651">
        <v>4.8899999999999997</v>
      </c>
      <c r="J651">
        <v>199.38800000000001</v>
      </c>
      <c r="K651">
        <v>35</v>
      </c>
    </row>
    <row r="652" spans="1:11">
      <c r="A652">
        <v>17087</v>
      </c>
      <c r="B652" t="s">
        <v>1134</v>
      </c>
      <c r="C652" t="s">
        <v>608</v>
      </c>
      <c r="E652" t="s">
        <v>365</v>
      </c>
      <c r="F652">
        <v>86</v>
      </c>
      <c r="G652">
        <v>2000</v>
      </c>
      <c r="H652">
        <v>856</v>
      </c>
      <c r="I652">
        <v>0</v>
      </c>
      <c r="J652">
        <v>0</v>
      </c>
      <c r="K652">
        <v>0</v>
      </c>
    </row>
    <row r="653" spans="1:11">
      <c r="A653">
        <v>96229</v>
      </c>
      <c r="B653" t="s">
        <v>1135</v>
      </c>
      <c r="C653" t="s">
        <v>458</v>
      </c>
      <c r="E653" t="s">
        <v>465</v>
      </c>
      <c r="F653">
        <v>28</v>
      </c>
      <c r="G653">
        <v>1959</v>
      </c>
      <c r="H653">
        <v>857</v>
      </c>
      <c r="I653">
        <v>0</v>
      </c>
      <c r="J653">
        <v>0</v>
      </c>
      <c r="K653">
        <v>0</v>
      </c>
    </row>
    <row r="654" spans="1:11">
      <c r="A654">
        <v>21768</v>
      </c>
      <c r="B654" t="s">
        <v>1136</v>
      </c>
      <c r="C654" t="s">
        <v>414</v>
      </c>
      <c r="E654" t="s">
        <v>116</v>
      </c>
      <c r="F654">
        <v>19</v>
      </c>
      <c r="G654">
        <v>1963</v>
      </c>
      <c r="H654">
        <v>149</v>
      </c>
      <c r="I654">
        <v>16.032</v>
      </c>
      <c r="J654">
        <v>1108.125</v>
      </c>
      <c r="K654">
        <v>474</v>
      </c>
    </row>
    <row r="655" spans="1:11">
      <c r="A655">
        <v>23072</v>
      </c>
      <c r="B655" t="s">
        <v>1137</v>
      </c>
      <c r="C655" t="s">
        <v>872</v>
      </c>
      <c r="D655" t="s">
        <v>262</v>
      </c>
      <c r="E655" t="s">
        <v>116</v>
      </c>
      <c r="F655">
        <v>19</v>
      </c>
      <c r="G655">
        <v>1966</v>
      </c>
      <c r="H655">
        <v>254</v>
      </c>
      <c r="I655">
        <v>6.3440000000000003</v>
      </c>
      <c r="J655">
        <v>493.673</v>
      </c>
      <c r="K655">
        <v>223</v>
      </c>
    </row>
    <row r="656" spans="1:11">
      <c r="A656">
        <v>19055</v>
      </c>
      <c r="B656" t="s">
        <v>1138</v>
      </c>
      <c r="C656" t="s">
        <v>1139</v>
      </c>
      <c r="D656" t="s">
        <v>262</v>
      </c>
      <c r="E656" t="s">
        <v>142</v>
      </c>
      <c r="F656">
        <v>20</v>
      </c>
      <c r="G656">
        <v>1977</v>
      </c>
      <c r="H656">
        <v>555</v>
      </c>
      <c r="I656">
        <v>1.0940000000000001</v>
      </c>
      <c r="J656">
        <v>51.244</v>
      </c>
      <c r="K656">
        <v>0</v>
      </c>
    </row>
    <row r="657" spans="1:11">
      <c r="A657">
        <v>20555</v>
      </c>
      <c r="B657" t="s">
        <v>1140</v>
      </c>
      <c r="C657" t="s">
        <v>394</v>
      </c>
      <c r="E657" t="s">
        <v>198</v>
      </c>
      <c r="F657">
        <v>21</v>
      </c>
      <c r="G657">
        <v>1949</v>
      </c>
      <c r="H657">
        <v>858</v>
      </c>
      <c r="I657">
        <v>0</v>
      </c>
      <c r="J657">
        <v>0</v>
      </c>
      <c r="K657">
        <v>0</v>
      </c>
    </row>
    <row r="658" spans="1:11">
      <c r="A658">
        <v>20545</v>
      </c>
      <c r="B658" t="s">
        <v>1141</v>
      </c>
      <c r="C658" t="s">
        <v>442</v>
      </c>
      <c r="D658" t="s">
        <v>262</v>
      </c>
      <c r="E658" t="s">
        <v>684</v>
      </c>
      <c r="F658">
        <v>93</v>
      </c>
      <c r="G658">
        <v>1960</v>
      </c>
      <c r="H658">
        <v>574</v>
      </c>
      <c r="I658">
        <v>0.875</v>
      </c>
      <c r="J658">
        <v>42.438000000000002</v>
      </c>
      <c r="K658">
        <v>0</v>
      </c>
    </row>
    <row r="659" spans="1:11">
      <c r="A659">
        <v>20503</v>
      </c>
      <c r="B659" t="s">
        <v>1141</v>
      </c>
      <c r="C659" t="s">
        <v>688</v>
      </c>
      <c r="D659" t="s">
        <v>262</v>
      </c>
      <c r="E659" t="s">
        <v>205</v>
      </c>
      <c r="F659">
        <v>17</v>
      </c>
      <c r="G659">
        <v>1996</v>
      </c>
      <c r="H659">
        <v>859</v>
      </c>
      <c r="I659">
        <v>0</v>
      </c>
      <c r="J659">
        <v>0</v>
      </c>
      <c r="K659">
        <v>0</v>
      </c>
    </row>
    <row r="660" spans="1:11">
      <c r="A660">
        <v>20546</v>
      </c>
      <c r="B660" t="s">
        <v>1142</v>
      </c>
      <c r="C660" t="s">
        <v>414</v>
      </c>
      <c r="E660" t="s">
        <v>684</v>
      </c>
      <c r="F660">
        <v>93</v>
      </c>
      <c r="G660">
        <v>1988</v>
      </c>
      <c r="H660">
        <v>860</v>
      </c>
      <c r="I660">
        <v>0</v>
      </c>
      <c r="J660">
        <v>0</v>
      </c>
      <c r="K660">
        <v>0</v>
      </c>
    </row>
    <row r="661" spans="1:11">
      <c r="A661">
        <v>11005</v>
      </c>
      <c r="B661" t="s">
        <v>1143</v>
      </c>
      <c r="C661" t="s">
        <v>555</v>
      </c>
      <c r="D661" t="s">
        <v>397</v>
      </c>
      <c r="E661" t="s">
        <v>133</v>
      </c>
      <c r="F661">
        <v>63</v>
      </c>
      <c r="G661">
        <v>2003</v>
      </c>
      <c r="H661">
        <v>305</v>
      </c>
      <c r="I661">
        <v>7.8140000000000001</v>
      </c>
      <c r="J661">
        <v>356.63</v>
      </c>
      <c r="K661">
        <v>60</v>
      </c>
    </row>
    <row r="662" spans="1:11">
      <c r="A662">
        <v>29042</v>
      </c>
      <c r="B662" t="s">
        <v>1143</v>
      </c>
      <c r="C662" t="s">
        <v>714</v>
      </c>
      <c r="E662" t="s">
        <v>133</v>
      </c>
      <c r="F662">
        <v>63</v>
      </c>
      <c r="G662">
        <v>1964</v>
      </c>
      <c r="H662">
        <v>325</v>
      </c>
      <c r="I662">
        <v>6.3150000000000004</v>
      </c>
      <c r="J662">
        <v>313.113</v>
      </c>
      <c r="K662">
        <v>60</v>
      </c>
    </row>
    <row r="663" spans="1:11">
      <c r="A663">
        <v>10046</v>
      </c>
      <c r="B663" t="s">
        <v>1144</v>
      </c>
      <c r="C663" t="s">
        <v>485</v>
      </c>
      <c r="D663" t="s">
        <v>262</v>
      </c>
      <c r="E663" t="s">
        <v>133</v>
      </c>
      <c r="F663">
        <v>63</v>
      </c>
      <c r="G663">
        <v>2001</v>
      </c>
      <c r="H663">
        <v>300</v>
      </c>
      <c r="I663">
        <v>7.5629999999999997</v>
      </c>
      <c r="J663">
        <v>369.71699999999998</v>
      </c>
      <c r="K663">
        <v>77</v>
      </c>
    </row>
    <row r="664" spans="1:11">
      <c r="A664">
        <v>19042</v>
      </c>
      <c r="B664" t="s">
        <v>1145</v>
      </c>
      <c r="C664" t="s">
        <v>1146</v>
      </c>
      <c r="D664" t="s">
        <v>511</v>
      </c>
      <c r="E664" t="s">
        <v>148</v>
      </c>
      <c r="F664">
        <v>1</v>
      </c>
      <c r="G664">
        <v>2010</v>
      </c>
      <c r="H664">
        <v>489</v>
      </c>
      <c r="I664">
        <v>2</v>
      </c>
      <c r="J664">
        <v>92.531999999999996</v>
      </c>
      <c r="K664">
        <v>0</v>
      </c>
    </row>
    <row r="665" spans="1:11">
      <c r="A665">
        <v>19069</v>
      </c>
      <c r="B665" t="s">
        <v>1145</v>
      </c>
      <c r="C665" t="s">
        <v>677</v>
      </c>
      <c r="D665" t="s">
        <v>262</v>
      </c>
      <c r="E665" t="s">
        <v>264</v>
      </c>
      <c r="F665">
        <v>6</v>
      </c>
      <c r="G665">
        <v>1952</v>
      </c>
      <c r="H665">
        <v>514</v>
      </c>
      <c r="I665">
        <v>2.0630000000000002</v>
      </c>
      <c r="J665">
        <v>73.825000000000003</v>
      </c>
      <c r="K665">
        <v>15</v>
      </c>
    </row>
    <row r="666" spans="1:11">
      <c r="A666">
        <v>21859</v>
      </c>
      <c r="B666" t="s">
        <v>1147</v>
      </c>
      <c r="C666" t="s">
        <v>384</v>
      </c>
      <c r="E666" t="s">
        <v>306</v>
      </c>
      <c r="F666">
        <v>33</v>
      </c>
      <c r="G666">
        <v>1958</v>
      </c>
      <c r="H666">
        <v>861</v>
      </c>
      <c r="I666">
        <v>0</v>
      </c>
      <c r="J666">
        <v>0</v>
      </c>
      <c r="K666">
        <v>0</v>
      </c>
    </row>
    <row r="667" spans="1:11">
      <c r="A667">
        <v>12060</v>
      </c>
      <c r="B667" t="s">
        <v>1148</v>
      </c>
      <c r="C667" t="s">
        <v>510</v>
      </c>
      <c r="D667" t="s">
        <v>262</v>
      </c>
      <c r="E667" t="s">
        <v>373</v>
      </c>
      <c r="F667">
        <v>79</v>
      </c>
      <c r="G667">
        <v>1991</v>
      </c>
      <c r="H667">
        <v>862</v>
      </c>
      <c r="I667">
        <v>0</v>
      </c>
      <c r="J667">
        <v>0</v>
      </c>
      <c r="K667">
        <v>0</v>
      </c>
    </row>
    <row r="668" spans="1:11">
      <c r="A668">
        <v>20506</v>
      </c>
      <c r="B668" t="s">
        <v>1149</v>
      </c>
      <c r="C668" t="s">
        <v>475</v>
      </c>
      <c r="E668" t="s">
        <v>306</v>
      </c>
      <c r="F668">
        <v>33</v>
      </c>
      <c r="G668">
        <v>1955</v>
      </c>
      <c r="H668">
        <v>863</v>
      </c>
      <c r="I668">
        <v>0</v>
      </c>
      <c r="J668">
        <v>0</v>
      </c>
      <c r="K668">
        <v>0</v>
      </c>
    </row>
    <row r="669" spans="1:11">
      <c r="A669">
        <v>10065</v>
      </c>
      <c r="B669" t="s">
        <v>1150</v>
      </c>
      <c r="C669" t="s">
        <v>675</v>
      </c>
      <c r="E669" t="s">
        <v>276</v>
      </c>
      <c r="F669">
        <v>14</v>
      </c>
      <c r="G669">
        <v>1992</v>
      </c>
      <c r="H669">
        <v>864</v>
      </c>
      <c r="I669">
        <v>0</v>
      </c>
      <c r="J669">
        <v>0</v>
      </c>
      <c r="K669">
        <v>0</v>
      </c>
    </row>
    <row r="670" spans="1:11">
      <c r="A670">
        <v>10064</v>
      </c>
      <c r="B670" t="s">
        <v>1150</v>
      </c>
      <c r="C670" t="s">
        <v>1151</v>
      </c>
      <c r="E670" t="s">
        <v>276</v>
      </c>
      <c r="F670">
        <v>14</v>
      </c>
      <c r="G670">
        <v>1987</v>
      </c>
      <c r="H670">
        <v>223</v>
      </c>
      <c r="I670">
        <v>11.656000000000001</v>
      </c>
      <c r="J670">
        <v>642.68299999999999</v>
      </c>
      <c r="K670">
        <v>154</v>
      </c>
    </row>
    <row r="671" spans="1:11">
      <c r="A671">
        <v>16084</v>
      </c>
      <c r="B671" t="s">
        <v>1152</v>
      </c>
      <c r="C671" t="s">
        <v>391</v>
      </c>
      <c r="E671" t="s">
        <v>524</v>
      </c>
      <c r="F671">
        <v>87</v>
      </c>
      <c r="G671">
        <v>1949</v>
      </c>
      <c r="H671">
        <v>865</v>
      </c>
      <c r="I671">
        <v>0</v>
      </c>
      <c r="J671">
        <v>0</v>
      </c>
      <c r="K671">
        <v>0</v>
      </c>
    </row>
    <row r="672" spans="1:11">
      <c r="A672">
        <v>16121</v>
      </c>
      <c r="B672" t="s">
        <v>1153</v>
      </c>
      <c r="C672" t="s">
        <v>437</v>
      </c>
      <c r="D672" t="s">
        <v>262</v>
      </c>
      <c r="E672" t="s">
        <v>153</v>
      </c>
      <c r="F672">
        <v>42</v>
      </c>
      <c r="G672">
        <v>1933</v>
      </c>
      <c r="H672">
        <v>559</v>
      </c>
      <c r="I672">
        <v>1</v>
      </c>
      <c r="J672">
        <v>47.109000000000002</v>
      </c>
      <c r="K672">
        <v>0</v>
      </c>
    </row>
    <row r="673" spans="1:11">
      <c r="A673">
        <v>27069</v>
      </c>
      <c r="B673" t="s">
        <v>1154</v>
      </c>
      <c r="C673" t="s">
        <v>407</v>
      </c>
      <c r="E673" t="s">
        <v>456</v>
      </c>
      <c r="F673">
        <v>24</v>
      </c>
      <c r="G673">
        <v>1986</v>
      </c>
      <c r="H673">
        <v>74</v>
      </c>
      <c r="I673">
        <v>18.657</v>
      </c>
      <c r="J673">
        <v>1857.566</v>
      </c>
      <c r="K673">
        <v>948</v>
      </c>
    </row>
    <row r="674" spans="1:11">
      <c r="A674">
        <v>26074</v>
      </c>
      <c r="B674" t="s">
        <v>1154</v>
      </c>
      <c r="C674" t="s">
        <v>518</v>
      </c>
      <c r="E674" t="s">
        <v>456</v>
      </c>
      <c r="F674">
        <v>24</v>
      </c>
      <c r="G674">
        <v>1984</v>
      </c>
      <c r="H674">
        <v>166</v>
      </c>
      <c r="I674">
        <v>14.218999999999999</v>
      </c>
      <c r="J674">
        <v>980.72</v>
      </c>
      <c r="K674">
        <v>400</v>
      </c>
    </row>
    <row r="675" spans="1:11">
      <c r="A675">
        <v>18005</v>
      </c>
      <c r="B675" t="s">
        <v>1155</v>
      </c>
      <c r="C675" t="s">
        <v>384</v>
      </c>
      <c r="E675" t="s">
        <v>524</v>
      </c>
      <c r="F675">
        <v>87</v>
      </c>
      <c r="G675">
        <v>1946</v>
      </c>
      <c r="H675">
        <v>257</v>
      </c>
      <c r="I675">
        <v>9.36</v>
      </c>
      <c r="J675">
        <v>487.80900000000003</v>
      </c>
      <c r="K675">
        <v>74</v>
      </c>
    </row>
    <row r="676" spans="1:11">
      <c r="A676">
        <v>29009</v>
      </c>
      <c r="B676" t="s">
        <v>1156</v>
      </c>
      <c r="C676" t="s">
        <v>641</v>
      </c>
      <c r="D676" t="s">
        <v>262</v>
      </c>
      <c r="E676" t="s">
        <v>153</v>
      </c>
      <c r="F676">
        <v>42</v>
      </c>
      <c r="G676">
        <v>1969</v>
      </c>
      <c r="H676">
        <v>198</v>
      </c>
      <c r="I676">
        <v>9.1880000000000006</v>
      </c>
      <c r="J676">
        <v>792.76700000000005</v>
      </c>
      <c r="K676">
        <v>363</v>
      </c>
    </row>
    <row r="677" spans="1:11">
      <c r="A677">
        <v>17047</v>
      </c>
      <c r="B677" t="s">
        <v>1157</v>
      </c>
      <c r="C677" t="s">
        <v>769</v>
      </c>
      <c r="E677" t="s">
        <v>376</v>
      </c>
      <c r="F677">
        <v>70</v>
      </c>
      <c r="G677">
        <v>1948</v>
      </c>
      <c r="H677">
        <v>866</v>
      </c>
      <c r="I677">
        <v>0</v>
      </c>
      <c r="J677">
        <v>0</v>
      </c>
      <c r="K677">
        <v>0</v>
      </c>
    </row>
    <row r="678" spans="1:11">
      <c r="A678">
        <v>15053</v>
      </c>
      <c r="B678" t="s">
        <v>1158</v>
      </c>
      <c r="C678" t="s">
        <v>567</v>
      </c>
      <c r="D678" t="s">
        <v>262</v>
      </c>
      <c r="E678" t="s">
        <v>600</v>
      </c>
      <c r="F678">
        <v>74</v>
      </c>
      <c r="G678">
        <v>1999</v>
      </c>
      <c r="H678">
        <v>867</v>
      </c>
      <c r="I678">
        <v>0</v>
      </c>
      <c r="J678">
        <v>0</v>
      </c>
      <c r="K678">
        <v>0</v>
      </c>
    </row>
    <row r="679" spans="1:11">
      <c r="A679">
        <v>20554</v>
      </c>
      <c r="B679" t="s">
        <v>1159</v>
      </c>
      <c r="C679" t="s">
        <v>500</v>
      </c>
      <c r="E679" t="s">
        <v>276</v>
      </c>
      <c r="F679">
        <v>14</v>
      </c>
      <c r="G679">
        <v>1965</v>
      </c>
      <c r="H679">
        <v>868</v>
      </c>
      <c r="I679">
        <v>0</v>
      </c>
      <c r="J679">
        <v>0</v>
      </c>
      <c r="K679">
        <v>0</v>
      </c>
    </row>
    <row r="680" spans="1:11">
      <c r="A680">
        <v>16086</v>
      </c>
      <c r="B680" t="s">
        <v>1159</v>
      </c>
      <c r="C680" t="s">
        <v>394</v>
      </c>
      <c r="E680" t="s">
        <v>524</v>
      </c>
      <c r="F680">
        <v>87</v>
      </c>
      <c r="G680">
        <v>1950</v>
      </c>
      <c r="H680">
        <v>111</v>
      </c>
      <c r="I680">
        <v>19.346</v>
      </c>
      <c r="J680">
        <v>1370.5519999999999</v>
      </c>
      <c r="K680">
        <v>613</v>
      </c>
    </row>
    <row r="681" spans="1:11">
      <c r="A681">
        <v>98379</v>
      </c>
      <c r="B681" t="s">
        <v>1160</v>
      </c>
      <c r="C681" t="s">
        <v>553</v>
      </c>
      <c r="E681" t="s">
        <v>133</v>
      </c>
      <c r="F681">
        <v>63</v>
      </c>
      <c r="G681">
        <v>1953</v>
      </c>
      <c r="H681">
        <v>324</v>
      </c>
      <c r="I681">
        <v>6.5629999999999997</v>
      </c>
      <c r="J681">
        <v>313.18799999999999</v>
      </c>
      <c r="K681">
        <v>63</v>
      </c>
    </row>
    <row r="682" spans="1:11">
      <c r="A682">
        <v>21811</v>
      </c>
      <c r="B682" t="s">
        <v>1161</v>
      </c>
      <c r="C682" t="s">
        <v>1162</v>
      </c>
      <c r="E682" t="s">
        <v>153</v>
      </c>
      <c r="F682">
        <v>42</v>
      </c>
      <c r="G682">
        <v>1968</v>
      </c>
      <c r="H682">
        <v>869</v>
      </c>
      <c r="I682">
        <v>0</v>
      </c>
      <c r="J682">
        <v>0</v>
      </c>
      <c r="K682">
        <v>0</v>
      </c>
    </row>
    <row r="683" spans="1:11">
      <c r="A683">
        <v>21807</v>
      </c>
      <c r="B683" t="s">
        <v>1163</v>
      </c>
      <c r="C683" t="s">
        <v>460</v>
      </c>
      <c r="D683" t="s">
        <v>262</v>
      </c>
      <c r="E683" t="s">
        <v>153</v>
      </c>
      <c r="F683">
        <v>42</v>
      </c>
      <c r="G683">
        <v>1968</v>
      </c>
      <c r="H683">
        <v>870</v>
      </c>
      <c r="I683">
        <v>0</v>
      </c>
      <c r="J683">
        <v>0</v>
      </c>
      <c r="K683">
        <v>0</v>
      </c>
    </row>
    <row r="684" spans="1:11">
      <c r="A684">
        <v>12048</v>
      </c>
      <c r="B684" t="s">
        <v>1164</v>
      </c>
      <c r="C684" t="s">
        <v>452</v>
      </c>
      <c r="E684" t="s">
        <v>276</v>
      </c>
      <c r="F684">
        <v>14</v>
      </c>
      <c r="G684">
        <v>1966</v>
      </c>
      <c r="H684">
        <v>161</v>
      </c>
      <c r="I684">
        <v>21.655999999999999</v>
      </c>
      <c r="J684">
        <v>1025.943</v>
      </c>
      <c r="K684">
        <v>205</v>
      </c>
    </row>
    <row r="685" spans="1:11">
      <c r="A685">
        <v>99555</v>
      </c>
      <c r="B685" t="s">
        <v>1165</v>
      </c>
      <c r="C685" t="s">
        <v>372</v>
      </c>
      <c r="E685" t="s">
        <v>276</v>
      </c>
      <c r="F685">
        <v>14</v>
      </c>
      <c r="G685">
        <v>1981</v>
      </c>
      <c r="H685">
        <v>35</v>
      </c>
      <c r="I685">
        <v>29.875</v>
      </c>
      <c r="J685">
        <v>2457.627</v>
      </c>
      <c r="K685">
        <v>1172</v>
      </c>
    </row>
    <row r="686" spans="1:11">
      <c r="A686">
        <v>15023</v>
      </c>
      <c r="B686" t="s">
        <v>1166</v>
      </c>
      <c r="C686" t="s">
        <v>572</v>
      </c>
      <c r="E686" t="s">
        <v>543</v>
      </c>
      <c r="F686">
        <v>54</v>
      </c>
      <c r="G686">
        <v>1965</v>
      </c>
      <c r="H686">
        <v>22</v>
      </c>
      <c r="I686">
        <v>30.125</v>
      </c>
      <c r="J686">
        <v>2692.2159999999999</v>
      </c>
      <c r="K686">
        <v>1389</v>
      </c>
    </row>
    <row r="687" spans="1:11">
      <c r="A687">
        <v>25016</v>
      </c>
      <c r="B687" t="s">
        <v>1166</v>
      </c>
      <c r="C687" t="s">
        <v>394</v>
      </c>
      <c r="E687" t="s">
        <v>470</v>
      </c>
      <c r="F687">
        <v>55</v>
      </c>
      <c r="G687">
        <v>1959</v>
      </c>
      <c r="H687">
        <v>385</v>
      </c>
      <c r="I687">
        <v>2.5</v>
      </c>
      <c r="J687">
        <v>218.75</v>
      </c>
      <c r="K687">
        <v>105</v>
      </c>
    </row>
    <row r="688" spans="1:11">
      <c r="A688">
        <v>29021</v>
      </c>
      <c r="B688" t="s">
        <v>1167</v>
      </c>
      <c r="C688" t="s">
        <v>434</v>
      </c>
      <c r="D688" t="s">
        <v>262</v>
      </c>
      <c r="E688" t="s">
        <v>470</v>
      </c>
      <c r="F688">
        <v>55</v>
      </c>
      <c r="G688">
        <v>1960</v>
      </c>
      <c r="H688">
        <v>871</v>
      </c>
      <c r="I688">
        <v>0</v>
      </c>
      <c r="J688">
        <v>0</v>
      </c>
      <c r="K688">
        <v>0</v>
      </c>
    </row>
    <row r="689" spans="1:11">
      <c r="A689">
        <v>20524</v>
      </c>
      <c r="B689" t="s">
        <v>1168</v>
      </c>
      <c r="C689" t="s">
        <v>444</v>
      </c>
      <c r="E689" t="s">
        <v>759</v>
      </c>
      <c r="F689">
        <v>83</v>
      </c>
      <c r="G689">
        <v>1970</v>
      </c>
      <c r="H689">
        <v>872</v>
      </c>
      <c r="I689">
        <v>0</v>
      </c>
      <c r="J689">
        <v>0</v>
      </c>
      <c r="K689">
        <v>0</v>
      </c>
    </row>
    <row r="690" spans="1:11">
      <c r="A690">
        <v>17001</v>
      </c>
      <c r="B690" t="s">
        <v>1168</v>
      </c>
      <c r="C690" t="s">
        <v>464</v>
      </c>
      <c r="E690" t="s">
        <v>543</v>
      </c>
      <c r="F690">
        <v>54</v>
      </c>
      <c r="G690">
        <v>1987</v>
      </c>
      <c r="H690">
        <v>179</v>
      </c>
      <c r="I690">
        <v>9.875</v>
      </c>
      <c r="J690">
        <v>897.55</v>
      </c>
      <c r="K690">
        <v>409</v>
      </c>
    </row>
    <row r="691" spans="1:11">
      <c r="A691">
        <v>25079</v>
      </c>
      <c r="B691" t="s">
        <v>1169</v>
      </c>
      <c r="C691" t="s">
        <v>1170</v>
      </c>
      <c r="D691" t="s">
        <v>262</v>
      </c>
      <c r="E691" t="s">
        <v>398</v>
      </c>
      <c r="F691">
        <v>27</v>
      </c>
      <c r="G691">
        <v>1970</v>
      </c>
      <c r="H691">
        <v>379</v>
      </c>
      <c r="I691">
        <v>5.2030000000000003</v>
      </c>
      <c r="J691">
        <v>224.82599999999999</v>
      </c>
      <c r="K691">
        <v>19</v>
      </c>
    </row>
    <row r="692" spans="1:11">
      <c r="A692">
        <v>17086</v>
      </c>
      <c r="B692" t="s">
        <v>1171</v>
      </c>
      <c r="C692" t="s">
        <v>391</v>
      </c>
      <c r="E692" t="s">
        <v>365</v>
      </c>
      <c r="F692">
        <v>86</v>
      </c>
      <c r="G692">
        <v>1995</v>
      </c>
      <c r="H692">
        <v>83</v>
      </c>
      <c r="I692">
        <v>24.827999999999999</v>
      </c>
      <c r="J692">
        <v>1737.6389999999999</v>
      </c>
      <c r="K692">
        <v>632</v>
      </c>
    </row>
    <row r="693" spans="1:11">
      <c r="A693">
        <v>25017</v>
      </c>
      <c r="B693" t="s">
        <v>1172</v>
      </c>
      <c r="C693" t="s">
        <v>486</v>
      </c>
      <c r="D693" t="s">
        <v>262</v>
      </c>
      <c r="E693" t="s">
        <v>470</v>
      </c>
      <c r="F693">
        <v>55</v>
      </c>
      <c r="G693">
        <v>1963</v>
      </c>
      <c r="H693">
        <v>54</v>
      </c>
      <c r="I693">
        <v>24.064</v>
      </c>
      <c r="J693">
        <v>2225.6889999999999</v>
      </c>
      <c r="K693">
        <v>1148</v>
      </c>
    </row>
    <row r="694" spans="1:11">
      <c r="A694">
        <v>21805</v>
      </c>
      <c r="B694" t="s">
        <v>1173</v>
      </c>
      <c r="C694" t="s">
        <v>478</v>
      </c>
      <c r="D694" t="s">
        <v>262</v>
      </c>
      <c r="E694" t="s">
        <v>153</v>
      </c>
      <c r="F694">
        <v>42</v>
      </c>
      <c r="G694">
        <v>1959</v>
      </c>
      <c r="H694">
        <v>323</v>
      </c>
      <c r="I694">
        <v>6.282</v>
      </c>
      <c r="J694">
        <v>314.56099999999998</v>
      </c>
      <c r="K694">
        <v>51</v>
      </c>
    </row>
    <row r="695" spans="1:11">
      <c r="A695">
        <v>26086</v>
      </c>
      <c r="B695" t="s">
        <v>1174</v>
      </c>
      <c r="C695" t="s">
        <v>394</v>
      </c>
      <c r="E695" t="s">
        <v>310</v>
      </c>
      <c r="F695">
        <v>36</v>
      </c>
      <c r="G695">
        <v>1989</v>
      </c>
      <c r="H695">
        <v>874</v>
      </c>
      <c r="I695">
        <v>0</v>
      </c>
      <c r="J695">
        <v>0</v>
      </c>
      <c r="K695">
        <v>0</v>
      </c>
    </row>
    <row r="696" spans="1:11">
      <c r="A696">
        <v>15092</v>
      </c>
      <c r="B696" t="s">
        <v>1174</v>
      </c>
      <c r="C696" t="s">
        <v>395</v>
      </c>
      <c r="E696" t="s">
        <v>310</v>
      </c>
      <c r="F696">
        <v>36</v>
      </c>
      <c r="G696">
        <v>1988</v>
      </c>
      <c r="H696">
        <v>873</v>
      </c>
      <c r="I696">
        <v>0</v>
      </c>
      <c r="J696">
        <v>0</v>
      </c>
      <c r="K696">
        <v>0</v>
      </c>
    </row>
    <row r="697" spans="1:11">
      <c r="A697">
        <v>21825</v>
      </c>
      <c r="B697" t="s">
        <v>1175</v>
      </c>
      <c r="C697" t="s">
        <v>434</v>
      </c>
      <c r="D697" t="s">
        <v>262</v>
      </c>
      <c r="E697" t="s">
        <v>310</v>
      </c>
      <c r="F697">
        <v>36</v>
      </c>
      <c r="G697">
        <v>1959</v>
      </c>
      <c r="H697">
        <v>875</v>
      </c>
      <c r="I697">
        <v>0</v>
      </c>
      <c r="J697">
        <v>0</v>
      </c>
      <c r="K697">
        <v>0</v>
      </c>
    </row>
    <row r="698" spans="1:11">
      <c r="A698">
        <v>19026</v>
      </c>
      <c r="B698" t="s">
        <v>1176</v>
      </c>
      <c r="C698" t="s">
        <v>1177</v>
      </c>
      <c r="E698" t="s">
        <v>373</v>
      </c>
      <c r="F698">
        <v>79</v>
      </c>
      <c r="G698">
        <v>1971</v>
      </c>
      <c r="H698">
        <v>419</v>
      </c>
      <c r="I698">
        <v>4.25</v>
      </c>
      <c r="J698">
        <v>173.114</v>
      </c>
      <c r="K698">
        <v>0</v>
      </c>
    </row>
    <row r="699" spans="1:11">
      <c r="A699">
        <v>22007</v>
      </c>
      <c r="B699" t="s">
        <v>1178</v>
      </c>
      <c r="C699" t="s">
        <v>444</v>
      </c>
      <c r="E699" t="s">
        <v>456</v>
      </c>
      <c r="F699">
        <v>24</v>
      </c>
      <c r="G699">
        <v>1977</v>
      </c>
      <c r="H699">
        <v>21</v>
      </c>
      <c r="I699">
        <v>31.984000000000002</v>
      </c>
      <c r="J699">
        <v>2713.4369999999999</v>
      </c>
      <c r="K699">
        <v>1148</v>
      </c>
    </row>
    <row r="700" spans="1:11">
      <c r="A700">
        <v>20701</v>
      </c>
      <c r="B700" t="s">
        <v>1179</v>
      </c>
      <c r="C700" t="s">
        <v>510</v>
      </c>
      <c r="D700" t="s">
        <v>262</v>
      </c>
      <c r="E700" t="s">
        <v>205</v>
      </c>
      <c r="F700">
        <v>17</v>
      </c>
      <c r="G700">
        <v>1971</v>
      </c>
      <c r="H700">
        <v>441</v>
      </c>
      <c r="I700">
        <v>4.625</v>
      </c>
      <c r="J700">
        <v>144.24299999999999</v>
      </c>
      <c r="K700">
        <v>0</v>
      </c>
    </row>
    <row r="701" spans="1:11">
      <c r="A701">
        <v>18111</v>
      </c>
      <c r="B701" t="s">
        <v>1180</v>
      </c>
      <c r="C701" t="s">
        <v>597</v>
      </c>
      <c r="E701" t="s">
        <v>365</v>
      </c>
      <c r="F701">
        <v>86</v>
      </c>
      <c r="G701">
        <v>1971</v>
      </c>
      <c r="H701">
        <v>473</v>
      </c>
      <c r="I701">
        <v>0.625</v>
      </c>
      <c r="J701">
        <v>106.375</v>
      </c>
      <c r="K701">
        <v>72</v>
      </c>
    </row>
    <row r="702" spans="1:11">
      <c r="A702">
        <v>18041</v>
      </c>
      <c r="B702" t="s">
        <v>1180</v>
      </c>
      <c r="C702" t="s">
        <v>1181</v>
      </c>
      <c r="D702" t="s">
        <v>397</v>
      </c>
      <c r="E702" t="s">
        <v>365</v>
      </c>
      <c r="F702">
        <v>86</v>
      </c>
      <c r="G702">
        <v>2009</v>
      </c>
      <c r="H702">
        <v>472</v>
      </c>
      <c r="I702">
        <v>0.625</v>
      </c>
      <c r="J702">
        <v>106.375</v>
      </c>
      <c r="K702">
        <v>72</v>
      </c>
    </row>
    <row r="703" spans="1:11">
      <c r="A703">
        <v>16131</v>
      </c>
      <c r="B703" t="s">
        <v>1182</v>
      </c>
      <c r="C703" t="s">
        <v>427</v>
      </c>
      <c r="D703" t="s">
        <v>397</v>
      </c>
      <c r="E703" t="s">
        <v>432</v>
      </c>
      <c r="F703">
        <v>2</v>
      </c>
      <c r="G703">
        <v>2006</v>
      </c>
      <c r="H703">
        <v>876</v>
      </c>
      <c r="I703">
        <v>0</v>
      </c>
      <c r="J703">
        <v>0</v>
      </c>
      <c r="K703">
        <v>0</v>
      </c>
    </row>
    <row r="704" spans="1:11">
      <c r="A704">
        <v>15089</v>
      </c>
      <c r="B704" t="s">
        <v>1183</v>
      </c>
      <c r="C704" t="s">
        <v>448</v>
      </c>
      <c r="D704" t="s">
        <v>262</v>
      </c>
      <c r="E704" t="s">
        <v>465</v>
      </c>
      <c r="F704">
        <v>28</v>
      </c>
      <c r="G704">
        <v>1950</v>
      </c>
      <c r="H704">
        <v>877</v>
      </c>
      <c r="I704">
        <v>0</v>
      </c>
      <c r="J704">
        <v>0</v>
      </c>
      <c r="K704">
        <v>0</v>
      </c>
    </row>
    <row r="705" spans="1:11">
      <c r="A705">
        <v>16130</v>
      </c>
      <c r="B705" t="s">
        <v>1184</v>
      </c>
      <c r="C705" t="s">
        <v>583</v>
      </c>
      <c r="D705" t="s">
        <v>511</v>
      </c>
      <c r="E705" t="s">
        <v>432</v>
      </c>
      <c r="F705">
        <v>2</v>
      </c>
      <c r="G705">
        <v>2006</v>
      </c>
      <c r="H705">
        <v>878</v>
      </c>
      <c r="I705">
        <v>0</v>
      </c>
      <c r="J705">
        <v>0</v>
      </c>
      <c r="K705">
        <v>0</v>
      </c>
    </row>
    <row r="706" spans="1:11">
      <c r="A706">
        <v>17105</v>
      </c>
      <c r="B706" t="s">
        <v>1185</v>
      </c>
      <c r="C706" t="s">
        <v>1186</v>
      </c>
      <c r="E706" t="s">
        <v>373</v>
      </c>
      <c r="F706">
        <v>79</v>
      </c>
      <c r="G706">
        <v>1991</v>
      </c>
      <c r="H706">
        <v>386</v>
      </c>
      <c r="I706">
        <v>2</v>
      </c>
      <c r="J706">
        <v>216.5</v>
      </c>
      <c r="K706">
        <v>117</v>
      </c>
    </row>
    <row r="707" spans="1:11">
      <c r="A707">
        <v>24271</v>
      </c>
      <c r="B707" t="s">
        <v>1187</v>
      </c>
      <c r="C707" t="s">
        <v>407</v>
      </c>
      <c r="E707" t="s">
        <v>276</v>
      </c>
      <c r="F707">
        <v>14</v>
      </c>
      <c r="G707">
        <v>1972</v>
      </c>
      <c r="H707">
        <v>260</v>
      </c>
      <c r="I707">
        <v>7.625</v>
      </c>
      <c r="J707">
        <v>482.54300000000001</v>
      </c>
      <c r="K707">
        <v>148</v>
      </c>
    </row>
    <row r="708" spans="1:11">
      <c r="A708">
        <v>96121</v>
      </c>
      <c r="B708" t="s">
        <v>1188</v>
      </c>
      <c r="C708" t="s">
        <v>416</v>
      </c>
      <c r="E708" t="s">
        <v>725</v>
      </c>
      <c r="F708">
        <v>7</v>
      </c>
      <c r="G708">
        <v>1972</v>
      </c>
      <c r="H708">
        <v>879</v>
      </c>
      <c r="I708">
        <v>0</v>
      </c>
      <c r="J708">
        <v>0</v>
      </c>
      <c r="K708">
        <v>0</v>
      </c>
    </row>
    <row r="709" spans="1:11">
      <c r="A709">
        <v>18042</v>
      </c>
      <c r="B709" t="s">
        <v>1189</v>
      </c>
      <c r="C709" t="s">
        <v>1190</v>
      </c>
      <c r="D709" t="s">
        <v>397</v>
      </c>
      <c r="E709" t="s">
        <v>198</v>
      </c>
      <c r="F709">
        <v>21</v>
      </c>
      <c r="G709">
        <v>2008</v>
      </c>
      <c r="H709">
        <v>492</v>
      </c>
      <c r="I709">
        <v>3.75</v>
      </c>
      <c r="J709">
        <v>89.471000000000004</v>
      </c>
      <c r="K709">
        <v>0</v>
      </c>
    </row>
    <row r="710" spans="1:11">
      <c r="A710">
        <v>18043</v>
      </c>
      <c r="B710" t="s">
        <v>1191</v>
      </c>
      <c r="C710" t="s">
        <v>1192</v>
      </c>
      <c r="D710" t="s">
        <v>511</v>
      </c>
      <c r="E710" t="s">
        <v>198</v>
      </c>
      <c r="F710">
        <v>21</v>
      </c>
      <c r="G710">
        <v>2004</v>
      </c>
      <c r="H710">
        <v>461</v>
      </c>
      <c r="I710">
        <v>5.3129999999999997</v>
      </c>
      <c r="J710">
        <v>120.94</v>
      </c>
      <c r="K710">
        <v>0</v>
      </c>
    </row>
    <row r="711" spans="1:11">
      <c r="A711">
        <v>14025</v>
      </c>
      <c r="B711" t="s">
        <v>1193</v>
      </c>
      <c r="C711" t="s">
        <v>375</v>
      </c>
      <c r="E711" t="s">
        <v>440</v>
      </c>
      <c r="F711">
        <v>73</v>
      </c>
      <c r="G711">
        <v>1951</v>
      </c>
      <c r="H711">
        <v>562</v>
      </c>
      <c r="I711">
        <v>0.96899999999999997</v>
      </c>
      <c r="J711">
        <v>46.984000000000002</v>
      </c>
      <c r="K711">
        <v>0</v>
      </c>
    </row>
    <row r="712" spans="1:11">
      <c r="A712">
        <v>15007</v>
      </c>
      <c r="B712" t="s">
        <v>1194</v>
      </c>
      <c r="C712" t="s">
        <v>486</v>
      </c>
      <c r="D712" t="s">
        <v>262</v>
      </c>
      <c r="E712" t="s">
        <v>503</v>
      </c>
      <c r="F712">
        <v>15</v>
      </c>
      <c r="G712">
        <v>1997</v>
      </c>
      <c r="H712">
        <v>304</v>
      </c>
      <c r="I712">
        <v>9.75</v>
      </c>
      <c r="J712">
        <v>359.923</v>
      </c>
      <c r="K712">
        <v>0</v>
      </c>
    </row>
    <row r="713" spans="1:11">
      <c r="A713">
        <v>18064</v>
      </c>
      <c r="B713" t="s">
        <v>1195</v>
      </c>
      <c r="C713" t="s">
        <v>500</v>
      </c>
      <c r="E713" t="s">
        <v>248</v>
      </c>
      <c r="F713">
        <v>88</v>
      </c>
      <c r="G713">
        <v>1969</v>
      </c>
      <c r="H713">
        <v>279</v>
      </c>
      <c r="I713">
        <v>10.625999999999999</v>
      </c>
      <c r="J713">
        <v>437.34699999999998</v>
      </c>
      <c r="K713">
        <v>90</v>
      </c>
    </row>
    <row r="714" spans="1:11">
      <c r="A714">
        <v>18028</v>
      </c>
      <c r="B714" t="s">
        <v>1196</v>
      </c>
      <c r="C714" t="s">
        <v>1197</v>
      </c>
      <c r="D714" t="s">
        <v>262</v>
      </c>
      <c r="E714" t="s">
        <v>524</v>
      </c>
      <c r="F714">
        <v>87</v>
      </c>
      <c r="G714">
        <v>1952</v>
      </c>
      <c r="H714">
        <v>291</v>
      </c>
      <c r="I714">
        <v>6.907</v>
      </c>
      <c r="J714">
        <v>391.40300000000002</v>
      </c>
      <c r="K714">
        <v>99</v>
      </c>
    </row>
    <row r="715" spans="1:11">
      <c r="A715">
        <v>97242</v>
      </c>
      <c r="B715" t="s">
        <v>1198</v>
      </c>
      <c r="C715" t="s">
        <v>464</v>
      </c>
      <c r="E715" t="s">
        <v>432</v>
      </c>
      <c r="F715">
        <v>2</v>
      </c>
      <c r="G715">
        <v>1951</v>
      </c>
      <c r="H715">
        <v>403</v>
      </c>
      <c r="I715">
        <v>5.6879999999999997</v>
      </c>
      <c r="J715">
        <v>190.58799999999999</v>
      </c>
      <c r="K715">
        <v>0</v>
      </c>
    </row>
    <row r="716" spans="1:11">
      <c r="A716">
        <v>23084</v>
      </c>
      <c r="B716" t="s">
        <v>1199</v>
      </c>
      <c r="C716" t="s">
        <v>364</v>
      </c>
      <c r="E716" t="s">
        <v>432</v>
      </c>
      <c r="F716">
        <v>2</v>
      </c>
      <c r="G716">
        <v>1952</v>
      </c>
      <c r="H716">
        <v>228</v>
      </c>
      <c r="I716">
        <v>11.063000000000001</v>
      </c>
      <c r="J716">
        <v>600.76599999999996</v>
      </c>
      <c r="K716">
        <v>162</v>
      </c>
    </row>
    <row r="717" spans="1:11">
      <c r="A717">
        <v>10129</v>
      </c>
      <c r="B717" t="s">
        <v>1200</v>
      </c>
      <c r="C717" t="s">
        <v>580</v>
      </c>
      <c r="D717" t="s">
        <v>262</v>
      </c>
      <c r="E717" t="s">
        <v>398</v>
      </c>
      <c r="F717">
        <v>27</v>
      </c>
      <c r="G717">
        <v>1950</v>
      </c>
      <c r="H717">
        <v>242</v>
      </c>
      <c r="I717">
        <v>8.673</v>
      </c>
      <c r="J717">
        <v>526.95000000000005</v>
      </c>
      <c r="K717">
        <v>181</v>
      </c>
    </row>
    <row r="718" spans="1:11">
      <c r="A718">
        <v>27086</v>
      </c>
      <c r="B718" t="s">
        <v>1201</v>
      </c>
      <c r="C718" t="s">
        <v>450</v>
      </c>
      <c r="E718" t="s">
        <v>116</v>
      </c>
      <c r="F718">
        <v>19</v>
      </c>
      <c r="G718">
        <v>1947</v>
      </c>
      <c r="H718">
        <v>391</v>
      </c>
      <c r="I718">
        <v>2.9689999999999999</v>
      </c>
      <c r="J718">
        <v>211.511</v>
      </c>
      <c r="K718">
        <v>88</v>
      </c>
    </row>
    <row r="719" spans="1:11">
      <c r="A719">
        <v>20724</v>
      </c>
      <c r="B719" t="s">
        <v>1201</v>
      </c>
      <c r="C719" t="s">
        <v>464</v>
      </c>
      <c r="E719" t="s">
        <v>116</v>
      </c>
      <c r="F719">
        <v>19</v>
      </c>
      <c r="G719">
        <v>1956</v>
      </c>
      <c r="H719">
        <v>390</v>
      </c>
      <c r="I719">
        <v>2.9689999999999999</v>
      </c>
      <c r="J719">
        <v>211.511</v>
      </c>
      <c r="K719">
        <v>88</v>
      </c>
    </row>
    <row r="720" spans="1:11">
      <c r="A720">
        <v>27075</v>
      </c>
      <c r="B720" t="s">
        <v>1202</v>
      </c>
      <c r="C720" t="s">
        <v>407</v>
      </c>
      <c r="E720" t="s">
        <v>382</v>
      </c>
      <c r="F720">
        <v>61</v>
      </c>
      <c r="G720">
        <v>1982</v>
      </c>
      <c r="H720">
        <v>880</v>
      </c>
      <c r="I720">
        <v>0</v>
      </c>
      <c r="J720">
        <v>0</v>
      </c>
      <c r="K720">
        <v>0</v>
      </c>
    </row>
    <row r="721" spans="1:11">
      <c r="A721">
        <v>98417</v>
      </c>
      <c r="B721" t="s">
        <v>1203</v>
      </c>
      <c r="C721" t="s">
        <v>580</v>
      </c>
      <c r="D721" t="s">
        <v>262</v>
      </c>
      <c r="E721" t="s">
        <v>130</v>
      </c>
      <c r="F721">
        <v>64</v>
      </c>
      <c r="G721">
        <v>1953</v>
      </c>
      <c r="H721">
        <v>882</v>
      </c>
      <c r="I721">
        <v>0</v>
      </c>
      <c r="J721">
        <v>0</v>
      </c>
      <c r="K721">
        <v>0</v>
      </c>
    </row>
    <row r="722" spans="1:11">
      <c r="A722">
        <v>17008</v>
      </c>
      <c r="B722" t="s">
        <v>1203</v>
      </c>
      <c r="C722" t="s">
        <v>1204</v>
      </c>
      <c r="D722" t="s">
        <v>262</v>
      </c>
      <c r="E722" t="s">
        <v>660</v>
      </c>
      <c r="F722">
        <v>85</v>
      </c>
      <c r="G722">
        <v>1952</v>
      </c>
      <c r="H722">
        <v>881</v>
      </c>
      <c r="I722">
        <v>0</v>
      </c>
      <c r="J722">
        <v>0</v>
      </c>
      <c r="K722">
        <v>0</v>
      </c>
    </row>
    <row r="723" spans="1:11">
      <c r="A723">
        <v>17050</v>
      </c>
      <c r="B723" t="s">
        <v>1205</v>
      </c>
      <c r="C723" t="s">
        <v>473</v>
      </c>
      <c r="D723" t="s">
        <v>262</v>
      </c>
      <c r="E723" t="s">
        <v>376</v>
      </c>
      <c r="F723">
        <v>70</v>
      </c>
      <c r="G723">
        <v>1936</v>
      </c>
      <c r="H723">
        <v>883</v>
      </c>
      <c r="I723">
        <v>0</v>
      </c>
      <c r="J723">
        <v>0</v>
      </c>
      <c r="K723">
        <v>0</v>
      </c>
    </row>
    <row r="724" spans="1:11">
      <c r="A724">
        <v>13046</v>
      </c>
      <c r="B724" t="s">
        <v>1206</v>
      </c>
      <c r="C724" t="s">
        <v>452</v>
      </c>
      <c r="E724" t="s">
        <v>142</v>
      </c>
      <c r="F724">
        <v>20</v>
      </c>
      <c r="G724">
        <v>1941</v>
      </c>
      <c r="H724">
        <v>448</v>
      </c>
      <c r="I724">
        <v>3.0939999999999999</v>
      </c>
      <c r="J724">
        <v>133.46799999999999</v>
      </c>
      <c r="K724">
        <v>0</v>
      </c>
    </row>
    <row r="725" spans="1:11">
      <c r="A725">
        <v>12084</v>
      </c>
      <c r="B725" t="s">
        <v>1207</v>
      </c>
      <c r="C725" t="s">
        <v>520</v>
      </c>
      <c r="E725" t="s">
        <v>198</v>
      </c>
      <c r="F725">
        <v>21</v>
      </c>
      <c r="G725">
        <v>1963</v>
      </c>
      <c r="H725">
        <v>884</v>
      </c>
      <c r="I725">
        <v>0</v>
      </c>
      <c r="J725">
        <v>0</v>
      </c>
      <c r="K725">
        <v>0</v>
      </c>
    </row>
    <row r="726" spans="1:11">
      <c r="A726">
        <v>19073</v>
      </c>
      <c r="B726" t="s">
        <v>1208</v>
      </c>
      <c r="C726" t="s">
        <v>381</v>
      </c>
      <c r="D726" t="s">
        <v>397</v>
      </c>
      <c r="E726" t="s">
        <v>138</v>
      </c>
      <c r="F726">
        <v>89</v>
      </c>
      <c r="G726">
        <v>2009</v>
      </c>
      <c r="H726">
        <v>579</v>
      </c>
      <c r="I726">
        <v>0.93799999999999994</v>
      </c>
      <c r="J726">
        <v>40.441000000000003</v>
      </c>
      <c r="K726">
        <v>0</v>
      </c>
    </row>
    <row r="727" spans="1:11">
      <c r="A727">
        <v>19074</v>
      </c>
      <c r="B727" t="s">
        <v>1208</v>
      </c>
      <c r="C727" t="s">
        <v>414</v>
      </c>
      <c r="E727" t="s">
        <v>138</v>
      </c>
      <c r="F727">
        <v>89</v>
      </c>
      <c r="G727">
        <v>1965</v>
      </c>
      <c r="H727">
        <v>571</v>
      </c>
      <c r="I727">
        <v>1</v>
      </c>
      <c r="J727">
        <v>43.137</v>
      </c>
      <c r="K727">
        <v>0</v>
      </c>
    </row>
    <row r="728" spans="1:11">
      <c r="A728">
        <v>19072</v>
      </c>
      <c r="B728" t="s">
        <v>1209</v>
      </c>
      <c r="C728" t="s">
        <v>437</v>
      </c>
      <c r="D728" t="s">
        <v>262</v>
      </c>
      <c r="E728" t="s">
        <v>138</v>
      </c>
      <c r="F728">
        <v>89</v>
      </c>
      <c r="G728">
        <v>1966</v>
      </c>
      <c r="H728">
        <v>580</v>
      </c>
      <c r="I728">
        <v>0.93799999999999994</v>
      </c>
      <c r="J728">
        <v>40.441000000000003</v>
      </c>
      <c r="K728">
        <v>0</v>
      </c>
    </row>
    <row r="729" spans="1:11">
      <c r="A729">
        <v>20539</v>
      </c>
      <c r="B729" t="s">
        <v>1210</v>
      </c>
      <c r="C729" t="s">
        <v>384</v>
      </c>
      <c r="E729" t="s">
        <v>684</v>
      </c>
      <c r="F729">
        <v>93</v>
      </c>
      <c r="G729">
        <v>1985</v>
      </c>
      <c r="H729">
        <v>600</v>
      </c>
      <c r="I729">
        <v>0.625</v>
      </c>
      <c r="J729">
        <v>30.312999999999999</v>
      </c>
      <c r="K729">
        <v>0</v>
      </c>
    </row>
    <row r="730" spans="1:11">
      <c r="A730">
        <v>20540</v>
      </c>
      <c r="B730" t="s">
        <v>1211</v>
      </c>
      <c r="C730" t="s">
        <v>688</v>
      </c>
      <c r="D730" t="s">
        <v>262</v>
      </c>
      <c r="E730" t="s">
        <v>684</v>
      </c>
      <c r="F730">
        <v>93</v>
      </c>
      <c r="G730">
        <v>1993</v>
      </c>
      <c r="H730">
        <v>885</v>
      </c>
      <c r="I730">
        <v>0</v>
      </c>
      <c r="J730">
        <v>0</v>
      </c>
      <c r="K730">
        <v>0</v>
      </c>
    </row>
    <row r="731" spans="1:11">
      <c r="A731">
        <v>96041</v>
      </c>
      <c r="B731" t="s">
        <v>1212</v>
      </c>
      <c r="C731" t="s">
        <v>422</v>
      </c>
      <c r="D731" t="s">
        <v>262</v>
      </c>
      <c r="E731" t="s">
        <v>148</v>
      </c>
      <c r="F731">
        <v>1</v>
      </c>
      <c r="G731">
        <v>1955</v>
      </c>
      <c r="H731">
        <v>886</v>
      </c>
      <c r="I731">
        <v>0</v>
      </c>
      <c r="J731">
        <v>0</v>
      </c>
      <c r="K731">
        <v>0</v>
      </c>
    </row>
    <row r="732" spans="1:11">
      <c r="A732">
        <v>14061</v>
      </c>
      <c r="B732" t="s">
        <v>1213</v>
      </c>
      <c r="C732" t="s">
        <v>391</v>
      </c>
      <c r="E732" t="s">
        <v>440</v>
      </c>
      <c r="F732">
        <v>73</v>
      </c>
      <c r="G732">
        <v>1951</v>
      </c>
      <c r="H732">
        <v>539</v>
      </c>
      <c r="I732">
        <v>0.90700000000000003</v>
      </c>
      <c r="J732">
        <v>63.64</v>
      </c>
      <c r="K732">
        <v>25</v>
      </c>
    </row>
    <row r="733" spans="1:11">
      <c r="A733">
        <v>20536</v>
      </c>
      <c r="B733" t="s">
        <v>1214</v>
      </c>
      <c r="C733" t="s">
        <v>576</v>
      </c>
      <c r="D733" t="s">
        <v>262</v>
      </c>
      <c r="E733" t="s">
        <v>490</v>
      </c>
      <c r="F733">
        <v>92</v>
      </c>
      <c r="G733">
        <v>1990</v>
      </c>
      <c r="H733">
        <v>887</v>
      </c>
      <c r="I733">
        <v>0</v>
      </c>
      <c r="J733">
        <v>0</v>
      </c>
      <c r="K733">
        <v>0</v>
      </c>
    </row>
    <row r="734" spans="1:11">
      <c r="A734">
        <v>17090</v>
      </c>
      <c r="B734" t="s">
        <v>1214</v>
      </c>
      <c r="C734" t="s">
        <v>400</v>
      </c>
      <c r="D734" t="s">
        <v>262</v>
      </c>
      <c r="E734" t="s">
        <v>490</v>
      </c>
      <c r="F734">
        <v>92</v>
      </c>
      <c r="G734">
        <v>1959</v>
      </c>
      <c r="H734">
        <v>173</v>
      </c>
      <c r="I734">
        <v>17.126000000000001</v>
      </c>
      <c r="J734">
        <v>946.40800000000002</v>
      </c>
      <c r="K734">
        <v>288</v>
      </c>
    </row>
    <row r="735" spans="1:11">
      <c r="A735">
        <v>15084</v>
      </c>
      <c r="B735" t="s">
        <v>1215</v>
      </c>
      <c r="C735" t="s">
        <v>444</v>
      </c>
      <c r="E735" t="s">
        <v>432</v>
      </c>
      <c r="F735">
        <v>2</v>
      </c>
      <c r="G735">
        <v>1965</v>
      </c>
      <c r="H735">
        <v>584</v>
      </c>
      <c r="I735">
        <v>1.0309999999999999</v>
      </c>
      <c r="J735">
        <v>38.377000000000002</v>
      </c>
      <c r="K735">
        <v>0</v>
      </c>
    </row>
    <row r="736" spans="1:11">
      <c r="A736">
        <v>18130</v>
      </c>
      <c r="B736" t="s">
        <v>1216</v>
      </c>
      <c r="C736" t="s">
        <v>439</v>
      </c>
      <c r="E736" t="s">
        <v>490</v>
      </c>
      <c r="F736">
        <v>92</v>
      </c>
      <c r="G736">
        <v>1963</v>
      </c>
      <c r="H736">
        <v>148</v>
      </c>
      <c r="I736">
        <v>20.376999999999999</v>
      </c>
      <c r="J736">
        <v>1117.258</v>
      </c>
      <c r="K736">
        <v>345</v>
      </c>
    </row>
    <row r="737" spans="1:11">
      <c r="A737">
        <v>11040</v>
      </c>
      <c r="B737" t="s">
        <v>1217</v>
      </c>
      <c r="C737" t="s">
        <v>396</v>
      </c>
      <c r="E737" t="s">
        <v>148</v>
      </c>
      <c r="F737">
        <v>1</v>
      </c>
      <c r="G737">
        <v>2002</v>
      </c>
      <c r="H737">
        <v>367</v>
      </c>
      <c r="I737">
        <v>4.782</v>
      </c>
      <c r="J737">
        <v>248.839</v>
      </c>
      <c r="K737">
        <v>25</v>
      </c>
    </row>
    <row r="738" spans="1:11">
      <c r="A738">
        <v>15056</v>
      </c>
      <c r="B738" t="s">
        <v>1218</v>
      </c>
      <c r="C738" t="s">
        <v>442</v>
      </c>
      <c r="D738" t="s">
        <v>262</v>
      </c>
      <c r="E738" t="s">
        <v>148</v>
      </c>
      <c r="F738">
        <v>1</v>
      </c>
      <c r="G738">
        <v>2002</v>
      </c>
      <c r="H738">
        <v>384</v>
      </c>
      <c r="I738">
        <v>3.0470000000000002</v>
      </c>
      <c r="J738">
        <v>221.26900000000001</v>
      </c>
      <c r="K738">
        <v>78</v>
      </c>
    </row>
    <row r="739" spans="1:11">
      <c r="A739">
        <v>16109</v>
      </c>
      <c r="B739" t="s">
        <v>1219</v>
      </c>
      <c r="C739" t="s">
        <v>910</v>
      </c>
      <c r="D739" t="s">
        <v>262</v>
      </c>
      <c r="E739" t="s">
        <v>440</v>
      </c>
      <c r="F739">
        <v>73</v>
      </c>
      <c r="G739">
        <v>1949</v>
      </c>
      <c r="H739">
        <v>129</v>
      </c>
      <c r="I739">
        <v>19.001999999999999</v>
      </c>
      <c r="J739">
        <v>1235.539</v>
      </c>
      <c r="K739">
        <v>498</v>
      </c>
    </row>
    <row r="740" spans="1:11">
      <c r="A740">
        <v>14098</v>
      </c>
      <c r="B740" t="s">
        <v>1220</v>
      </c>
      <c r="C740" t="s">
        <v>414</v>
      </c>
      <c r="E740" t="s">
        <v>342</v>
      </c>
      <c r="F740">
        <v>52</v>
      </c>
      <c r="G740">
        <v>1980</v>
      </c>
      <c r="H740">
        <v>302</v>
      </c>
      <c r="I740">
        <v>7.6260000000000003</v>
      </c>
      <c r="J740">
        <v>362.30799999999999</v>
      </c>
      <c r="K740">
        <v>137</v>
      </c>
    </row>
    <row r="741" spans="1:11">
      <c r="A741">
        <v>18085</v>
      </c>
      <c r="B741" t="s">
        <v>1221</v>
      </c>
      <c r="C741" t="s">
        <v>394</v>
      </c>
      <c r="E741" t="s">
        <v>138</v>
      </c>
      <c r="F741">
        <v>89</v>
      </c>
      <c r="G741">
        <v>1948</v>
      </c>
      <c r="H741">
        <v>888</v>
      </c>
      <c r="I741">
        <v>0</v>
      </c>
      <c r="J741">
        <v>0</v>
      </c>
      <c r="K741">
        <v>0</v>
      </c>
    </row>
    <row r="742" spans="1:11">
      <c r="A742">
        <v>15009</v>
      </c>
      <c r="B742" t="s">
        <v>1222</v>
      </c>
      <c r="C742" t="s">
        <v>372</v>
      </c>
      <c r="E742" t="s">
        <v>503</v>
      </c>
      <c r="F742">
        <v>15</v>
      </c>
      <c r="G742">
        <v>1995</v>
      </c>
      <c r="H742">
        <v>204</v>
      </c>
      <c r="I742">
        <v>13.532</v>
      </c>
      <c r="J742">
        <v>778.34100000000001</v>
      </c>
      <c r="K742">
        <v>202</v>
      </c>
    </row>
    <row r="743" spans="1:11">
      <c r="A743">
        <v>15008</v>
      </c>
      <c r="B743" t="s">
        <v>1222</v>
      </c>
      <c r="C743" t="s">
        <v>1076</v>
      </c>
      <c r="E743" t="s">
        <v>503</v>
      </c>
      <c r="F743">
        <v>15</v>
      </c>
      <c r="G743">
        <v>1995</v>
      </c>
      <c r="H743">
        <v>135</v>
      </c>
      <c r="I743">
        <v>24.626000000000001</v>
      </c>
      <c r="J743">
        <v>1187.5619999999999</v>
      </c>
      <c r="K743">
        <v>194</v>
      </c>
    </row>
    <row r="744" spans="1:11">
      <c r="A744">
        <v>18128</v>
      </c>
      <c r="B744" t="s">
        <v>1223</v>
      </c>
      <c r="C744" t="s">
        <v>532</v>
      </c>
      <c r="E744" t="s">
        <v>365</v>
      </c>
      <c r="F744">
        <v>86</v>
      </c>
      <c r="G744">
        <v>1990</v>
      </c>
      <c r="H744">
        <v>889</v>
      </c>
      <c r="I744">
        <v>0</v>
      </c>
      <c r="J744">
        <v>0</v>
      </c>
      <c r="K744">
        <v>0</v>
      </c>
    </row>
    <row r="745" spans="1:11">
      <c r="A745">
        <v>15081</v>
      </c>
      <c r="B745" t="s">
        <v>1224</v>
      </c>
      <c r="C745" t="s">
        <v>381</v>
      </c>
      <c r="E745" t="s">
        <v>432</v>
      </c>
      <c r="F745">
        <v>2</v>
      </c>
      <c r="G745">
        <v>1992</v>
      </c>
      <c r="H745">
        <v>512</v>
      </c>
      <c r="I745">
        <v>3.25</v>
      </c>
      <c r="J745">
        <v>77.05</v>
      </c>
      <c r="K745">
        <v>0</v>
      </c>
    </row>
    <row r="746" spans="1:11">
      <c r="A746">
        <v>26001</v>
      </c>
      <c r="B746" t="s">
        <v>1225</v>
      </c>
      <c r="C746" t="s">
        <v>510</v>
      </c>
      <c r="D746" t="s">
        <v>262</v>
      </c>
      <c r="E746" t="s">
        <v>205</v>
      </c>
      <c r="F746">
        <v>17</v>
      </c>
      <c r="G746">
        <v>1997</v>
      </c>
      <c r="H746">
        <v>603</v>
      </c>
      <c r="I746">
        <v>1</v>
      </c>
      <c r="J746">
        <v>24.988</v>
      </c>
      <c r="K746">
        <v>0</v>
      </c>
    </row>
    <row r="747" spans="1:11">
      <c r="A747">
        <v>20521</v>
      </c>
      <c r="B747" t="s">
        <v>1226</v>
      </c>
      <c r="C747" t="s">
        <v>475</v>
      </c>
      <c r="E747" t="s">
        <v>428</v>
      </c>
      <c r="F747">
        <v>76</v>
      </c>
      <c r="G747">
        <v>1942</v>
      </c>
      <c r="H747">
        <v>890</v>
      </c>
      <c r="I747">
        <v>0</v>
      </c>
      <c r="J747">
        <v>0</v>
      </c>
      <c r="K747">
        <v>0</v>
      </c>
    </row>
    <row r="748" spans="1:11">
      <c r="A748">
        <v>12022</v>
      </c>
      <c r="B748" t="s">
        <v>1227</v>
      </c>
      <c r="C748" t="s">
        <v>979</v>
      </c>
      <c r="D748" t="s">
        <v>262</v>
      </c>
      <c r="E748" t="s">
        <v>205</v>
      </c>
      <c r="F748">
        <v>17</v>
      </c>
      <c r="G748">
        <v>1986</v>
      </c>
      <c r="H748">
        <v>9</v>
      </c>
      <c r="I748">
        <v>38.875</v>
      </c>
      <c r="J748">
        <v>3347.99</v>
      </c>
      <c r="K748">
        <v>1642</v>
      </c>
    </row>
    <row r="749" spans="1:11">
      <c r="A749">
        <v>13041</v>
      </c>
      <c r="B749" t="s">
        <v>1228</v>
      </c>
      <c r="C749" t="s">
        <v>378</v>
      </c>
      <c r="D749" t="s">
        <v>262</v>
      </c>
      <c r="E749" t="s">
        <v>148</v>
      </c>
      <c r="F749">
        <v>1</v>
      </c>
      <c r="G749">
        <v>1959</v>
      </c>
      <c r="H749">
        <v>79</v>
      </c>
      <c r="I749">
        <v>25.907</v>
      </c>
      <c r="J749">
        <v>1780.7170000000001</v>
      </c>
      <c r="K749">
        <v>601</v>
      </c>
    </row>
    <row r="750" spans="1:11">
      <c r="A750">
        <v>16145</v>
      </c>
      <c r="B750" t="s">
        <v>1229</v>
      </c>
      <c r="C750" t="s">
        <v>384</v>
      </c>
      <c r="E750" t="s">
        <v>417</v>
      </c>
      <c r="F750">
        <v>69</v>
      </c>
      <c r="G750">
        <v>1981</v>
      </c>
      <c r="H750">
        <v>416</v>
      </c>
      <c r="I750">
        <v>3.5630000000000002</v>
      </c>
      <c r="J750">
        <v>175.65299999999999</v>
      </c>
      <c r="K750">
        <v>57</v>
      </c>
    </row>
    <row r="751" spans="1:11">
      <c r="A751">
        <v>17094</v>
      </c>
      <c r="B751" t="s">
        <v>1230</v>
      </c>
      <c r="C751" t="s">
        <v>367</v>
      </c>
      <c r="D751" t="s">
        <v>262</v>
      </c>
      <c r="E751" t="s">
        <v>417</v>
      </c>
      <c r="F751">
        <v>69</v>
      </c>
      <c r="G751">
        <v>2001</v>
      </c>
      <c r="H751">
        <v>498</v>
      </c>
      <c r="I751">
        <v>0.625</v>
      </c>
      <c r="J751">
        <v>85.784000000000006</v>
      </c>
      <c r="K751">
        <v>57</v>
      </c>
    </row>
    <row r="752" spans="1:11">
      <c r="A752">
        <v>96050</v>
      </c>
      <c r="B752" t="s">
        <v>1231</v>
      </c>
      <c r="C752" t="s">
        <v>1232</v>
      </c>
      <c r="E752" t="s">
        <v>198</v>
      </c>
      <c r="F752">
        <v>21</v>
      </c>
      <c r="G752">
        <v>1928</v>
      </c>
      <c r="H752">
        <v>891</v>
      </c>
      <c r="I752">
        <v>0</v>
      </c>
      <c r="J752">
        <v>0</v>
      </c>
      <c r="K752">
        <v>0</v>
      </c>
    </row>
    <row r="753" spans="1:11">
      <c r="A753">
        <v>12049</v>
      </c>
      <c r="B753" t="s">
        <v>1233</v>
      </c>
      <c r="C753" t="s">
        <v>407</v>
      </c>
      <c r="E753" t="s">
        <v>276</v>
      </c>
      <c r="F753">
        <v>14</v>
      </c>
      <c r="G753">
        <v>1982</v>
      </c>
      <c r="H753">
        <v>144</v>
      </c>
      <c r="I753">
        <v>24</v>
      </c>
      <c r="J753">
        <v>1133.0540000000001</v>
      </c>
      <c r="K753">
        <v>231</v>
      </c>
    </row>
    <row r="754" spans="1:11">
      <c r="A754">
        <v>19038</v>
      </c>
      <c r="B754" t="s">
        <v>1234</v>
      </c>
      <c r="C754" t="s">
        <v>414</v>
      </c>
      <c r="E754" t="s">
        <v>603</v>
      </c>
      <c r="F754">
        <v>66</v>
      </c>
      <c r="G754">
        <v>1968</v>
      </c>
      <c r="H754">
        <v>354</v>
      </c>
      <c r="I754">
        <v>5.3760000000000003</v>
      </c>
      <c r="J754">
        <v>266.25200000000001</v>
      </c>
      <c r="K754">
        <v>25</v>
      </c>
    </row>
    <row r="755" spans="1:11">
      <c r="A755">
        <v>19053</v>
      </c>
      <c r="B755" t="s">
        <v>1235</v>
      </c>
      <c r="C755" t="s">
        <v>444</v>
      </c>
      <c r="E755" t="s">
        <v>138</v>
      </c>
      <c r="F755">
        <v>89</v>
      </c>
      <c r="G755">
        <v>1967</v>
      </c>
      <c r="H755">
        <v>422</v>
      </c>
      <c r="I755">
        <v>4.6879999999999997</v>
      </c>
      <c r="J755">
        <v>170.71700000000001</v>
      </c>
      <c r="K755">
        <v>0</v>
      </c>
    </row>
    <row r="756" spans="1:11">
      <c r="A756">
        <v>27051</v>
      </c>
      <c r="B756" t="s">
        <v>1236</v>
      </c>
      <c r="C756" t="s">
        <v>486</v>
      </c>
      <c r="D756" t="s">
        <v>262</v>
      </c>
      <c r="E756" t="s">
        <v>148</v>
      </c>
      <c r="F756">
        <v>1</v>
      </c>
      <c r="G756">
        <v>1953</v>
      </c>
      <c r="H756">
        <v>488</v>
      </c>
      <c r="I756">
        <v>2.625</v>
      </c>
      <c r="J756">
        <v>93.378</v>
      </c>
      <c r="K756">
        <v>0</v>
      </c>
    </row>
    <row r="757" spans="1:11">
      <c r="A757">
        <v>15055</v>
      </c>
      <c r="B757" t="s">
        <v>1237</v>
      </c>
      <c r="C757" t="s">
        <v>532</v>
      </c>
      <c r="D757" t="s">
        <v>397</v>
      </c>
      <c r="E757" t="s">
        <v>148</v>
      </c>
      <c r="F757">
        <v>1</v>
      </c>
      <c r="G757">
        <v>2005</v>
      </c>
      <c r="H757">
        <v>199</v>
      </c>
      <c r="I757">
        <v>11.375999999999999</v>
      </c>
      <c r="J757">
        <v>788.76</v>
      </c>
      <c r="K757">
        <v>272</v>
      </c>
    </row>
    <row r="758" spans="1:11">
      <c r="A758">
        <v>27015</v>
      </c>
      <c r="B758" t="s">
        <v>1237</v>
      </c>
      <c r="C758" t="s">
        <v>370</v>
      </c>
      <c r="E758" t="s">
        <v>148</v>
      </c>
      <c r="F758">
        <v>1</v>
      </c>
      <c r="G758">
        <v>1997</v>
      </c>
      <c r="H758">
        <v>10</v>
      </c>
      <c r="I758">
        <v>50.625</v>
      </c>
      <c r="J758">
        <v>3267.5010000000002</v>
      </c>
      <c r="K758">
        <v>1129</v>
      </c>
    </row>
    <row r="759" spans="1:11">
      <c r="A759">
        <v>28024</v>
      </c>
      <c r="B759" t="s">
        <v>1238</v>
      </c>
      <c r="C759" t="s">
        <v>597</v>
      </c>
      <c r="E759" t="s">
        <v>398</v>
      </c>
      <c r="F759">
        <v>27</v>
      </c>
      <c r="G759">
        <v>1957</v>
      </c>
      <c r="H759">
        <v>892</v>
      </c>
      <c r="I759">
        <v>0</v>
      </c>
      <c r="J759">
        <v>0</v>
      </c>
      <c r="K759">
        <v>0</v>
      </c>
    </row>
    <row r="760" spans="1:11">
      <c r="A760">
        <v>16053</v>
      </c>
      <c r="B760" t="s">
        <v>1239</v>
      </c>
      <c r="C760" t="s">
        <v>414</v>
      </c>
      <c r="E760" t="s">
        <v>630</v>
      </c>
      <c r="F760">
        <v>82</v>
      </c>
      <c r="G760">
        <v>1967</v>
      </c>
      <c r="H760">
        <v>262</v>
      </c>
      <c r="I760">
        <v>10.188000000000001</v>
      </c>
      <c r="J760">
        <v>479.16500000000002</v>
      </c>
      <c r="K760">
        <v>90</v>
      </c>
    </row>
    <row r="761" spans="1:11">
      <c r="A761">
        <v>20507</v>
      </c>
      <c r="B761" t="s">
        <v>1240</v>
      </c>
      <c r="C761" t="s">
        <v>1241</v>
      </c>
      <c r="E761" t="s">
        <v>306</v>
      </c>
      <c r="F761">
        <v>33</v>
      </c>
      <c r="G761">
        <v>1947</v>
      </c>
      <c r="H761">
        <v>893</v>
      </c>
      <c r="I761">
        <v>0</v>
      </c>
      <c r="J761">
        <v>0</v>
      </c>
      <c r="K761">
        <v>0</v>
      </c>
    </row>
    <row r="762" spans="1:11">
      <c r="A762">
        <v>96095</v>
      </c>
      <c r="B762" t="s">
        <v>1242</v>
      </c>
      <c r="C762" t="s">
        <v>597</v>
      </c>
      <c r="E762" t="s">
        <v>401</v>
      </c>
      <c r="F762">
        <v>16</v>
      </c>
      <c r="G762">
        <v>1968</v>
      </c>
      <c r="H762">
        <v>894</v>
      </c>
      <c r="I762">
        <v>0</v>
      </c>
      <c r="J762">
        <v>0</v>
      </c>
      <c r="K762">
        <v>0</v>
      </c>
    </row>
    <row r="763" spans="1:11">
      <c r="A763">
        <v>14055</v>
      </c>
      <c r="B763" t="s">
        <v>1242</v>
      </c>
      <c r="C763" t="s">
        <v>414</v>
      </c>
      <c r="E763" t="s">
        <v>621</v>
      </c>
      <c r="F763">
        <v>68</v>
      </c>
      <c r="G763">
        <v>1956</v>
      </c>
      <c r="H763">
        <v>217</v>
      </c>
      <c r="I763">
        <v>9.2050000000000001</v>
      </c>
      <c r="J763">
        <v>669.13900000000001</v>
      </c>
      <c r="K763">
        <v>257</v>
      </c>
    </row>
    <row r="764" spans="1:11">
      <c r="A764">
        <v>16117</v>
      </c>
      <c r="B764" t="s">
        <v>1242</v>
      </c>
      <c r="C764" t="s">
        <v>769</v>
      </c>
      <c r="E764" t="s">
        <v>621</v>
      </c>
      <c r="F764">
        <v>68</v>
      </c>
      <c r="G764">
        <v>1955</v>
      </c>
      <c r="H764">
        <v>123</v>
      </c>
      <c r="I764">
        <v>20.408999999999999</v>
      </c>
      <c r="J764">
        <v>1270.6030000000001</v>
      </c>
      <c r="K764">
        <v>466</v>
      </c>
    </row>
    <row r="765" spans="1:11">
      <c r="A765">
        <v>10092</v>
      </c>
      <c r="B765" t="s">
        <v>1243</v>
      </c>
      <c r="C765" t="s">
        <v>1139</v>
      </c>
      <c r="D765" t="s">
        <v>262</v>
      </c>
      <c r="E765" t="s">
        <v>417</v>
      </c>
      <c r="F765">
        <v>69</v>
      </c>
      <c r="G765">
        <v>1957</v>
      </c>
      <c r="H765">
        <v>626</v>
      </c>
      <c r="I765">
        <v>0.875</v>
      </c>
      <c r="J765">
        <v>12.576000000000001</v>
      </c>
      <c r="K765">
        <v>0</v>
      </c>
    </row>
    <row r="766" spans="1:11">
      <c r="A766">
        <v>11051</v>
      </c>
      <c r="B766" t="s">
        <v>1244</v>
      </c>
      <c r="C766" t="s">
        <v>444</v>
      </c>
      <c r="E766" t="s">
        <v>288</v>
      </c>
      <c r="F766">
        <v>22</v>
      </c>
      <c r="G766">
        <v>1970</v>
      </c>
      <c r="H766">
        <v>370</v>
      </c>
      <c r="I766">
        <v>4.5</v>
      </c>
      <c r="J766">
        <v>238.94300000000001</v>
      </c>
      <c r="K766">
        <v>44</v>
      </c>
    </row>
    <row r="767" spans="1:11">
      <c r="A767">
        <v>96024</v>
      </c>
      <c r="B767" t="s">
        <v>1245</v>
      </c>
      <c r="C767" t="s">
        <v>414</v>
      </c>
      <c r="E767" t="s">
        <v>157</v>
      </c>
      <c r="F767">
        <v>10</v>
      </c>
      <c r="G767">
        <v>1963</v>
      </c>
      <c r="H767">
        <v>307</v>
      </c>
      <c r="I767">
        <v>7.72</v>
      </c>
      <c r="J767">
        <v>351.774</v>
      </c>
      <c r="K767">
        <v>75</v>
      </c>
    </row>
    <row r="768" spans="1:11">
      <c r="A768">
        <v>96152</v>
      </c>
      <c r="B768" t="s">
        <v>1245</v>
      </c>
      <c r="C768" t="s">
        <v>395</v>
      </c>
      <c r="E768" t="s">
        <v>157</v>
      </c>
      <c r="F768">
        <v>10</v>
      </c>
      <c r="G768">
        <v>1987</v>
      </c>
      <c r="H768">
        <v>153</v>
      </c>
      <c r="I768">
        <v>16</v>
      </c>
      <c r="J768">
        <v>1098.893</v>
      </c>
      <c r="K768">
        <v>403</v>
      </c>
    </row>
    <row r="769" spans="1:11">
      <c r="A769">
        <v>96025</v>
      </c>
      <c r="B769" t="s">
        <v>1246</v>
      </c>
      <c r="C769" t="s">
        <v>560</v>
      </c>
      <c r="D769" t="s">
        <v>262</v>
      </c>
      <c r="E769" t="s">
        <v>157</v>
      </c>
      <c r="F769">
        <v>10</v>
      </c>
      <c r="G769">
        <v>1965</v>
      </c>
      <c r="H769">
        <v>583</v>
      </c>
      <c r="I769">
        <v>0.93799999999999994</v>
      </c>
      <c r="J769">
        <v>38.671999999999997</v>
      </c>
      <c r="K769">
        <v>0</v>
      </c>
    </row>
    <row r="770" spans="1:11">
      <c r="A770">
        <v>18143</v>
      </c>
      <c r="B770" t="s">
        <v>1247</v>
      </c>
      <c r="C770" t="s">
        <v>386</v>
      </c>
      <c r="D770" t="s">
        <v>262</v>
      </c>
      <c r="E770" t="s">
        <v>549</v>
      </c>
      <c r="F770">
        <v>91</v>
      </c>
      <c r="G770">
        <v>1964</v>
      </c>
      <c r="H770">
        <v>563</v>
      </c>
      <c r="I770">
        <v>1.25</v>
      </c>
      <c r="J770">
        <v>46.655000000000001</v>
      </c>
      <c r="K770">
        <v>0</v>
      </c>
    </row>
    <row r="771" spans="1:11">
      <c r="A771">
        <v>18098</v>
      </c>
      <c r="B771" t="s">
        <v>1248</v>
      </c>
      <c r="C771" t="s">
        <v>416</v>
      </c>
      <c r="E771" t="s">
        <v>432</v>
      </c>
      <c r="F771">
        <v>2</v>
      </c>
      <c r="G771">
        <v>1978</v>
      </c>
      <c r="H771">
        <v>414</v>
      </c>
      <c r="I771">
        <v>5.0629999999999997</v>
      </c>
      <c r="J771">
        <v>178.23099999999999</v>
      </c>
      <c r="K771">
        <v>0</v>
      </c>
    </row>
    <row r="772" spans="1:11">
      <c r="A772">
        <v>16132</v>
      </c>
      <c r="B772" t="s">
        <v>1249</v>
      </c>
      <c r="C772" t="s">
        <v>710</v>
      </c>
      <c r="D772" t="s">
        <v>511</v>
      </c>
      <c r="E772" t="s">
        <v>432</v>
      </c>
      <c r="F772">
        <v>2</v>
      </c>
      <c r="G772">
        <v>2008</v>
      </c>
      <c r="H772">
        <v>439</v>
      </c>
      <c r="I772">
        <v>4</v>
      </c>
      <c r="J772">
        <v>147.447</v>
      </c>
      <c r="K772">
        <v>0</v>
      </c>
    </row>
    <row r="773" spans="1:11">
      <c r="A773">
        <v>16133</v>
      </c>
      <c r="B773" t="s">
        <v>1249</v>
      </c>
      <c r="C773" t="s">
        <v>1250</v>
      </c>
      <c r="D773" t="s">
        <v>511</v>
      </c>
      <c r="E773" t="s">
        <v>432</v>
      </c>
      <c r="F773">
        <v>2</v>
      </c>
      <c r="G773">
        <v>2005</v>
      </c>
      <c r="H773">
        <v>533</v>
      </c>
      <c r="I773">
        <v>1.875</v>
      </c>
      <c r="J773">
        <v>65.509</v>
      </c>
      <c r="K773">
        <v>0</v>
      </c>
    </row>
    <row r="774" spans="1:11">
      <c r="A774">
        <v>96129</v>
      </c>
      <c r="B774" t="s">
        <v>1251</v>
      </c>
      <c r="C774" t="s">
        <v>553</v>
      </c>
      <c r="E774" t="s">
        <v>725</v>
      </c>
      <c r="F774">
        <v>7</v>
      </c>
      <c r="G774">
        <v>1971</v>
      </c>
      <c r="H774">
        <v>895</v>
      </c>
      <c r="I774">
        <v>0</v>
      </c>
      <c r="J774">
        <v>0</v>
      </c>
      <c r="K774">
        <v>0</v>
      </c>
    </row>
    <row r="775" spans="1:11">
      <c r="A775">
        <v>28047</v>
      </c>
      <c r="B775" t="s">
        <v>1252</v>
      </c>
      <c r="C775" t="s">
        <v>1253</v>
      </c>
      <c r="E775" t="s">
        <v>543</v>
      </c>
      <c r="F775">
        <v>54</v>
      </c>
      <c r="G775">
        <v>1962</v>
      </c>
      <c r="H775">
        <v>159</v>
      </c>
      <c r="I775">
        <v>10.343999999999999</v>
      </c>
      <c r="J775">
        <v>1038.248</v>
      </c>
      <c r="K775">
        <v>529</v>
      </c>
    </row>
    <row r="776" spans="1:11">
      <c r="A776">
        <v>29023</v>
      </c>
      <c r="B776" t="s">
        <v>1254</v>
      </c>
      <c r="C776" t="s">
        <v>394</v>
      </c>
      <c r="E776" t="s">
        <v>645</v>
      </c>
      <c r="F776">
        <v>56</v>
      </c>
      <c r="G776">
        <v>1947</v>
      </c>
      <c r="H776">
        <v>332</v>
      </c>
      <c r="I776">
        <v>6.5940000000000003</v>
      </c>
      <c r="J776">
        <v>303.04000000000002</v>
      </c>
      <c r="K776">
        <v>52</v>
      </c>
    </row>
    <row r="777" spans="1:11">
      <c r="A777">
        <v>11013</v>
      </c>
      <c r="B777" t="s">
        <v>1255</v>
      </c>
      <c r="C777" t="s">
        <v>434</v>
      </c>
      <c r="D777" t="s">
        <v>262</v>
      </c>
      <c r="E777" t="s">
        <v>645</v>
      </c>
      <c r="F777">
        <v>56</v>
      </c>
      <c r="G777">
        <v>1948</v>
      </c>
      <c r="H777">
        <v>336</v>
      </c>
      <c r="I777">
        <v>6.2510000000000003</v>
      </c>
      <c r="J777">
        <v>291.47500000000002</v>
      </c>
      <c r="K777">
        <v>52</v>
      </c>
    </row>
    <row r="778" spans="1:11">
      <c r="A778">
        <v>12064</v>
      </c>
      <c r="B778" t="s">
        <v>1256</v>
      </c>
      <c r="C778" t="s">
        <v>444</v>
      </c>
      <c r="E778" t="s">
        <v>600</v>
      </c>
      <c r="F778">
        <v>74</v>
      </c>
      <c r="G778">
        <v>1981</v>
      </c>
      <c r="H778">
        <v>295</v>
      </c>
      <c r="I778">
        <v>4.0789999999999997</v>
      </c>
      <c r="J778">
        <v>377.53100000000001</v>
      </c>
      <c r="K778">
        <v>182</v>
      </c>
    </row>
    <row r="779" spans="1:11">
      <c r="A779">
        <v>22990</v>
      </c>
      <c r="B779" t="s">
        <v>1256</v>
      </c>
      <c r="C779" t="s">
        <v>553</v>
      </c>
      <c r="E779" t="s">
        <v>393</v>
      </c>
      <c r="F779">
        <v>29</v>
      </c>
      <c r="G779">
        <v>1967</v>
      </c>
      <c r="H779">
        <v>434</v>
      </c>
      <c r="I779">
        <v>3.8130000000000002</v>
      </c>
      <c r="J779">
        <v>152.47200000000001</v>
      </c>
      <c r="K779">
        <v>0</v>
      </c>
    </row>
    <row r="780" spans="1:11">
      <c r="A780">
        <v>28055</v>
      </c>
      <c r="B780" t="s">
        <v>1257</v>
      </c>
      <c r="C780" t="s">
        <v>872</v>
      </c>
      <c r="D780" t="s">
        <v>262</v>
      </c>
      <c r="E780" t="s">
        <v>645</v>
      </c>
      <c r="F780">
        <v>56</v>
      </c>
      <c r="G780">
        <v>1970</v>
      </c>
      <c r="H780">
        <v>69</v>
      </c>
      <c r="I780">
        <v>25.314</v>
      </c>
      <c r="J780">
        <v>1958.7809999999999</v>
      </c>
      <c r="K780">
        <v>870</v>
      </c>
    </row>
    <row r="781" spans="1:11">
      <c r="A781">
        <v>10093</v>
      </c>
      <c r="B781" t="s">
        <v>1258</v>
      </c>
      <c r="C781" t="s">
        <v>611</v>
      </c>
      <c r="E781" t="s">
        <v>417</v>
      </c>
      <c r="F781">
        <v>69</v>
      </c>
      <c r="G781">
        <v>1947</v>
      </c>
      <c r="H781">
        <v>343</v>
      </c>
      <c r="I781">
        <v>4.907</v>
      </c>
      <c r="J781">
        <v>272.64800000000002</v>
      </c>
      <c r="K781">
        <v>104</v>
      </c>
    </row>
    <row r="782" spans="1:11">
      <c r="A782">
        <v>96042</v>
      </c>
      <c r="B782" t="s">
        <v>1259</v>
      </c>
      <c r="C782" t="s">
        <v>486</v>
      </c>
      <c r="D782" t="s">
        <v>262</v>
      </c>
      <c r="E782" t="s">
        <v>148</v>
      </c>
      <c r="F782">
        <v>1</v>
      </c>
      <c r="G782">
        <v>1963</v>
      </c>
      <c r="H782">
        <v>896</v>
      </c>
      <c r="I782">
        <v>0</v>
      </c>
      <c r="J782">
        <v>0</v>
      </c>
      <c r="K782">
        <v>0</v>
      </c>
    </row>
    <row r="783" spans="1:11">
      <c r="A783">
        <v>20500</v>
      </c>
      <c r="B783" t="s">
        <v>1259</v>
      </c>
      <c r="C783" t="s">
        <v>724</v>
      </c>
      <c r="D783" t="s">
        <v>262</v>
      </c>
      <c r="E783" t="s">
        <v>148</v>
      </c>
      <c r="F783">
        <v>1</v>
      </c>
      <c r="G783">
        <v>1971</v>
      </c>
      <c r="H783">
        <v>897</v>
      </c>
      <c r="I783">
        <v>0</v>
      </c>
      <c r="J783">
        <v>0</v>
      </c>
      <c r="K783">
        <v>0</v>
      </c>
    </row>
    <row r="784" spans="1:11">
      <c r="A784">
        <v>20559</v>
      </c>
      <c r="B784" t="s">
        <v>1260</v>
      </c>
      <c r="C784" t="s">
        <v>1261</v>
      </c>
      <c r="D784" t="s">
        <v>397</v>
      </c>
      <c r="E784" t="s">
        <v>413</v>
      </c>
      <c r="F784">
        <v>94</v>
      </c>
      <c r="G784">
        <v>2004</v>
      </c>
      <c r="H784">
        <v>898</v>
      </c>
      <c r="I784">
        <v>0</v>
      </c>
      <c r="J784">
        <v>0</v>
      </c>
      <c r="K784">
        <v>0</v>
      </c>
    </row>
    <row r="785" spans="1:11">
      <c r="A785">
        <v>18110</v>
      </c>
      <c r="B785" t="s">
        <v>1262</v>
      </c>
      <c r="C785" t="s">
        <v>391</v>
      </c>
      <c r="E785" t="s">
        <v>1063</v>
      </c>
      <c r="F785">
        <v>31</v>
      </c>
      <c r="G785">
        <v>1979</v>
      </c>
      <c r="H785">
        <v>899</v>
      </c>
      <c r="I785">
        <v>0</v>
      </c>
      <c r="J785">
        <v>0</v>
      </c>
      <c r="K785">
        <v>0</v>
      </c>
    </row>
    <row r="786" spans="1:11">
      <c r="A786">
        <v>21756</v>
      </c>
      <c r="B786" t="s">
        <v>1263</v>
      </c>
      <c r="C786" t="s">
        <v>618</v>
      </c>
      <c r="D786" t="s">
        <v>262</v>
      </c>
      <c r="E786" t="s">
        <v>1063</v>
      </c>
      <c r="F786">
        <v>31</v>
      </c>
      <c r="G786">
        <v>1985</v>
      </c>
      <c r="H786">
        <v>900</v>
      </c>
      <c r="I786">
        <v>0</v>
      </c>
      <c r="J786">
        <v>0</v>
      </c>
      <c r="K786">
        <v>0</v>
      </c>
    </row>
    <row r="787" spans="1:11">
      <c r="A787">
        <v>99596</v>
      </c>
      <c r="B787" t="s">
        <v>1264</v>
      </c>
      <c r="C787" t="s">
        <v>391</v>
      </c>
      <c r="E787" t="s">
        <v>116</v>
      </c>
      <c r="F787">
        <v>19</v>
      </c>
      <c r="G787">
        <v>1952</v>
      </c>
      <c r="H787">
        <v>901</v>
      </c>
      <c r="I787">
        <v>0</v>
      </c>
      <c r="J787">
        <v>0</v>
      </c>
      <c r="K787">
        <v>0</v>
      </c>
    </row>
    <row r="788" spans="1:11">
      <c r="A788">
        <v>17045</v>
      </c>
      <c r="B788" t="s">
        <v>1265</v>
      </c>
      <c r="C788" t="s">
        <v>1266</v>
      </c>
      <c r="D788" t="s">
        <v>511</v>
      </c>
      <c r="E788" t="s">
        <v>392</v>
      </c>
      <c r="F788">
        <v>51</v>
      </c>
      <c r="G788">
        <v>2007</v>
      </c>
      <c r="H788">
        <v>509</v>
      </c>
      <c r="I788">
        <v>1.6879999999999999</v>
      </c>
      <c r="J788">
        <v>78.073999999999998</v>
      </c>
      <c r="K788">
        <v>0</v>
      </c>
    </row>
    <row r="789" spans="1:11">
      <c r="A789">
        <v>28004</v>
      </c>
      <c r="B789" t="s">
        <v>1267</v>
      </c>
      <c r="C789" t="s">
        <v>414</v>
      </c>
      <c r="E789" t="s">
        <v>645</v>
      </c>
      <c r="F789">
        <v>56</v>
      </c>
      <c r="G789">
        <v>1978</v>
      </c>
      <c r="H789">
        <v>33</v>
      </c>
      <c r="I789">
        <v>31.375</v>
      </c>
      <c r="J789">
        <v>2495.0349999999999</v>
      </c>
      <c r="K789">
        <v>1155</v>
      </c>
    </row>
    <row r="790" spans="1:11">
      <c r="A790">
        <v>16027</v>
      </c>
      <c r="B790" t="s">
        <v>1268</v>
      </c>
      <c r="C790" t="s">
        <v>437</v>
      </c>
      <c r="D790" t="s">
        <v>262</v>
      </c>
      <c r="E790" t="s">
        <v>393</v>
      </c>
      <c r="F790">
        <v>29</v>
      </c>
      <c r="G790">
        <v>1972</v>
      </c>
      <c r="H790">
        <v>288</v>
      </c>
      <c r="I790">
        <v>11.875999999999999</v>
      </c>
      <c r="J790">
        <v>398.58499999999998</v>
      </c>
      <c r="K790">
        <v>0</v>
      </c>
    </row>
    <row r="791" spans="1:11">
      <c r="A791">
        <v>12017</v>
      </c>
      <c r="B791" t="s">
        <v>1268</v>
      </c>
      <c r="C791" t="s">
        <v>641</v>
      </c>
      <c r="D791" t="s">
        <v>262</v>
      </c>
      <c r="E791" t="s">
        <v>392</v>
      </c>
      <c r="F791">
        <v>51</v>
      </c>
      <c r="G791">
        <v>1968</v>
      </c>
      <c r="H791">
        <v>50</v>
      </c>
      <c r="I791">
        <v>30.530999999999999</v>
      </c>
      <c r="J791">
        <v>2273.5569999999998</v>
      </c>
      <c r="K791">
        <v>935</v>
      </c>
    </row>
    <row r="792" spans="1:11">
      <c r="A792">
        <v>10135</v>
      </c>
      <c r="B792" t="s">
        <v>1269</v>
      </c>
      <c r="C792" t="s">
        <v>414</v>
      </c>
      <c r="E792" t="s">
        <v>148</v>
      </c>
      <c r="F792">
        <v>1</v>
      </c>
      <c r="G792">
        <v>1945</v>
      </c>
      <c r="H792">
        <v>634</v>
      </c>
      <c r="I792">
        <v>6.3E-2</v>
      </c>
      <c r="J792">
        <v>2.9409999999999998</v>
      </c>
      <c r="K792">
        <v>0</v>
      </c>
    </row>
    <row r="793" spans="1:11">
      <c r="A793">
        <v>16114</v>
      </c>
      <c r="B793" t="s">
        <v>1270</v>
      </c>
      <c r="C793" t="s">
        <v>394</v>
      </c>
      <c r="E793" t="s">
        <v>198</v>
      </c>
      <c r="F793">
        <v>21</v>
      </c>
      <c r="G793">
        <v>1954</v>
      </c>
      <c r="H793">
        <v>902</v>
      </c>
      <c r="I793">
        <v>0</v>
      </c>
      <c r="J793">
        <v>0</v>
      </c>
      <c r="K793">
        <v>0</v>
      </c>
    </row>
    <row r="794" spans="1:11">
      <c r="A794">
        <v>28010</v>
      </c>
      <c r="B794" t="s">
        <v>1271</v>
      </c>
      <c r="C794" t="s">
        <v>414</v>
      </c>
      <c r="E794" t="s">
        <v>148</v>
      </c>
      <c r="F794">
        <v>1</v>
      </c>
      <c r="G794">
        <v>1969</v>
      </c>
      <c r="H794">
        <v>378</v>
      </c>
      <c r="I794">
        <v>4.875</v>
      </c>
      <c r="J794">
        <v>227.24100000000001</v>
      </c>
      <c r="K794">
        <v>0</v>
      </c>
    </row>
    <row r="795" spans="1:11">
      <c r="A795">
        <v>20518</v>
      </c>
      <c r="B795" t="s">
        <v>1272</v>
      </c>
      <c r="C795" t="s">
        <v>597</v>
      </c>
      <c r="E795" t="s">
        <v>376</v>
      </c>
      <c r="F795">
        <v>70</v>
      </c>
      <c r="G795">
        <v>1937</v>
      </c>
      <c r="H795">
        <v>903</v>
      </c>
      <c r="I795">
        <v>0</v>
      </c>
      <c r="J795">
        <v>0</v>
      </c>
      <c r="K795">
        <v>0</v>
      </c>
    </row>
    <row r="796" spans="1:11">
      <c r="A796">
        <v>99551</v>
      </c>
      <c r="B796" t="s">
        <v>1273</v>
      </c>
      <c r="C796" t="s">
        <v>375</v>
      </c>
      <c r="E796" t="s">
        <v>142</v>
      </c>
      <c r="F796">
        <v>20</v>
      </c>
      <c r="G796">
        <v>1954</v>
      </c>
      <c r="H796">
        <v>342</v>
      </c>
      <c r="I796">
        <v>2.8130000000000002</v>
      </c>
      <c r="J796">
        <v>274.95499999999998</v>
      </c>
      <c r="K796">
        <v>131</v>
      </c>
    </row>
    <row r="797" spans="1:11">
      <c r="A797">
        <v>28002</v>
      </c>
      <c r="B797" t="s">
        <v>1274</v>
      </c>
      <c r="C797" t="s">
        <v>375</v>
      </c>
      <c r="E797" t="s">
        <v>142</v>
      </c>
      <c r="F797">
        <v>20</v>
      </c>
      <c r="G797">
        <v>1996</v>
      </c>
      <c r="H797">
        <v>387</v>
      </c>
      <c r="I797">
        <v>1.5</v>
      </c>
      <c r="J797">
        <v>213.5</v>
      </c>
      <c r="K797">
        <v>131</v>
      </c>
    </row>
    <row r="798" spans="1:11">
      <c r="A798">
        <v>19054</v>
      </c>
      <c r="B798" t="s">
        <v>1275</v>
      </c>
      <c r="C798" t="s">
        <v>411</v>
      </c>
      <c r="D798" t="s">
        <v>262</v>
      </c>
      <c r="E798" t="s">
        <v>142</v>
      </c>
      <c r="F798">
        <v>20</v>
      </c>
      <c r="G798">
        <v>1991</v>
      </c>
      <c r="H798">
        <v>556</v>
      </c>
      <c r="I798">
        <v>1.0940000000000001</v>
      </c>
      <c r="J798">
        <v>51.244</v>
      </c>
      <c r="K798">
        <v>0</v>
      </c>
    </row>
    <row r="799" spans="1:11">
      <c r="A799">
        <v>29054</v>
      </c>
      <c r="B799" t="s">
        <v>1276</v>
      </c>
      <c r="C799" t="s">
        <v>416</v>
      </c>
      <c r="E799" t="s">
        <v>130</v>
      </c>
      <c r="F799">
        <v>64</v>
      </c>
      <c r="G799">
        <v>1971</v>
      </c>
      <c r="H799">
        <v>480</v>
      </c>
      <c r="I799">
        <v>1.6879999999999999</v>
      </c>
      <c r="J799">
        <v>103.364</v>
      </c>
      <c r="K799">
        <v>30</v>
      </c>
    </row>
    <row r="800" spans="1:11">
      <c r="A800">
        <v>15001</v>
      </c>
      <c r="B800" t="s">
        <v>1277</v>
      </c>
      <c r="C800" t="s">
        <v>375</v>
      </c>
      <c r="E800" t="s">
        <v>300</v>
      </c>
      <c r="F800">
        <v>30</v>
      </c>
      <c r="G800">
        <v>1961</v>
      </c>
      <c r="H800">
        <v>63</v>
      </c>
      <c r="I800">
        <v>32.625</v>
      </c>
      <c r="J800">
        <v>2065.337</v>
      </c>
      <c r="K800">
        <v>793</v>
      </c>
    </row>
    <row r="801" spans="1:11">
      <c r="A801">
        <v>98304</v>
      </c>
      <c r="B801" t="s">
        <v>1278</v>
      </c>
      <c r="C801" t="s">
        <v>1279</v>
      </c>
      <c r="D801" t="s">
        <v>262</v>
      </c>
      <c r="E801" t="s">
        <v>432</v>
      </c>
      <c r="F801">
        <v>2</v>
      </c>
      <c r="G801">
        <v>1960</v>
      </c>
      <c r="H801">
        <v>206</v>
      </c>
      <c r="I801">
        <v>14.032</v>
      </c>
      <c r="J801">
        <v>755.59199999999998</v>
      </c>
      <c r="K801">
        <v>214</v>
      </c>
    </row>
    <row r="802" spans="1:11">
      <c r="A802">
        <v>14005</v>
      </c>
      <c r="B802" t="s">
        <v>1280</v>
      </c>
      <c r="C802" t="s">
        <v>372</v>
      </c>
      <c r="E802" t="s">
        <v>621</v>
      </c>
      <c r="F802">
        <v>68</v>
      </c>
      <c r="G802">
        <v>1988</v>
      </c>
      <c r="H802">
        <v>904</v>
      </c>
      <c r="I802">
        <v>0</v>
      </c>
      <c r="J802">
        <v>0</v>
      </c>
      <c r="K802">
        <v>0</v>
      </c>
    </row>
    <row r="803" spans="1:11">
      <c r="A803">
        <v>13063</v>
      </c>
      <c r="B803" t="s">
        <v>1281</v>
      </c>
      <c r="C803" t="s">
        <v>434</v>
      </c>
      <c r="D803" t="s">
        <v>262</v>
      </c>
      <c r="E803" t="s">
        <v>148</v>
      </c>
      <c r="F803">
        <v>1</v>
      </c>
      <c r="G803">
        <v>1953</v>
      </c>
      <c r="H803">
        <v>464</v>
      </c>
      <c r="I803">
        <v>2.5310000000000001</v>
      </c>
      <c r="J803">
        <v>118.40600000000001</v>
      </c>
      <c r="K803">
        <v>0</v>
      </c>
    </row>
    <row r="804" spans="1:11">
      <c r="A804">
        <v>26034</v>
      </c>
      <c r="B804" t="s">
        <v>1282</v>
      </c>
      <c r="C804" t="s">
        <v>816</v>
      </c>
      <c r="E804" t="s">
        <v>133</v>
      </c>
      <c r="F804">
        <v>63</v>
      </c>
      <c r="G804">
        <v>1954</v>
      </c>
      <c r="H804">
        <v>197</v>
      </c>
      <c r="I804">
        <v>16.437999999999999</v>
      </c>
      <c r="J804">
        <v>794.83199999999999</v>
      </c>
      <c r="K804">
        <v>189</v>
      </c>
    </row>
    <row r="805" spans="1:11">
      <c r="A805">
        <v>20544</v>
      </c>
      <c r="B805" t="s">
        <v>1283</v>
      </c>
      <c r="C805" t="s">
        <v>391</v>
      </c>
      <c r="E805" t="s">
        <v>684</v>
      </c>
      <c r="F805">
        <v>93</v>
      </c>
      <c r="G805">
        <v>1965</v>
      </c>
      <c r="H805">
        <v>905</v>
      </c>
      <c r="I805">
        <v>0</v>
      </c>
      <c r="J805">
        <v>0</v>
      </c>
      <c r="K805">
        <v>0</v>
      </c>
    </row>
    <row r="806" spans="1:11">
      <c r="A806">
        <v>18079</v>
      </c>
      <c r="B806" t="s">
        <v>1284</v>
      </c>
      <c r="C806" t="s">
        <v>767</v>
      </c>
      <c r="D806" t="s">
        <v>262</v>
      </c>
      <c r="E806" t="s">
        <v>138</v>
      </c>
      <c r="F806">
        <v>89</v>
      </c>
      <c r="G806">
        <v>1966</v>
      </c>
      <c r="H806">
        <v>553</v>
      </c>
      <c r="I806">
        <v>1.25</v>
      </c>
      <c r="J806">
        <v>53.920999999999999</v>
      </c>
      <c r="K806">
        <v>0</v>
      </c>
    </row>
    <row r="807" spans="1:11">
      <c r="A807">
        <v>21754</v>
      </c>
      <c r="B807" t="s">
        <v>1285</v>
      </c>
      <c r="C807" t="s">
        <v>444</v>
      </c>
      <c r="E807" t="s">
        <v>470</v>
      </c>
      <c r="F807">
        <v>55</v>
      </c>
      <c r="G807">
        <v>1976</v>
      </c>
      <c r="H807">
        <v>224</v>
      </c>
      <c r="I807">
        <v>6.5309999999999997</v>
      </c>
      <c r="J807">
        <v>631.97500000000002</v>
      </c>
      <c r="K807">
        <v>318</v>
      </c>
    </row>
    <row r="808" spans="1:11">
      <c r="A808">
        <v>21755</v>
      </c>
      <c r="B808" t="s">
        <v>1285</v>
      </c>
      <c r="C808" t="s">
        <v>381</v>
      </c>
      <c r="E808" t="s">
        <v>1063</v>
      </c>
      <c r="F808">
        <v>31</v>
      </c>
      <c r="G808">
        <v>1981</v>
      </c>
      <c r="H808">
        <v>19</v>
      </c>
      <c r="I808">
        <v>34.063000000000002</v>
      </c>
      <c r="J808">
        <v>2836.4110000000001</v>
      </c>
      <c r="K808">
        <v>1204</v>
      </c>
    </row>
    <row r="809" spans="1:11">
      <c r="A809">
        <v>21837</v>
      </c>
      <c r="B809" t="s">
        <v>1286</v>
      </c>
      <c r="C809" t="s">
        <v>386</v>
      </c>
      <c r="D809" t="s">
        <v>262</v>
      </c>
      <c r="E809" t="s">
        <v>1063</v>
      </c>
      <c r="F809">
        <v>31</v>
      </c>
      <c r="G809">
        <v>1982</v>
      </c>
      <c r="H809">
        <v>192</v>
      </c>
      <c r="I809">
        <v>9.625</v>
      </c>
      <c r="J809">
        <v>818.49800000000005</v>
      </c>
      <c r="K809">
        <v>361</v>
      </c>
    </row>
    <row r="810" spans="1:11">
      <c r="A810">
        <v>19034</v>
      </c>
      <c r="B810" t="s">
        <v>1287</v>
      </c>
      <c r="C810" t="s">
        <v>1288</v>
      </c>
      <c r="D810" t="s">
        <v>397</v>
      </c>
      <c r="E810" t="s">
        <v>248</v>
      </c>
      <c r="F810">
        <v>88</v>
      </c>
      <c r="G810">
        <v>2009</v>
      </c>
      <c r="H810">
        <v>431</v>
      </c>
      <c r="I810">
        <v>4.782</v>
      </c>
      <c r="J810">
        <v>155.494</v>
      </c>
      <c r="K810">
        <v>0</v>
      </c>
    </row>
    <row r="811" spans="1:11">
      <c r="A811">
        <v>18065</v>
      </c>
      <c r="B811" t="s">
        <v>1287</v>
      </c>
      <c r="C811" t="s">
        <v>488</v>
      </c>
      <c r="E811" t="s">
        <v>248</v>
      </c>
      <c r="F811">
        <v>88</v>
      </c>
      <c r="G811">
        <v>1971</v>
      </c>
      <c r="H811">
        <v>214</v>
      </c>
      <c r="I811">
        <v>11.752000000000001</v>
      </c>
      <c r="J811">
        <v>685.72299999999996</v>
      </c>
      <c r="K811">
        <v>234</v>
      </c>
    </row>
    <row r="812" spans="1:11">
      <c r="A812">
        <v>18124</v>
      </c>
      <c r="B812" t="s">
        <v>1289</v>
      </c>
      <c r="C812" t="s">
        <v>1290</v>
      </c>
      <c r="D812" t="s">
        <v>511</v>
      </c>
      <c r="E812" t="s">
        <v>248</v>
      </c>
      <c r="F812">
        <v>88</v>
      </c>
      <c r="G812">
        <v>2007</v>
      </c>
      <c r="H812">
        <v>230</v>
      </c>
      <c r="I812">
        <v>11.500999999999999</v>
      </c>
      <c r="J812">
        <v>589.89</v>
      </c>
      <c r="K812">
        <v>152</v>
      </c>
    </row>
    <row r="813" spans="1:11">
      <c r="A813">
        <v>96026</v>
      </c>
      <c r="B813" t="s">
        <v>1291</v>
      </c>
      <c r="C813" t="s">
        <v>375</v>
      </c>
      <c r="E813" t="s">
        <v>157</v>
      </c>
      <c r="F813">
        <v>10</v>
      </c>
      <c r="G813">
        <v>1960</v>
      </c>
      <c r="H813">
        <v>906</v>
      </c>
      <c r="I813">
        <v>0</v>
      </c>
      <c r="J813">
        <v>0</v>
      </c>
      <c r="K813">
        <v>0</v>
      </c>
    </row>
    <row r="814" spans="1:11">
      <c r="A814">
        <v>96027</v>
      </c>
      <c r="B814" t="s">
        <v>1292</v>
      </c>
      <c r="C814" t="s">
        <v>618</v>
      </c>
      <c r="D814" t="s">
        <v>262</v>
      </c>
      <c r="E814" t="s">
        <v>157</v>
      </c>
      <c r="F814">
        <v>10</v>
      </c>
      <c r="G814">
        <v>1961</v>
      </c>
      <c r="H814">
        <v>907</v>
      </c>
      <c r="I814">
        <v>0</v>
      </c>
      <c r="J814">
        <v>0</v>
      </c>
      <c r="K814">
        <v>0</v>
      </c>
    </row>
    <row r="815" spans="1:11">
      <c r="A815">
        <v>10048</v>
      </c>
      <c r="B815" t="s">
        <v>1293</v>
      </c>
      <c r="C815" t="s">
        <v>769</v>
      </c>
      <c r="E815" t="s">
        <v>133</v>
      </c>
      <c r="F815">
        <v>63</v>
      </c>
      <c r="G815">
        <v>1996</v>
      </c>
      <c r="H815">
        <v>28</v>
      </c>
      <c r="I815">
        <v>34.75</v>
      </c>
      <c r="J815">
        <v>2629.0329999999999</v>
      </c>
      <c r="K815">
        <v>1156</v>
      </c>
    </row>
    <row r="816" spans="1:11">
      <c r="A816">
        <v>16140</v>
      </c>
      <c r="B816" t="s">
        <v>1294</v>
      </c>
      <c r="C816" t="s">
        <v>1295</v>
      </c>
      <c r="E816" t="s">
        <v>148</v>
      </c>
      <c r="F816">
        <v>1</v>
      </c>
      <c r="G816">
        <v>1951</v>
      </c>
      <c r="H816">
        <v>908</v>
      </c>
      <c r="I816">
        <v>0</v>
      </c>
      <c r="J816">
        <v>0</v>
      </c>
      <c r="K816">
        <v>0</v>
      </c>
    </row>
    <row r="817" spans="1:11">
      <c r="A817">
        <v>24320</v>
      </c>
      <c r="B817" t="s">
        <v>1296</v>
      </c>
      <c r="C817" t="s">
        <v>711</v>
      </c>
      <c r="D817" t="s">
        <v>262</v>
      </c>
      <c r="E817" t="s">
        <v>116</v>
      </c>
      <c r="F817">
        <v>19</v>
      </c>
      <c r="G817">
        <v>1963</v>
      </c>
      <c r="H817">
        <v>420</v>
      </c>
      <c r="I817">
        <v>2.3759999999999999</v>
      </c>
      <c r="J817">
        <v>171.767</v>
      </c>
      <c r="K817">
        <v>71</v>
      </c>
    </row>
    <row r="818" spans="1:11">
      <c r="A818">
        <v>19056</v>
      </c>
      <c r="B818" t="s">
        <v>1297</v>
      </c>
      <c r="C818" t="s">
        <v>675</v>
      </c>
      <c r="D818" t="s">
        <v>397</v>
      </c>
      <c r="E818" t="s">
        <v>692</v>
      </c>
      <c r="F818">
        <v>77</v>
      </c>
      <c r="G818">
        <v>2008</v>
      </c>
      <c r="H818">
        <v>560</v>
      </c>
      <c r="I818">
        <v>0.98399999999999999</v>
      </c>
      <c r="J818">
        <v>47.033999999999999</v>
      </c>
      <c r="K818">
        <v>0</v>
      </c>
    </row>
    <row r="819" spans="1:11">
      <c r="A819">
        <v>10159</v>
      </c>
      <c r="B819" t="s">
        <v>1298</v>
      </c>
      <c r="C819" t="s">
        <v>496</v>
      </c>
      <c r="E819" t="s">
        <v>692</v>
      </c>
      <c r="F819">
        <v>77</v>
      </c>
      <c r="G819">
        <v>1949</v>
      </c>
      <c r="H819">
        <v>177</v>
      </c>
      <c r="I819">
        <v>15.984999999999999</v>
      </c>
      <c r="J819">
        <v>915.69</v>
      </c>
      <c r="K819">
        <v>215</v>
      </c>
    </row>
    <row r="820" spans="1:11">
      <c r="A820">
        <v>10163</v>
      </c>
      <c r="B820" t="s">
        <v>1299</v>
      </c>
      <c r="C820" t="s">
        <v>437</v>
      </c>
      <c r="D820" t="s">
        <v>262</v>
      </c>
      <c r="E820" t="s">
        <v>692</v>
      </c>
      <c r="F820">
        <v>77</v>
      </c>
      <c r="G820">
        <v>1952</v>
      </c>
      <c r="H820">
        <v>52</v>
      </c>
      <c r="I820">
        <v>32.47</v>
      </c>
      <c r="J820">
        <v>2251.627</v>
      </c>
      <c r="K820">
        <v>816</v>
      </c>
    </row>
    <row r="821" spans="1:11">
      <c r="A821">
        <v>29062</v>
      </c>
      <c r="B821" t="s">
        <v>1300</v>
      </c>
      <c r="C821" t="s">
        <v>1301</v>
      </c>
      <c r="E821" t="s">
        <v>142</v>
      </c>
      <c r="F821">
        <v>20</v>
      </c>
      <c r="G821">
        <v>1999</v>
      </c>
      <c r="H821">
        <v>1</v>
      </c>
      <c r="I821">
        <v>61</v>
      </c>
      <c r="J821">
        <v>4003.8780000000002</v>
      </c>
      <c r="K821">
        <v>1477</v>
      </c>
    </row>
    <row r="822" spans="1:11">
      <c r="A822">
        <v>29061</v>
      </c>
      <c r="B822" t="s">
        <v>1300</v>
      </c>
      <c r="C822" t="s">
        <v>1302</v>
      </c>
      <c r="E822" t="s">
        <v>142</v>
      </c>
      <c r="F822">
        <v>20</v>
      </c>
      <c r="G822">
        <v>1970</v>
      </c>
      <c r="H822">
        <v>235</v>
      </c>
      <c r="I822">
        <v>7.907</v>
      </c>
      <c r="J822">
        <v>558.62699999999995</v>
      </c>
      <c r="K822">
        <v>178</v>
      </c>
    </row>
    <row r="823" spans="1:11">
      <c r="A823">
        <v>18132</v>
      </c>
      <c r="B823" t="s">
        <v>1303</v>
      </c>
      <c r="C823" t="s">
        <v>458</v>
      </c>
      <c r="E823" t="s">
        <v>248</v>
      </c>
      <c r="F823">
        <v>88</v>
      </c>
      <c r="G823">
        <v>1976</v>
      </c>
      <c r="H823">
        <v>121</v>
      </c>
      <c r="I823">
        <v>24.251000000000001</v>
      </c>
      <c r="J823">
        <v>1298.739</v>
      </c>
      <c r="K823">
        <v>363</v>
      </c>
    </row>
    <row r="824" spans="1:11">
      <c r="A824">
        <v>15070</v>
      </c>
      <c r="B824" t="s">
        <v>1304</v>
      </c>
      <c r="C824" t="s">
        <v>1305</v>
      </c>
      <c r="D824" t="s">
        <v>262</v>
      </c>
      <c r="E824" t="s">
        <v>342</v>
      </c>
      <c r="F824">
        <v>52</v>
      </c>
      <c r="G824">
        <v>1973</v>
      </c>
      <c r="H824">
        <v>101</v>
      </c>
      <c r="I824">
        <v>28.439</v>
      </c>
      <c r="J824">
        <v>1496.0170000000001</v>
      </c>
      <c r="K824">
        <v>486</v>
      </c>
    </row>
    <row r="825" spans="1:11">
      <c r="A825">
        <v>15057</v>
      </c>
      <c r="B825" t="s">
        <v>1306</v>
      </c>
      <c r="C825" t="s">
        <v>701</v>
      </c>
      <c r="D825" t="s">
        <v>397</v>
      </c>
      <c r="E825" t="s">
        <v>148</v>
      </c>
      <c r="F825">
        <v>1</v>
      </c>
      <c r="G825">
        <v>2005</v>
      </c>
      <c r="H825">
        <v>64</v>
      </c>
      <c r="I825">
        <v>27.532</v>
      </c>
      <c r="J825">
        <v>2028.7449999999999</v>
      </c>
      <c r="K825">
        <v>861</v>
      </c>
    </row>
    <row r="826" spans="1:11">
      <c r="A826">
        <v>18102</v>
      </c>
      <c r="B826" t="s">
        <v>1306</v>
      </c>
      <c r="C826" t="s">
        <v>444</v>
      </c>
      <c r="E826" t="s">
        <v>148</v>
      </c>
      <c r="F826">
        <v>1</v>
      </c>
      <c r="G826">
        <v>1947</v>
      </c>
      <c r="H826">
        <v>499</v>
      </c>
      <c r="I826">
        <v>1.8129999999999999</v>
      </c>
      <c r="J826">
        <v>85.302000000000007</v>
      </c>
      <c r="K826">
        <v>0</v>
      </c>
    </row>
    <row r="827" spans="1:11">
      <c r="A827">
        <v>17095</v>
      </c>
      <c r="B827" t="s">
        <v>1307</v>
      </c>
      <c r="C827" t="s">
        <v>437</v>
      </c>
      <c r="D827" t="s">
        <v>262</v>
      </c>
      <c r="E827" t="s">
        <v>148</v>
      </c>
      <c r="F827">
        <v>1</v>
      </c>
      <c r="G827">
        <v>1972</v>
      </c>
      <c r="H827">
        <v>479</v>
      </c>
      <c r="I827">
        <v>2.625</v>
      </c>
      <c r="J827">
        <v>103.42400000000001</v>
      </c>
      <c r="K827">
        <v>0</v>
      </c>
    </row>
    <row r="828" spans="1:11">
      <c r="A828">
        <v>14100</v>
      </c>
      <c r="B828" t="s">
        <v>1307</v>
      </c>
      <c r="C828" t="s">
        <v>618</v>
      </c>
      <c r="D828" t="s">
        <v>262</v>
      </c>
      <c r="E828" t="s">
        <v>130</v>
      </c>
      <c r="F828">
        <v>64</v>
      </c>
      <c r="G828">
        <v>1981</v>
      </c>
      <c r="H828">
        <v>909</v>
      </c>
      <c r="I828">
        <v>0</v>
      </c>
      <c r="J828">
        <v>0</v>
      </c>
      <c r="K828">
        <v>0</v>
      </c>
    </row>
    <row r="829" spans="1:11">
      <c r="A829">
        <v>96102</v>
      </c>
      <c r="B829" t="s">
        <v>1308</v>
      </c>
      <c r="C829" t="s">
        <v>416</v>
      </c>
      <c r="E829" t="s">
        <v>198</v>
      </c>
      <c r="F829">
        <v>21</v>
      </c>
      <c r="G829">
        <v>1980</v>
      </c>
      <c r="H829">
        <v>568</v>
      </c>
      <c r="I829">
        <v>2.5</v>
      </c>
      <c r="J829">
        <v>43.994999999999997</v>
      </c>
      <c r="K829">
        <v>0</v>
      </c>
    </row>
    <row r="830" spans="1:11">
      <c r="A830">
        <v>96052</v>
      </c>
      <c r="B830" t="s">
        <v>1308</v>
      </c>
      <c r="C830" t="s">
        <v>458</v>
      </c>
      <c r="E830" t="s">
        <v>198</v>
      </c>
      <c r="F830">
        <v>21</v>
      </c>
      <c r="G830">
        <v>1948</v>
      </c>
      <c r="H830">
        <v>592</v>
      </c>
      <c r="I830">
        <v>2</v>
      </c>
      <c r="J830">
        <v>35.195999999999998</v>
      </c>
      <c r="K830">
        <v>0</v>
      </c>
    </row>
    <row r="831" spans="1:11">
      <c r="A831">
        <v>10031</v>
      </c>
      <c r="B831" t="s">
        <v>1309</v>
      </c>
      <c r="C831" t="s">
        <v>375</v>
      </c>
      <c r="E831" t="s">
        <v>170</v>
      </c>
      <c r="F831">
        <v>67</v>
      </c>
      <c r="G831">
        <v>1959</v>
      </c>
      <c r="H831">
        <v>311</v>
      </c>
      <c r="I831">
        <v>4.5010000000000003</v>
      </c>
      <c r="J831">
        <v>343.85</v>
      </c>
      <c r="K831">
        <v>162</v>
      </c>
    </row>
    <row r="832" spans="1:11">
      <c r="A832">
        <v>10032</v>
      </c>
      <c r="B832" t="s">
        <v>1309</v>
      </c>
      <c r="C832" t="s">
        <v>375</v>
      </c>
      <c r="E832" t="s">
        <v>170</v>
      </c>
      <c r="F832">
        <v>67</v>
      </c>
      <c r="G832">
        <v>1953</v>
      </c>
      <c r="H832">
        <v>361</v>
      </c>
      <c r="I832">
        <v>5.25</v>
      </c>
      <c r="J832">
        <v>258.97199999999998</v>
      </c>
      <c r="K832">
        <v>104</v>
      </c>
    </row>
    <row r="833" spans="1:11">
      <c r="A833">
        <v>10033</v>
      </c>
      <c r="B833" t="s">
        <v>1309</v>
      </c>
      <c r="C833" t="s">
        <v>364</v>
      </c>
      <c r="E833" t="s">
        <v>170</v>
      </c>
      <c r="F833">
        <v>67</v>
      </c>
      <c r="G833">
        <v>1963</v>
      </c>
      <c r="H833">
        <v>313</v>
      </c>
      <c r="I833">
        <v>4.6260000000000003</v>
      </c>
      <c r="J833">
        <v>343.77300000000002</v>
      </c>
      <c r="K833">
        <v>162</v>
      </c>
    </row>
    <row r="834" spans="1:11">
      <c r="A834">
        <v>17030</v>
      </c>
      <c r="B834" t="s">
        <v>1310</v>
      </c>
      <c r="C834" t="s">
        <v>1311</v>
      </c>
      <c r="D834" t="s">
        <v>397</v>
      </c>
      <c r="E834" t="s">
        <v>148</v>
      </c>
      <c r="F834">
        <v>1</v>
      </c>
      <c r="G834">
        <v>2011</v>
      </c>
      <c r="H834">
        <v>459</v>
      </c>
      <c r="I834">
        <v>2.625</v>
      </c>
      <c r="J834">
        <v>121.44799999999999</v>
      </c>
      <c r="K834">
        <v>0</v>
      </c>
    </row>
    <row r="835" spans="1:11">
      <c r="A835">
        <v>21786</v>
      </c>
      <c r="B835" t="s">
        <v>1312</v>
      </c>
      <c r="C835" t="s">
        <v>688</v>
      </c>
      <c r="D835" t="s">
        <v>262</v>
      </c>
      <c r="E835" t="s">
        <v>148</v>
      </c>
      <c r="F835">
        <v>1</v>
      </c>
      <c r="G835">
        <v>1986</v>
      </c>
      <c r="H835">
        <v>162</v>
      </c>
      <c r="I835">
        <v>14.032</v>
      </c>
      <c r="J835">
        <v>1020.832</v>
      </c>
      <c r="K835">
        <v>378</v>
      </c>
    </row>
    <row r="836" spans="1:11">
      <c r="A836">
        <v>17037</v>
      </c>
      <c r="B836" t="s">
        <v>1313</v>
      </c>
      <c r="C836" t="s">
        <v>378</v>
      </c>
      <c r="D836" t="s">
        <v>262</v>
      </c>
      <c r="E836" t="s">
        <v>465</v>
      </c>
      <c r="F836">
        <v>28</v>
      </c>
      <c r="G836">
        <v>1967</v>
      </c>
      <c r="H836">
        <v>496</v>
      </c>
      <c r="I836">
        <v>2.875</v>
      </c>
      <c r="J836">
        <v>87.787999999999997</v>
      </c>
      <c r="K836">
        <v>0</v>
      </c>
    </row>
    <row r="837" spans="1:11">
      <c r="A837">
        <v>10128</v>
      </c>
      <c r="B837" t="s">
        <v>1314</v>
      </c>
      <c r="C837" t="s">
        <v>580</v>
      </c>
      <c r="D837" t="s">
        <v>262</v>
      </c>
      <c r="E837" t="s">
        <v>376</v>
      </c>
      <c r="F837">
        <v>70</v>
      </c>
      <c r="G837">
        <v>1935</v>
      </c>
      <c r="H837">
        <v>910</v>
      </c>
      <c r="I837">
        <v>0</v>
      </c>
      <c r="J837">
        <v>0</v>
      </c>
      <c r="K837">
        <v>0</v>
      </c>
    </row>
    <row r="838" spans="1:11">
      <c r="A838">
        <v>14082</v>
      </c>
      <c r="B838" t="s">
        <v>1315</v>
      </c>
      <c r="C838" t="s">
        <v>444</v>
      </c>
      <c r="E838" t="s">
        <v>373</v>
      </c>
      <c r="F838">
        <v>79</v>
      </c>
      <c r="G838">
        <v>1991</v>
      </c>
      <c r="H838">
        <v>911</v>
      </c>
      <c r="I838">
        <v>0</v>
      </c>
      <c r="J838">
        <v>0</v>
      </c>
      <c r="K838">
        <v>0</v>
      </c>
    </row>
    <row r="839" spans="1:11">
      <c r="A839">
        <v>16139</v>
      </c>
      <c r="B839" t="s">
        <v>1316</v>
      </c>
      <c r="C839" t="s">
        <v>641</v>
      </c>
      <c r="D839" t="s">
        <v>262</v>
      </c>
      <c r="E839" t="s">
        <v>153</v>
      </c>
      <c r="F839">
        <v>42</v>
      </c>
      <c r="G839">
        <v>1962</v>
      </c>
      <c r="H839">
        <v>410</v>
      </c>
      <c r="I839">
        <v>2.0790000000000002</v>
      </c>
      <c r="J839">
        <v>181.43899999999999</v>
      </c>
      <c r="K839">
        <v>79</v>
      </c>
    </row>
    <row r="840" spans="1:11">
      <c r="A840">
        <v>19001</v>
      </c>
      <c r="B840" t="s">
        <v>1317</v>
      </c>
      <c r="C840" t="s">
        <v>553</v>
      </c>
      <c r="E840" t="s">
        <v>692</v>
      </c>
      <c r="F840">
        <v>77</v>
      </c>
      <c r="G840">
        <v>1966</v>
      </c>
      <c r="H840">
        <v>75</v>
      </c>
      <c r="I840">
        <v>28.376000000000001</v>
      </c>
      <c r="J840">
        <v>1835.6279999999999</v>
      </c>
      <c r="K840">
        <v>545</v>
      </c>
    </row>
    <row r="841" spans="1:11">
      <c r="A841">
        <v>97232</v>
      </c>
      <c r="B841" t="s">
        <v>1318</v>
      </c>
      <c r="C841" t="s">
        <v>450</v>
      </c>
      <c r="E841" t="s">
        <v>456</v>
      </c>
      <c r="F841">
        <v>24</v>
      </c>
      <c r="G841">
        <v>1982</v>
      </c>
      <c r="H841">
        <v>912</v>
      </c>
      <c r="I841">
        <v>0</v>
      </c>
      <c r="J841">
        <v>0</v>
      </c>
      <c r="K841">
        <v>0</v>
      </c>
    </row>
    <row r="842" spans="1:11">
      <c r="A842">
        <v>96200</v>
      </c>
      <c r="B842" t="s">
        <v>1318</v>
      </c>
      <c r="C842" t="s">
        <v>416</v>
      </c>
      <c r="E842" t="s">
        <v>456</v>
      </c>
      <c r="F842">
        <v>24</v>
      </c>
      <c r="G842">
        <v>1952</v>
      </c>
      <c r="H842">
        <v>442</v>
      </c>
      <c r="I842">
        <v>4.2030000000000003</v>
      </c>
      <c r="J842">
        <v>143.124</v>
      </c>
      <c r="K842">
        <v>32</v>
      </c>
    </row>
    <row r="843" spans="1:11">
      <c r="A843">
        <v>10037</v>
      </c>
      <c r="B843" t="s">
        <v>1319</v>
      </c>
      <c r="C843" t="s">
        <v>518</v>
      </c>
      <c r="E843" t="s">
        <v>621</v>
      </c>
      <c r="F843">
        <v>68</v>
      </c>
      <c r="G843">
        <v>1976</v>
      </c>
      <c r="H843">
        <v>913</v>
      </c>
      <c r="I843">
        <v>0</v>
      </c>
      <c r="J843">
        <v>0</v>
      </c>
      <c r="K843">
        <v>0</v>
      </c>
    </row>
    <row r="844" spans="1:11">
      <c r="A844">
        <v>96213</v>
      </c>
      <c r="B844" t="s">
        <v>1320</v>
      </c>
      <c r="C844" t="s">
        <v>677</v>
      </c>
      <c r="D844" t="s">
        <v>262</v>
      </c>
      <c r="E844" t="s">
        <v>456</v>
      </c>
      <c r="F844">
        <v>24</v>
      </c>
      <c r="G844">
        <v>1960</v>
      </c>
      <c r="H844">
        <v>429</v>
      </c>
      <c r="I844">
        <v>1</v>
      </c>
      <c r="J844">
        <v>157.05500000000001</v>
      </c>
      <c r="K844">
        <v>111</v>
      </c>
    </row>
    <row r="845" spans="1:11">
      <c r="A845">
        <v>28027</v>
      </c>
      <c r="B845" t="s">
        <v>1321</v>
      </c>
      <c r="C845" t="s">
        <v>597</v>
      </c>
      <c r="E845" t="s">
        <v>455</v>
      </c>
      <c r="F845">
        <v>62</v>
      </c>
      <c r="G845">
        <v>1968</v>
      </c>
      <c r="H845">
        <v>424</v>
      </c>
      <c r="I845">
        <v>1.875</v>
      </c>
      <c r="J845">
        <v>165.31299999999999</v>
      </c>
      <c r="K845">
        <v>80</v>
      </c>
    </row>
    <row r="846" spans="1:11">
      <c r="A846">
        <v>13084</v>
      </c>
      <c r="B846" t="s">
        <v>1322</v>
      </c>
      <c r="C846" t="s">
        <v>404</v>
      </c>
      <c r="E846" t="s">
        <v>130</v>
      </c>
      <c r="F846">
        <v>64</v>
      </c>
      <c r="G846">
        <v>1979</v>
      </c>
      <c r="H846">
        <v>200</v>
      </c>
      <c r="I846">
        <v>11.595000000000001</v>
      </c>
      <c r="J846">
        <v>784.303</v>
      </c>
      <c r="K846">
        <v>289</v>
      </c>
    </row>
    <row r="847" spans="1:11">
      <c r="A847">
        <v>18049</v>
      </c>
      <c r="B847" t="s">
        <v>1323</v>
      </c>
      <c r="C847" t="s">
        <v>378</v>
      </c>
      <c r="D847" t="s">
        <v>262</v>
      </c>
      <c r="E847" t="s">
        <v>198</v>
      </c>
      <c r="F847">
        <v>21</v>
      </c>
      <c r="G847">
        <v>1947</v>
      </c>
      <c r="H847">
        <v>914</v>
      </c>
      <c r="I847">
        <v>0</v>
      </c>
      <c r="J847">
        <v>0</v>
      </c>
      <c r="K847">
        <v>0</v>
      </c>
    </row>
    <row r="848" spans="1:11">
      <c r="A848">
        <v>14079</v>
      </c>
      <c r="B848" t="s">
        <v>1324</v>
      </c>
      <c r="C848" t="s">
        <v>444</v>
      </c>
      <c r="E848" t="s">
        <v>373</v>
      </c>
      <c r="F848">
        <v>79</v>
      </c>
      <c r="G848">
        <v>2002</v>
      </c>
      <c r="H848">
        <v>56</v>
      </c>
      <c r="I848">
        <v>29.437999999999999</v>
      </c>
      <c r="J848">
        <v>2211.511</v>
      </c>
      <c r="K848">
        <v>923</v>
      </c>
    </row>
    <row r="849" spans="1:11">
      <c r="A849">
        <v>19016</v>
      </c>
      <c r="B849" t="s">
        <v>1325</v>
      </c>
      <c r="C849" t="s">
        <v>395</v>
      </c>
      <c r="E849" t="s">
        <v>365</v>
      </c>
      <c r="F849">
        <v>86</v>
      </c>
      <c r="G849">
        <v>1984</v>
      </c>
      <c r="H849">
        <v>915</v>
      </c>
      <c r="I849">
        <v>0</v>
      </c>
      <c r="J849">
        <v>0</v>
      </c>
      <c r="K849">
        <v>0</v>
      </c>
    </row>
    <row r="850" spans="1:11">
      <c r="A850">
        <v>21827</v>
      </c>
      <c r="B850" t="s">
        <v>1326</v>
      </c>
      <c r="C850" t="s">
        <v>375</v>
      </c>
      <c r="E850" t="s">
        <v>310</v>
      </c>
      <c r="F850">
        <v>36</v>
      </c>
      <c r="G850">
        <v>1978</v>
      </c>
      <c r="H850">
        <v>916</v>
      </c>
      <c r="I850">
        <v>0</v>
      </c>
      <c r="J850">
        <v>0</v>
      </c>
      <c r="K850">
        <v>0</v>
      </c>
    </row>
    <row r="851" spans="1:11">
      <c r="A851">
        <v>15006</v>
      </c>
      <c r="B851" t="s">
        <v>1327</v>
      </c>
      <c r="C851" t="s">
        <v>375</v>
      </c>
      <c r="E851" t="s">
        <v>503</v>
      </c>
      <c r="F851">
        <v>15</v>
      </c>
      <c r="G851">
        <v>1996</v>
      </c>
      <c r="H851">
        <v>167</v>
      </c>
      <c r="I851">
        <v>16.937999999999999</v>
      </c>
      <c r="J851">
        <v>966.53099999999995</v>
      </c>
      <c r="K851">
        <v>271</v>
      </c>
    </row>
    <row r="852" spans="1:11">
      <c r="A852">
        <v>16005</v>
      </c>
      <c r="B852" t="s">
        <v>1327</v>
      </c>
      <c r="C852" t="s">
        <v>414</v>
      </c>
      <c r="E852" t="s">
        <v>503</v>
      </c>
      <c r="F852">
        <v>15</v>
      </c>
      <c r="G852">
        <v>1991</v>
      </c>
      <c r="H852">
        <v>917</v>
      </c>
      <c r="I852">
        <v>0</v>
      </c>
      <c r="J852">
        <v>0</v>
      </c>
      <c r="K852">
        <v>0</v>
      </c>
    </row>
    <row r="853" spans="1:11">
      <c r="A853">
        <v>18048</v>
      </c>
      <c r="B853" t="s">
        <v>1328</v>
      </c>
      <c r="C853" t="s">
        <v>526</v>
      </c>
      <c r="D853" t="s">
        <v>262</v>
      </c>
      <c r="E853" t="s">
        <v>503</v>
      </c>
      <c r="F853">
        <v>15</v>
      </c>
      <c r="G853">
        <v>1989</v>
      </c>
      <c r="H853">
        <v>246</v>
      </c>
      <c r="I853">
        <v>11.093999999999999</v>
      </c>
      <c r="J853">
        <v>516.65</v>
      </c>
      <c r="K853">
        <v>87</v>
      </c>
    </row>
    <row r="854" spans="1:11">
      <c r="A854">
        <v>18094</v>
      </c>
      <c r="B854" t="s">
        <v>1329</v>
      </c>
      <c r="C854" t="s">
        <v>486</v>
      </c>
      <c r="D854" t="s">
        <v>262</v>
      </c>
      <c r="E854" t="s">
        <v>663</v>
      </c>
      <c r="F854">
        <v>90</v>
      </c>
      <c r="G854">
        <v>1978</v>
      </c>
      <c r="H854">
        <v>918</v>
      </c>
      <c r="I854">
        <v>0</v>
      </c>
      <c r="J854">
        <v>0</v>
      </c>
      <c r="K854">
        <v>0</v>
      </c>
    </row>
    <row r="855" spans="1:11">
      <c r="A855">
        <v>18067</v>
      </c>
      <c r="B855" t="s">
        <v>1330</v>
      </c>
      <c r="C855" t="s">
        <v>1331</v>
      </c>
      <c r="E855" t="s">
        <v>248</v>
      </c>
      <c r="F855">
        <v>88</v>
      </c>
      <c r="G855">
        <v>1974</v>
      </c>
      <c r="H855">
        <v>515</v>
      </c>
      <c r="I855">
        <v>3</v>
      </c>
      <c r="J855">
        <v>73.802999999999997</v>
      </c>
      <c r="K855">
        <v>0</v>
      </c>
    </row>
    <row r="856" spans="1:11">
      <c r="A856">
        <v>15067</v>
      </c>
      <c r="B856" t="s">
        <v>1332</v>
      </c>
      <c r="C856" t="s">
        <v>1333</v>
      </c>
      <c r="E856" t="s">
        <v>130</v>
      </c>
      <c r="F856">
        <v>64</v>
      </c>
      <c r="G856">
        <v>1978</v>
      </c>
      <c r="H856">
        <v>23</v>
      </c>
      <c r="I856">
        <v>37.25</v>
      </c>
      <c r="J856">
        <v>2689.9180000000001</v>
      </c>
      <c r="K856">
        <v>1116</v>
      </c>
    </row>
    <row r="857" spans="1:11">
      <c r="A857">
        <v>15019</v>
      </c>
      <c r="B857" t="s">
        <v>1334</v>
      </c>
      <c r="C857" t="s">
        <v>1335</v>
      </c>
      <c r="D857" t="s">
        <v>262</v>
      </c>
      <c r="E857" t="s">
        <v>543</v>
      </c>
      <c r="F857">
        <v>54</v>
      </c>
      <c r="G857">
        <v>1952</v>
      </c>
      <c r="H857">
        <v>501</v>
      </c>
      <c r="I857">
        <v>1.3280000000000001</v>
      </c>
      <c r="J857">
        <v>84.040999999999997</v>
      </c>
      <c r="K857">
        <v>25</v>
      </c>
    </row>
    <row r="858" spans="1:11">
      <c r="A858">
        <v>20534</v>
      </c>
      <c r="B858" t="s">
        <v>1336</v>
      </c>
      <c r="C858" t="s">
        <v>677</v>
      </c>
      <c r="D858" t="s">
        <v>262</v>
      </c>
      <c r="E858" t="s">
        <v>524</v>
      </c>
      <c r="F858">
        <v>87</v>
      </c>
      <c r="G858">
        <v>1956</v>
      </c>
      <c r="H858">
        <v>624</v>
      </c>
      <c r="I858">
        <v>0.313</v>
      </c>
      <c r="J858">
        <v>15.156000000000001</v>
      </c>
      <c r="K858">
        <v>0</v>
      </c>
    </row>
    <row r="859" spans="1:11">
      <c r="A859">
        <v>15078</v>
      </c>
      <c r="B859" t="s">
        <v>1337</v>
      </c>
      <c r="C859" t="s">
        <v>404</v>
      </c>
      <c r="E859" t="s">
        <v>151</v>
      </c>
      <c r="F859">
        <v>13</v>
      </c>
      <c r="G859">
        <v>1983</v>
      </c>
      <c r="H859">
        <v>427</v>
      </c>
      <c r="I859">
        <v>6.6879999999999997</v>
      </c>
      <c r="J859">
        <v>162.506</v>
      </c>
      <c r="K859">
        <v>0</v>
      </c>
    </row>
    <row r="860" spans="1:11">
      <c r="A860">
        <v>18104</v>
      </c>
      <c r="B860" t="s">
        <v>1338</v>
      </c>
      <c r="C860" t="s">
        <v>388</v>
      </c>
      <c r="D860" t="s">
        <v>262</v>
      </c>
      <c r="E860" t="s">
        <v>130</v>
      </c>
      <c r="F860">
        <v>64</v>
      </c>
      <c r="G860">
        <v>1978</v>
      </c>
      <c r="H860">
        <v>444</v>
      </c>
      <c r="I860">
        <v>3.25</v>
      </c>
      <c r="J860">
        <v>136.387</v>
      </c>
      <c r="K860">
        <v>30</v>
      </c>
    </row>
    <row r="861" spans="1:11">
      <c r="A861">
        <v>18059</v>
      </c>
      <c r="B861" t="s">
        <v>1339</v>
      </c>
      <c r="C861" t="s">
        <v>1340</v>
      </c>
      <c r="D861" t="s">
        <v>262</v>
      </c>
      <c r="E861" t="s">
        <v>453</v>
      </c>
      <c r="F861">
        <v>78</v>
      </c>
      <c r="G861">
        <v>1986</v>
      </c>
      <c r="H861">
        <v>373</v>
      </c>
      <c r="I861">
        <v>1.7190000000000001</v>
      </c>
      <c r="J861">
        <v>235.53100000000001</v>
      </c>
      <c r="K861">
        <v>141</v>
      </c>
    </row>
    <row r="862" spans="1:11">
      <c r="A862">
        <v>16137</v>
      </c>
      <c r="B862" t="s">
        <v>1341</v>
      </c>
      <c r="C862" t="s">
        <v>1342</v>
      </c>
      <c r="D862" t="s">
        <v>262</v>
      </c>
      <c r="E862" t="s">
        <v>373</v>
      </c>
      <c r="F862">
        <v>79</v>
      </c>
      <c r="G862">
        <v>1986</v>
      </c>
      <c r="H862">
        <v>919</v>
      </c>
      <c r="I862">
        <v>0</v>
      </c>
      <c r="J862">
        <v>0</v>
      </c>
      <c r="K862">
        <v>0</v>
      </c>
    </row>
    <row r="863" spans="1:11">
      <c r="A863">
        <v>16046</v>
      </c>
      <c r="B863" t="s">
        <v>1343</v>
      </c>
      <c r="C863" t="s">
        <v>1344</v>
      </c>
      <c r="E863" t="s">
        <v>417</v>
      </c>
      <c r="F863">
        <v>69</v>
      </c>
      <c r="G863">
        <v>1949</v>
      </c>
      <c r="H863">
        <v>627</v>
      </c>
      <c r="I863">
        <v>0.875</v>
      </c>
      <c r="J863">
        <v>12.576000000000001</v>
      </c>
      <c r="K863">
        <v>0</v>
      </c>
    </row>
    <row r="864" spans="1:11">
      <c r="A864">
        <v>16146</v>
      </c>
      <c r="B864" t="s">
        <v>1345</v>
      </c>
      <c r="C864" t="s">
        <v>391</v>
      </c>
      <c r="E864" t="s">
        <v>630</v>
      </c>
      <c r="F864">
        <v>82</v>
      </c>
      <c r="G864">
        <v>1984</v>
      </c>
      <c r="H864">
        <v>334</v>
      </c>
      <c r="I864">
        <v>5.125</v>
      </c>
      <c r="J864">
        <v>301.642</v>
      </c>
      <c r="K864">
        <v>83</v>
      </c>
    </row>
    <row r="865" spans="1:11">
      <c r="A865">
        <v>13024</v>
      </c>
      <c r="B865" t="s">
        <v>1346</v>
      </c>
      <c r="C865" t="s">
        <v>918</v>
      </c>
      <c r="D865" t="s">
        <v>262</v>
      </c>
      <c r="E865" t="s">
        <v>482</v>
      </c>
      <c r="F865">
        <v>75</v>
      </c>
      <c r="G865">
        <v>1985</v>
      </c>
      <c r="H865">
        <v>920</v>
      </c>
      <c r="I865">
        <v>0</v>
      </c>
      <c r="J865">
        <v>0</v>
      </c>
      <c r="K865">
        <v>0</v>
      </c>
    </row>
    <row r="866" spans="1:11">
      <c r="A866">
        <v>16135</v>
      </c>
      <c r="B866" t="s">
        <v>1347</v>
      </c>
      <c r="C866" t="s">
        <v>719</v>
      </c>
      <c r="D866" t="s">
        <v>511</v>
      </c>
      <c r="E866" t="s">
        <v>432</v>
      </c>
      <c r="F866">
        <v>2</v>
      </c>
      <c r="G866">
        <v>2007</v>
      </c>
      <c r="H866">
        <v>922</v>
      </c>
      <c r="I866">
        <v>0</v>
      </c>
      <c r="J866">
        <v>0</v>
      </c>
      <c r="K866">
        <v>0</v>
      </c>
    </row>
    <row r="867" spans="1:11">
      <c r="A867">
        <v>16134</v>
      </c>
      <c r="B867" t="s">
        <v>1347</v>
      </c>
      <c r="C867" t="s">
        <v>446</v>
      </c>
      <c r="D867" t="s">
        <v>511</v>
      </c>
      <c r="E867" t="s">
        <v>432</v>
      </c>
      <c r="F867">
        <v>2</v>
      </c>
      <c r="G867">
        <v>2004</v>
      </c>
      <c r="H867">
        <v>921</v>
      </c>
      <c r="I867">
        <v>0</v>
      </c>
      <c r="J867">
        <v>0</v>
      </c>
      <c r="K867">
        <v>0</v>
      </c>
    </row>
    <row r="868" spans="1:11">
      <c r="A868">
        <v>20505</v>
      </c>
      <c r="B868" t="s">
        <v>1348</v>
      </c>
      <c r="C868" t="s">
        <v>1340</v>
      </c>
      <c r="D868" t="s">
        <v>511</v>
      </c>
      <c r="E868" t="s">
        <v>142</v>
      </c>
      <c r="F868">
        <v>20</v>
      </c>
      <c r="G868">
        <v>2006</v>
      </c>
      <c r="H868">
        <v>601</v>
      </c>
      <c r="I868">
        <v>0.59399999999999997</v>
      </c>
      <c r="J868">
        <v>28.797000000000001</v>
      </c>
      <c r="K868">
        <v>0</v>
      </c>
    </row>
    <row r="869" spans="1:11">
      <c r="A869">
        <v>10175</v>
      </c>
      <c r="B869" t="s">
        <v>1349</v>
      </c>
      <c r="C869" t="s">
        <v>407</v>
      </c>
      <c r="E869" t="s">
        <v>142</v>
      </c>
      <c r="F869">
        <v>20</v>
      </c>
      <c r="G869">
        <v>1979</v>
      </c>
      <c r="H869">
        <v>428</v>
      </c>
      <c r="I869">
        <v>3.4380000000000002</v>
      </c>
      <c r="J869">
        <v>161.67400000000001</v>
      </c>
      <c r="K869">
        <v>0</v>
      </c>
    </row>
    <row r="870" spans="1:11">
      <c r="A870">
        <v>15058</v>
      </c>
      <c r="B870" t="s">
        <v>1349</v>
      </c>
      <c r="C870" t="s">
        <v>1350</v>
      </c>
      <c r="D870" t="s">
        <v>397</v>
      </c>
      <c r="E870" t="s">
        <v>142</v>
      </c>
      <c r="F870">
        <v>20</v>
      </c>
      <c r="G870">
        <v>2004</v>
      </c>
      <c r="H870">
        <v>24</v>
      </c>
      <c r="I870">
        <v>42.625</v>
      </c>
      <c r="J870">
        <v>2669.886</v>
      </c>
      <c r="K870">
        <v>1029</v>
      </c>
    </row>
    <row r="871" spans="1:11">
      <c r="A871">
        <v>17100</v>
      </c>
      <c r="B871" t="s">
        <v>1351</v>
      </c>
      <c r="C871" t="s">
        <v>767</v>
      </c>
      <c r="D871" t="s">
        <v>262</v>
      </c>
      <c r="E871" t="s">
        <v>365</v>
      </c>
      <c r="F871">
        <v>86</v>
      </c>
      <c r="G871">
        <v>1989</v>
      </c>
      <c r="H871">
        <v>923</v>
      </c>
      <c r="I871">
        <v>0</v>
      </c>
      <c r="J871">
        <v>0</v>
      </c>
      <c r="K871">
        <v>0</v>
      </c>
    </row>
    <row r="872" spans="1:11">
      <c r="A872">
        <v>19050</v>
      </c>
      <c r="B872" t="s">
        <v>1352</v>
      </c>
      <c r="C872" t="s">
        <v>364</v>
      </c>
      <c r="D872" t="s">
        <v>262</v>
      </c>
      <c r="E872" t="s">
        <v>365</v>
      </c>
      <c r="F872">
        <v>86</v>
      </c>
      <c r="G872">
        <v>1992</v>
      </c>
      <c r="H872">
        <v>924</v>
      </c>
      <c r="I872">
        <v>0</v>
      </c>
      <c r="J872">
        <v>0</v>
      </c>
      <c r="K872">
        <v>0</v>
      </c>
    </row>
    <row r="873" spans="1:11">
      <c r="A873">
        <v>10098</v>
      </c>
      <c r="B873" t="s">
        <v>1353</v>
      </c>
      <c r="C873" t="s">
        <v>1354</v>
      </c>
      <c r="E873" t="s">
        <v>417</v>
      </c>
      <c r="F873">
        <v>69</v>
      </c>
      <c r="G873">
        <v>1959</v>
      </c>
      <c r="H873">
        <v>925</v>
      </c>
      <c r="I873">
        <v>0</v>
      </c>
      <c r="J873">
        <v>0</v>
      </c>
      <c r="K873">
        <v>0</v>
      </c>
    </row>
    <row r="874" spans="1:11">
      <c r="A874">
        <v>17052</v>
      </c>
      <c r="B874" t="s">
        <v>1355</v>
      </c>
      <c r="C874" t="s">
        <v>372</v>
      </c>
      <c r="E874" t="s">
        <v>365</v>
      </c>
      <c r="F874">
        <v>86</v>
      </c>
      <c r="G874">
        <v>1962</v>
      </c>
      <c r="H874">
        <v>175</v>
      </c>
      <c r="I874">
        <v>15.298</v>
      </c>
      <c r="J874">
        <v>924.42100000000005</v>
      </c>
      <c r="K874">
        <v>272</v>
      </c>
    </row>
    <row r="875" spans="1:11">
      <c r="A875">
        <v>17055</v>
      </c>
      <c r="B875" t="s">
        <v>1355</v>
      </c>
      <c r="C875" t="s">
        <v>564</v>
      </c>
      <c r="E875" t="s">
        <v>365</v>
      </c>
      <c r="F875">
        <v>86</v>
      </c>
      <c r="G875">
        <v>2000</v>
      </c>
      <c r="H875">
        <v>208</v>
      </c>
      <c r="I875">
        <v>12.484999999999999</v>
      </c>
      <c r="J875">
        <v>748.76499999999999</v>
      </c>
      <c r="K875">
        <v>208</v>
      </c>
    </row>
    <row r="876" spans="1:11">
      <c r="A876">
        <v>16144</v>
      </c>
      <c r="B876" t="s">
        <v>1355</v>
      </c>
      <c r="C876" t="s">
        <v>497</v>
      </c>
      <c r="E876" t="s">
        <v>365</v>
      </c>
      <c r="F876">
        <v>86</v>
      </c>
      <c r="G876">
        <v>1992</v>
      </c>
      <c r="H876">
        <v>240</v>
      </c>
      <c r="I876">
        <v>9.8460000000000001</v>
      </c>
      <c r="J876">
        <v>531.62699999999995</v>
      </c>
      <c r="K876">
        <v>105</v>
      </c>
    </row>
    <row r="877" spans="1:11">
      <c r="A877">
        <v>96127</v>
      </c>
      <c r="B877" t="s">
        <v>1356</v>
      </c>
      <c r="C877" t="s">
        <v>769</v>
      </c>
      <c r="E877" t="s">
        <v>725</v>
      </c>
      <c r="F877">
        <v>7</v>
      </c>
      <c r="G877">
        <v>1973</v>
      </c>
      <c r="H877">
        <v>926</v>
      </c>
      <c r="I877">
        <v>0</v>
      </c>
      <c r="J877">
        <v>0</v>
      </c>
      <c r="K877">
        <v>0</v>
      </c>
    </row>
    <row r="878" spans="1:11">
      <c r="A878">
        <v>28036</v>
      </c>
      <c r="B878" t="s">
        <v>1357</v>
      </c>
      <c r="C878" t="s">
        <v>626</v>
      </c>
      <c r="E878" t="s">
        <v>264</v>
      </c>
      <c r="F878">
        <v>6</v>
      </c>
      <c r="G878">
        <v>1943</v>
      </c>
      <c r="H878">
        <v>382</v>
      </c>
      <c r="I878">
        <v>4.3760000000000003</v>
      </c>
      <c r="J878">
        <v>222.976</v>
      </c>
      <c r="K878">
        <v>73</v>
      </c>
    </row>
    <row r="879" spans="1:11">
      <c r="A879">
        <v>18057</v>
      </c>
      <c r="B879" t="s">
        <v>1358</v>
      </c>
      <c r="C879" t="s">
        <v>444</v>
      </c>
      <c r="E879" t="s">
        <v>543</v>
      </c>
      <c r="F879">
        <v>54</v>
      </c>
      <c r="G879">
        <v>1957</v>
      </c>
      <c r="H879">
        <v>440</v>
      </c>
      <c r="I879">
        <v>3</v>
      </c>
      <c r="J879">
        <v>145.5</v>
      </c>
      <c r="K879">
        <v>0</v>
      </c>
    </row>
    <row r="880" spans="1:11">
      <c r="A880">
        <v>14090</v>
      </c>
      <c r="B880" t="s">
        <v>1359</v>
      </c>
      <c r="C880" t="s">
        <v>1360</v>
      </c>
      <c r="E880" t="s">
        <v>373</v>
      </c>
      <c r="F880">
        <v>79</v>
      </c>
      <c r="G880">
        <v>1987</v>
      </c>
      <c r="H880">
        <v>927</v>
      </c>
      <c r="I880">
        <v>0</v>
      </c>
      <c r="J880">
        <v>0</v>
      </c>
      <c r="K880">
        <v>0</v>
      </c>
    </row>
    <row r="881" spans="1:11">
      <c r="A881">
        <v>12083</v>
      </c>
      <c r="B881" t="s">
        <v>1361</v>
      </c>
      <c r="C881" t="s">
        <v>452</v>
      </c>
      <c r="E881" t="s">
        <v>440</v>
      </c>
      <c r="F881">
        <v>73</v>
      </c>
      <c r="G881">
        <v>1954</v>
      </c>
      <c r="H881">
        <v>107</v>
      </c>
      <c r="I881">
        <v>18.626000000000001</v>
      </c>
      <c r="J881">
        <v>1451.9</v>
      </c>
      <c r="K881">
        <v>715</v>
      </c>
    </row>
    <row r="882" spans="1:11">
      <c r="A882">
        <v>20525</v>
      </c>
      <c r="B882" t="s">
        <v>1362</v>
      </c>
      <c r="C882" t="s">
        <v>569</v>
      </c>
      <c r="D882" t="s">
        <v>262</v>
      </c>
      <c r="E882" t="s">
        <v>365</v>
      </c>
      <c r="F882">
        <v>86</v>
      </c>
      <c r="G882">
        <v>1993</v>
      </c>
      <c r="H882">
        <v>928</v>
      </c>
      <c r="I882">
        <v>0</v>
      </c>
      <c r="J882">
        <v>0</v>
      </c>
      <c r="K882">
        <v>0</v>
      </c>
    </row>
    <row r="883" spans="1:11">
      <c r="A883">
        <v>17038</v>
      </c>
      <c r="B883" t="s">
        <v>1363</v>
      </c>
      <c r="C883" t="s">
        <v>486</v>
      </c>
      <c r="D883" t="s">
        <v>262</v>
      </c>
      <c r="E883" t="s">
        <v>306</v>
      </c>
      <c r="F883">
        <v>33</v>
      </c>
      <c r="G883">
        <v>1962</v>
      </c>
      <c r="H883">
        <v>338</v>
      </c>
      <c r="I883">
        <v>7.19</v>
      </c>
      <c r="J883">
        <v>287.851</v>
      </c>
      <c r="K883">
        <v>0</v>
      </c>
    </row>
    <row r="884" spans="1:11">
      <c r="A884">
        <v>10094</v>
      </c>
      <c r="B884" t="s">
        <v>1364</v>
      </c>
      <c r="C884" t="s">
        <v>597</v>
      </c>
      <c r="E884" t="s">
        <v>417</v>
      </c>
      <c r="F884">
        <v>69</v>
      </c>
      <c r="G884">
        <v>1949</v>
      </c>
      <c r="H884">
        <v>467</v>
      </c>
      <c r="I884">
        <v>2.5</v>
      </c>
      <c r="J884">
        <v>114.199</v>
      </c>
      <c r="K884">
        <v>38</v>
      </c>
    </row>
    <row r="885" spans="1:11">
      <c r="A885">
        <v>14066</v>
      </c>
      <c r="B885" t="s">
        <v>1365</v>
      </c>
      <c r="C885" t="s">
        <v>372</v>
      </c>
      <c r="E885" t="s">
        <v>432</v>
      </c>
      <c r="F885">
        <v>2</v>
      </c>
      <c r="G885">
        <v>1972</v>
      </c>
      <c r="H885">
        <v>929</v>
      </c>
      <c r="I885">
        <v>0</v>
      </c>
      <c r="J885">
        <v>0</v>
      </c>
      <c r="K885">
        <v>0</v>
      </c>
    </row>
    <row r="886" spans="1:11">
      <c r="A886">
        <v>11037</v>
      </c>
      <c r="B886" t="s">
        <v>1366</v>
      </c>
      <c r="C886" t="s">
        <v>1367</v>
      </c>
      <c r="E886" t="s">
        <v>148</v>
      </c>
      <c r="F886">
        <v>1</v>
      </c>
      <c r="G886">
        <v>1983</v>
      </c>
      <c r="H886">
        <v>136</v>
      </c>
      <c r="I886">
        <v>19.812999999999999</v>
      </c>
      <c r="J886">
        <v>1172.635</v>
      </c>
      <c r="K886">
        <v>255</v>
      </c>
    </row>
    <row r="887" spans="1:11">
      <c r="A887">
        <v>26041</v>
      </c>
      <c r="B887" t="s">
        <v>1368</v>
      </c>
      <c r="C887" t="s">
        <v>844</v>
      </c>
      <c r="D887" t="s">
        <v>262</v>
      </c>
      <c r="E887" t="s">
        <v>465</v>
      </c>
      <c r="F887">
        <v>28</v>
      </c>
      <c r="G887">
        <v>1953</v>
      </c>
      <c r="H887">
        <v>930</v>
      </c>
      <c r="I887">
        <v>0</v>
      </c>
      <c r="J887">
        <v>0</v>
      </c>
      <c r="K887">
        <v>0</v>
      </c>
    </row>
    <row r="888" spans="1:11">
      <c r="A888">
        <v>20689</v>
      </c>
      <c r="B888" t="s">
        <v>1369</v>
      </c>
      <c r="C888" t="s">
        <v>475</v>
      </c>
      <c r="E888" t="s">
        <v>288</v>
      </c>
      <c r="F888">
        <v>22</v>
      </c>
      <c r="G888">
        <v>1959</v>
      </c>
      <c r="H888">
        <v>931</v>
      </c>
      <c r="I888">
        <v>0</v>
      </c>
      <c r="J888">
        <v>0</v>
      </c>
      <c r="K888">
        <v>0</v>
      </c>
    </row>
    <row r="889" spans="1:11">
      <c r="A889">
        <v>14094</v>
      </c>
      <c r="B889" t="s">
        <v>1370</v>
      </c>
      <c r="C889" t="s">
        <v>475</v>
      </c>
      <c r="E889" t="s">
        <v>324</v>
      </c>
      <c r="F889">
        <v>43</v>
      </c>
      <c r="G889">
        <v>1954</v>
      </c>
      <c r="H889">
        <v>146</v>
      </c>
      <c r="I889">
        <v>12.032</v>
      </c>
      <c r="J889">
        <v>1127.873</v>
      </c>
      <c r="K889">
        <v>545</v>
      </c>
    </row>
    <row r="890" spans="1:11">
      <c r="A890">
        <v>23060</v>
      </c>
      <c r="B890" t="s">
        <v>1371</v>
      </c>
      <c r="C890" t="s">
        <v>450</v>
      </c>
      <c r="E890" t="s">
        <v>133</v>
      </c>
      <c r="F890">
        <v>63</v>
      </c>
      <c r="G890">
        <v>1954</v>
      </c>
      <c r="H890">
        <v>141</v>
      </c>
      <c r="I890">
        <v>17.689</v>
      </c>
      <c r="J890">
        <v>1159.885</v>
      </c>
      <c r="K890">
        <v>427</v>
      </c>
    </row>
    <row r="891" spans="1:11">
      <c r="A891">
        <v>19002</v>
      </c>
      <c r="B891" t="s">
        <v>1372</v>
      </c>
      <c r="C891" t="s">
        <v>1016</v>
      </c>
      <c r="D891" t="s">
        <v>511</v>
      </c>
      <c r="E891" t="s">
        <v>692</v>
      </c>
      <c r="F891">
        <v>77</v>
      </c>
      <c r="G891">
        <v>2010</v>
      </c>
      <c r="H891">
        <v>932</v>
      </c>
      <c r="I891">
        <v>0</v>
      </c>
      <c r="J891">
        <v>0</v>
      </c>
      <c r="K891">
        <v>0</v>
      </c>
    </row>
    <row r="892" spans="1:11">
      <c r="A892">
        <v>19003</v>
      </c>
      <c r="B892" t="s">
        <v>1372</v>
      </c>
      <c r="C892" t="s">
        <v>446</v>
      </c>
      <c r="D892" t="s">
        <v>511</v>
      </c>
      <c r="E892" t="s">
        <v>692</v>
      </c>
      <c r="F892">
        <v>77</v>
      </c>
      <c r="G892">
        <v>2003</v>
      </c>
      <c r="H892">
        <v>520</v>
      </c>
      <c r="I892">
        <v>1.5</v>
      </c>
      <c r="J892">
        <v>71.671999999999997</v>
      </c>
      <c r="K892">
        <v>0</v>
      </c>
    </row>
    <row r="893" spans="1:11">
      <c r="A893">
        <v>29043</v>
      </c>
      <c r="B893" t="s">
        <v>1373</v>
      </c>
      <c r="C893" t="s">
        <v>597</v>
      </c>
      <c r="E893" t="s">
        <v>432</v>
      </c>
      <c r="F893">
        <v>2</v>
      </c>
      <c r="G893">
        <v>1953</v>
      </c>
      <c r="H893">
        <v>933</v>
      </c>
      <c r="I893">
        <v>0</v>
      </c>
      <c r="J893">
        <v>0</v>
      </c>
      <c r="K893">
        <v>0</v>
      </c>
    </row>
    <row r="894" spans="1:11">
      <c r="A894">
        <v>16004</v>
      </c>
      <c r="B894" t="s">
        <v>1374</v>
      </c>
      <c r="C894" t="s">
        <v>564</v>
      </c>
      <c r="D894" t="s">
        <v>397</v>
      </c>
      <c r="E894" t="s">
        <v>133</v>
      </c>
      <c r="F894">
        <v>63</v>
      </c>
      <c r="G894">
        <v>2003</v>
      </c>
      <c r="H894">
        <v>482</v>
      </c>
      <c r="I894">
        <v>3.25</v>
      </c>
      <c r="J894">
        <v>101.717</v>
      </c>
      <c r="K894">
        <v>0</v>
      </c>
    </row>
    <row r="895" spans="1:11">
      <c r="A895">
        <v>97294</v>
      </c>
      <c r="B895" t="s">
        <v>1375</v>
      </c>
      <c r="C895" t="s">
        <v>414</v>
      </c>
      <c r="E895" t="s">
        <v>264</v>
      </c>
      <c r="F895">
        <v>6</v>
      </c>
      <c r="G895">
        <v>1968</v>
      </c>
      <c r="H895">
        <v>934</v>
      </c>
      <c r="I895">
        <v>0</v>
      </c>
      <c r="J895">
        <v>0</v>
      </c>
      <c r="K895">
        <v>0</v>
      </c>
    </row>
    <row r="896" spans="1:11">
      <c r="A896">
        <v>13047</v>
      </c>
      <c r="B896" t="s">
        <v>1376</v>
      </c>
      <c r="C896" t="s">
        <v>364</v>
      </c>
      <c r="E896" t="s">
        <v>465</v>
      </c>
      <c r="F896">
        <v>28</v>
      </c>
      <c r="G896">
        <v>1957</v>
      </c>
      <c r="H896">
        <v>546</v>
      </c>
      <c r="I896">
        <v>1.9379999999999999</v>
      </c>
      <c r="J896">
        <v>59.027999999999999</v>
      </c>
      <c r="K896">
        <v>0</v>
      </c>
    </row>
    <row r="897" spans="1:11">
      <c r="A897">
        <v>11031</v>
      </c>
      <c r="B897" t="s">
        <v>1377</v>
      </c>
      <c r="C897" t="s">
        <v>375</v>
      </c>
      <c r="E897" t="s">
        <v>432</v>
      </c>
      <c r="F897">
        <v>2</v>
      </c>
      <c r="G897">
        <v>1966</v>
      </c>
      <c r="H897">
        <v>190</v>
      </c>
      <c r="I897">
        <v>9.6880000000000006</v>
      </c>
      <c r="J897">
        <v>825.66099999999994</v>
      </c>
      <c r="K897">
        <v>414</v>
      </c>
    </row>
    <row r="898" spans="1:11">
      <c r="A898">
        <v>22959</v>
      </c>
      <c r="B898" t="s">
        <v>1378</v>
      </c>
      <c r="C898" t="s">
        <v>375</v>
      </c>
      <c r="E898" t="s">
        <v>116</v>
      </c>
      <c r="F898">
        <v>19</v>
      </c>
      <c r="G898">
        <v>1959</v>
      </c>
      <c r="H898">
        <v>935</v>
      </c>
      <c r="I898">
        <v>0</v>
      </c>
      <c r="J898">
        <v>0</v>
      </c>
      <c r="K898">
        <v>0</v>
      </c>
    </row>
    <row r="899" spans="1:11">
      <c r="A899">
        <v>20520</v>
      </c>
      <c r="B899" t="s">
        <v>1379</v>
      </c>
      <c r="C899" t="s">
        <v>375</v>
      </c>
      <c r="E899" t="s">
        <v>600</v>
      </c>
      <c r="F899">
        <v>74</v>
      </c>
      <c r="G899">
        <v>1957</v>
      </c>
      <c r="H899">
        <v>936</v>
      </c>
      <c r="I899">
        <v>0</v>
      </c>
      <c r="J899">
        <v>0</v>
      </c>
      <c r="K899">
        <v>0</v>
      </c>
    </row>
    <row r="900" spans="1:11">
      <c r="A900">
        <v>20556</v>
      </c>
      <c r="B900" t="s">
        <v>1380</v>
      </c>
      <c r="C900" t="s">
        <v>444</v>
      </c>
      <c r="E900" t="s">
        <v>373</v>
      </c>
      <c r="F900">
        <v>79</v>
      </c>
      <c r="G900">
        <v>1987</v>
      </c>
      <c r="H900">
        <v>937</v>
      </c>
      <c r="I900">
        <v>0</v>
      </c>
      <c r="J900">
        <v>0</v>
      </c>
      <c r="K900">
        <v>0</v>
      </c>
    </row>
    <row r="901" spans="1:11">
      <c r="A901">
        <v>21861</v>
      </c>
      <c r="B901" t="s">
        <v>1381</v>
      </c>
      <c r="C901" t="s">
        <v>414</v>
      </c>
      <c r="E901" t="s">
        <v>306</v>
      </c>
      <c r="F901">
        <v>33</v>
      </c>
      <c r="G901">
        <v>1962</v>
      </c>
      <c r="H901">
        <v>938</v>
      </c>
      <c r="I901">
        <v>0</v>
      </c>
      <c r="J901">
        <v>0</v>
      </c>
      <c r="K901">
        <v>0</v>
      </c>
    </row>
    <row r="902" spans="1:11">
      <c r="A902">
        <v>22012</v>
      </c>
      <c r="B902" t="s">
        <v>1382</v>
      </c>
      <c r="C902" t="s">
        <v>372</v>
      </c>
      <c r="E902" t="s">
        <v>324</v>
      </c>
      <c r="F902">
        <v>43</v>
      </c>
      <c r="G902">
        <v>1980</v>
      </c>
      <c r="H902">
        <v>376</v>
      </c>
      <c r="I902">
        <v>2.5</v>
      </c>
      <c r="J902">
        <v>228.148</v>
      </c>
      <c r="K902">
        <v>111</v>
      </c>
    </row>
    <row r="903" spans="1:11">
      <c r="A903">
        <v>24281</v>
      </c>
      <c r="B903" t="s">
        <v>1382</v>
      </c>
      <c r="C903" t="s">
        <v>372</v>
      </c>
      <c r="E903" t="s">
        <v>342</v>
      </c>
      <c r="F903">
        <v>52</v>
      </c>
      <c r="G903">
        <v>1969</v>
      </c>
      <c r="H903">
        <v>216</v>
      </c>
      <c r="I903">
        <v>16.187999999999999</v>
      </c>
      <c r="J903">
        <v>678.697</v>
      </c>
      <c r="K903">
        <v>166</v>
      </c>
    </row>
    <row r="904" spans="1:11">
      <c r="A904">
        <v>14052</v>
      </c>
      <c r="B904" t="s">
        <v>1383</v>
      </c>
      <c r="C904" t="s">
        <v>410</v>
      </c>
      <c r="D904" t="s">
        <v>262</v>
      </c>
      <c r="E904" t="s">
        <v>692</v>
      </c>
      <c r="F904">
        <v>77</v>
      </c>
      <c r="G904">
        <v>1970</v>
      </c>
      <c r="H904">
        <v>110</v>
      </c>
      <c r="I904">
        <v>22.265999999999998</v>
      </c>
      <c r="J904">
        <v>1400.5229999999999</v>
      </c>
      <c r="K904">
        <v>440</v>
      </c>
    </row>
    <row r="905" spans="1:11">
      <c r="A905">
        <v>21795</v>
      </c>
      <c r="B905" t="s">
        <v>1384</v>
      </c>
      <c r="C905" t="s">
        <v>1385</v>
      </c>
      <c r="E905" t="s">
        <v>398</v>
      </c>
      <c r="F905">
        <v>27</v>
      </c>
      <c r="G905">
        <v>1956</v>
      </c>
      <c r="H905">
        <v>188</v>
      </c>
      <c r="I905">
        <v>13.438000000000001</v>
      </c>
      <c r="J905">
        <v>834.726</v>
      </c>
      <c r="K905">
        <v>283</v>
      </c>
    </row>
    <row r="906" spans="1:11">
      <c r="A906">
        <v>16127</v>
      </c>
      <c r="B906" t="s">
        <v>1386</v>
      </c>
      <c r="C906" t="s">
        <v>485</v>
      </c>
      <c r="D906" t="s">
        <v>511</v>
      </c>
      <c r="E906" t="s">
        <v>432</v>
      </c>
      <c r="F906">
        <v>2</v>
      </c>
      <c r="G906">
        <v>2008</v>
      </c>
      <c r="H906">
        <v>940</v>
      </c>
      <c r="I906">
        <v>0</v>
      </c>
      <c r="J906">
        <v>0</v>
      </c>
      <c r="K906">
        <v>0</v>
      </c>
    </row>
    <row r="907" spans="1:11">
      <c r="A907">
        <v>16126</v>
      </c>
      <c r="B907" t="s">
        <v>1386</v>
      </c>
      <c r="C907" t="s">
        <v>434</v>
      </c>
      <c r="D907" t="s">
        <v>511</v>
      </c>
      <c r="E907" t="s">
        <v>432</v>
      </c>
      <c r="F907">
        <v>2</v>
      </c>
      <c r="G907">
        <v>2010</v>
      </c>
      <c r="H907">
        <v>939</v>
      </c>
      <c r="I907">
        <v>0</v>
      </c>
      <c r="J907">
        <v>0</v>
      </c>
      <c r="K907">
        <v>0</v>
      </c>
    </row>
    <row r="908" spans="1:11">
      <c r="A908">
        <v>14054</v>
      </c>
      <c r="B908" t="s">
        <v>1387</v>
      </c>
      <c r="C908" t="s">
        <v>741</v>
      </c>
      <c r="E908" t="s">
        <v>725</v>
      </c>
      <c r="F908">
        <v>7</v>
      </c>
      <c r="G908">
        <v>1962</v>
      </c>
      <c r="H908">
        <v>941</v>
      </c>
      <c r="I908">
        <v>0</v>
      </c>
      <c r="J908">
        <v>0</v>
      </c>
      <c r="K908">
        <v>0</v>
      </c>
    </row>
    <row r="909" spans="1:11">
      <c r="A909">
        <v>18120</v>
      </c>
      <c r="B909" t="s">
        <v>1388</v>
      </c>
      <c r="C909" t="s">
        <v>460</v>
      </c>
      <c r="D909" t="s">
        <v>262</v>
      </c>
      <c r="E909" t="s">
        <v>549</v>
      </c>
      <c r="F909">
        <v>91</v>
      </c>
      <c r="G909">
        <v>1972</v>
      </c>
      <c r="H909">
        <v>942</v>
      </c>
      <c r="I909">
        <v>0</v>
      </c>
      <c r="J909">
        <v>0</v>
      </c>
      <c r="K909">
        <v>0</v>
      </c>
    </row>
    <row r="910" spans="1:11">
      <c r="A910">
        <v>18082</v>
      </c>
      <c r="B910" t="s">
        <v>1389</v>
      </c>
      <c r="C910" t="s">
        <v>394</v>
      </c>
      <c r="E910" t="s">
        <v>138</v>
      </c>
      <c r="F910">
        <v>89</v>
      </c>
      <c r="G910">
        <v>1962</v>
      </c>
      <c r="H910">
        <v>589</v>
      </c>
      <c r="I910">
        <v>1.125</v>
      </c>
      <c r="J910">
        <v>37.405999999999999</v>
      </c>
      <c r="K910">
        <v>0</v>
      </c>
    </row>
    <row r="911" spans="1:11">
      <c r="A911">
        <v>18083</v>
      </c>
      <c r="B911" t="s">
        <v>1390</v>
      </c>
      <c r="C911" t="s">
        <v>799</v>
      </c>
      <c r="D911" t="s">
        <v>262</v>
      </c>
      <c r="E911" t="s">
        <v>138</v>
      </c>
      <c r="F911">
        <v>89</v>
      </c>
      <c r="G911">
        <v>1965</v>
      </c>
      <c r="H911">
        <v>590</v>
      </c>
      <c r="I911">
        <v>1.125</v>
      </c>
      <c r="J911">
        <v>37.405999999999999</v>
      </c>
      <c r="K911">
        <v>0</v>
      </c>
    </row>
    <row r="912" spans="1:11">
      <c r="A912">
        <v>19062</v>
      </c>
      <c r="B912" t="s">
        <v>1391</v>
      </c>
      <c r="C912" t="s">
        <v>844</v>
      </c>
      <c r="D912" t="s">
        <v>262</v>
      </c>
      <c r="E912" t="s">
        <v>692</v>
      </c>
      <c r="F912">
        <v>77</v>
      </c>
      <c r="G912">
        <v>1950</v>
      </c>
      <c r="H912">
        <v>405</v>
      </c>
      <c r="I912">
        <v>4.1559999999999997</v>
      </c>
      <c r="J912">
        <v>188.65799999999999</v>
      </c>
      <c r="K912">
        <v>97</v>
      </c>
    </row>
    <row r="913" spans="1:11">
      <c r="A913">
        <v>25075</v>
      </c>
      <c r="B913" t="s">
        <v>1392</v>
      </c>
      <c r="C913" t="s">
        <v>391</v>
      </c>
      <c r="E913" t="s">
        <v>470</v>
      </c>
      <c r="F913">
        <v>55</v>
      </c>
      <c r="G913">
        <v>1958</v>
      </c>
      <c r="H913">
        <v>98</v>
      </c>
      <c r="I913">
        <v>17.189</v>
      </c>
      <c r="J913">
        <v>1517.9079999999999</v>
      </c>
      <c r="K913">
        <v>741</v>
      </c>
    </row>
    <row r="914" spans="1:11">
      <c r="A914">
        <v>16010</v>
      </c>
      <c r="B914" t="s">
        <v>1393</v>
      </c>
      <c r="C914" t="s">
        <v>641</v>
      </c>
      <c r="D914" t="s">
        <v>262</v>
      </c>
      <c r="E914" t="s">
        <v>130</v>
      </c>
      <c r="F914">
        <v>64</v>
      </c>
      <c r="G914">
        <v>1962</v>
      </c>
      <c r="H914">
        <v>61</v>
      </c>
      <c r="I914">
        <v>34.75</v>
      </c>
      <c r="J914">
        <v>2089.634</v>
      </c>
      <c r="K914">
        <v>598</v>
      </c>
    </row>
    <row r="915" spans="1:11">
      <c r="A915">
        <v>99600</v>
      </c>
      <c r="B915" t="s">
        <v>1394</v>
      </c>
      <c r="C915" t="s">
        <v>394</v>
      </c>
      <c r="E915" t="s">
        <v>116</v>
      </c>
      <c r="F915">
        <v>19</v>
      </c>
      <c r="G915">
        <v>1966</v>
      </c>
      <c r="H915">
        <v>212</v>
      </c>
      <c r="I915">
        <v>12.25</v>
      </c>
      <c r="J915">
        <v>705.49800000000005</v>
      </c>
      <c r="K915">
        <v>252</v>
      </c>
    </row>
    <row r="916" spans="1:11">
      <c r="A916">
        <v>15080</v>
      </c>
      <c r="B916" t="s">
        <v>1395</v>
      </c>
      <c r="C916" t="s">
        <v>816</v>
      </c>
      <c r="E916" t="s">
        <v>151</v>
      </c>
      <c r="F916">
        <v>13</v>
      </c>
      <c r="G916">
        <v>1983</v>
      </c>
      <c r="H916">
        <v>554</v>
      </c>
      <c r="I916">
        <v>2.25</v>
      </c>
      <c r="J916">
        <v>52.975999999999999</v>
      </c>
      <c r="K916">
        <v>0</v>
      </c>
    </row>
    <row r="917" spans="1:11">
      <c r="A917">
        <v>97297</v>
      </c>
      <c r="B917" t="s">
        <v>1396</v>
      </c>
      <c r="C917" t="s">
        <v>375</v>
      </c>
      <c r="E917" t="s">
        <v>205</v>
      </c>
      <c r="F917">
        <v>17</v>
      </c>
      <c r="G917">
        <v>1959</v>
      </c>
      <c r="H917">
        <v>943</v>
      </c>
      <c r="I917">
        <v>0</v>
      </c>
      <c r="J917">
        <v>0</v>
      </c>
      <c r="K917">
        <v>0</v>
      </c>
    </row>
    <row r="918" spans="1:11">
      <c r="A918">
        <v>99537</v>
      </c>
      <c r="B918" t="s">
        <v>1396</v>
      </c>
      <c r="C918" t="s">
        <v>407</v>
      </c>
      <c r="E918" t="s">
        <v>205</v>
      </c>
      <c r="F918">
        <v>17</v>
      </c>
      <c r="G918">
        <v>1986</v>
      </c>
      <c r="H918">
        <v>944</v>
      </c>
      <c r="I918">
        <v>0</v>
      </c>
      <c r="J918">
        <v>0</v>
      </c>
      <c r="K918">
        <v>0</v>
      </c>
    </row>
    <row r="919" spans="1:11">
      <c r="A919">
        <v>21813</v>
      </c>
      <c r="B919" t="s">
        <v>1397</v>
      </c>
      <c r="C919" t="s">
        <v>378</v>
      </c>
      <c r="D919" t="s">
        <v>262</v>
      </c>
      <c r="E919" t="s">
        <v>205</v>
      </c>
      <c r="F919">
        <v>17</v>
      </c>
      <c r="G919">
        <v>1988</v>
      </c>
      <c r="H919">
        <v>530</v>
      </c>
      <c r="I919">
        <v>2</v>
      </c>
      <c r="J919">
        <v>66.798000000000002</v>
      </c>
      <c r="K919">
        <v>0</v>
      </c>
    </row>
    <row r="920" spans="1:11">
      <c r="A920">
        <v>18109</v>
      </c>
      <c r="B920" t="s">
        <v>1398</v>
      </c>
      <c r="C920" t="s">
        <v>372</v>
      </c>
      <c r="E920" t="s">
        <v>663</v>
      </c>
      <c r="F920">
        <v>90</v>
      </c>
      <c r="G920">
        <v>1986</v>
      </c>
      <c r="H920">
        <v>127</v>
      </c>
      <c r="I920">
        <v>15.627000000000001</v>
      </c>
      <c r="J920">
        <v>1244.097</v>
      </c>
      <c r="K920">
        <v>537</v>
      </c>
    </row>
    <row r="921" spans="1:11">
      <c r="A921">
        <v>19058</v>
      </c>
      <c r="B921" t="s">
        <v>1399</v>
      </c>
      <c r="C921" t="s">
        <v>719</v>
      </c>
      <c r="D921" t="s">
        <v>511</v>
      </c>
      <c r="E921" t="s">
        <v>663</v>
      </c>
      <c r="F921">
        <v>90</v>
      </c>
      <c r="G921">
        <v>2010</v>
      </c>
      <c r="H921">
        <v>415</v>
      </c>
      <c r="I921">
        <v>3.4060000000000001</v>
      </c>
      <c r="J921">
        <v>176.572</v>
      </c>
      <c r="K921">
        <v>18</v>
      </c>
    </row>
    <row r="922" spans="1:11">
      <c r="A922">
        <v>19076</v>
      </c>
      <c r="B922" t="s">
        <v>1400</v>
      </c>
      <c r="C922" t="s">
        <v>532</v>
      </c>
      <c r="D922" t="s">
        <v>397</v>
      </c>
      <c r="E922" t="s">
        <v>138</v>
      </c>
      <c r="F922">
        <v>89</v>
      </c>
      <c r="G922">
        <v>2007</v>
      </c>
      <c r="H922">
        <v>576</v>
      </c>
      <c r="I922">
        <v>0.96899999999999997</v>
      </c>
      <c r="J922">
        <v>41.789000000000001</v>
      </c>
      <c r="K922">
        <v>0</v>
      </c>
    </row>
    <row r="923" spans="1:11">
      <c r="A923">
        <v>19079</v>
      </c>
      <c r="B923" t="s">
        <v>1400</v>
      </c>
      <c r="C923" t="s">
        <v>450</v>
      </c>
      <c r="E923" t="s">
        <v>138</v>
      </c>
      <c r="F923">
        <v>89</v>
      </c>
      <c r="G923">
        <v>1968</v>
      </c>
      <c r="H923">
        <v>565</v>
      </c>
      <c r="I923">
        <v>1.0629999999999999</v>
      </c>
      <c r="J923">
        <v>45.832999999999998</v>
      </c>
      <c r="K923">
        <v>0</v>
      </c>
    </row>
    <row r="924" spans="1:11">
      <c r="A924">
        <v>19077</v>
      </c>
      <c r="B924" t="s">
        <v>1401</v>
      </c>
      <c r="C924" t="s">
        <v>486</v>
      </c>
      <c r="D924" t="s">
        <v>262</v>
      </c>
      <c r="E924" t="s">
        <v>138</v>
      </c>
      <c r="F924">
        <v>89</v>
      </c>
      <c r="G924">
        <v>1977</v>
      </c>
      <c r="H924">
        <v>945</v>
      </c>
      <c r="I924">
        <v>0</v>
      </c>
      <c r="J924">
        <v>0</v>
      </c>
      <c r="K924">
        <v>0</v>
      </c>
    </row>
    <row r="925" spans="1:11">
      <c r="A925">
        <v>19078</v>
      </c>
      <c r="B925" t="s">
        <v>1401</v>
      </c>
      <c r="C925" t="s">
        <v>486</v>
      </c>
      <c r="D925" t="s">
        <v>511</v>
      </c>
      <c r="E925" t="s">
        <v>138</v>
      </c>
      <c r="F925">
        <v>89</v>
      </c>
      <c r="G925">
        <v>2010</v>
      </c>
      <c r="H925">
        <v>566</v>
      </c>
      <c r="I925">
        <v>1.0629999999999999</v>
      </c>
      <c r="J925">
        <v>45.832999999999998</v>
      </c>
      <c r="K925">
        <v>0</v>
      </c>
    </row>
    <row r="926" spans="1:11">
      <c r="A926">
        <v>19075</v>
      </c>
      <c r="B926" t="s">
        <v>1401</v>
      </c>
      <c r="C926" t="s">
        <v>1402</v>
      </c>
      <c r="D926" t="s">
        <v>511</v>
      </c>
      <c r="E926" t="s">
        <v>138</v>
      </c>
      <c r="F926">
        <v>89</v>
      </c>
      <c r="G926">
        <v>2012</v>
      </c>
      <c r="H926">
        <v>577</v>
      </c>
      <c r="I926">
        <v>0.96899999999999997</v>
      </c>
      <c r="J926">
        <v>41.789000000000001</v>
      </c>
      <c r="K926">
        <v>0</v>
      </c>
    </row>
    <row r="927" spans="1:11">
      <c r="A927">
        <v>18135</v>
      </c>
      <c r="B927" t="s">
        <v>1403</v>
      </c>
      <c r="C927" t="s">
        <v>560</v>
      </c>
      <c r="D927" t="s">
        <v>262</v>
      </c>
      <c r="E927" t="s">
        <v>148</v>
      </c>
      <c r="F927">
        <v>1</v>
      </c>
      <c r="G927">
        <v>1967</v>
      </c>
      <c r="H927">
        <v>610</v>
      </c>
      <c r="I927">
        <v>0.5</v>
      </c>
      <c r="J927">
        <v>23.532</v>
      </c>
      <c r="K927">
        <v>0</v>
      </c>
    </row>
    <row r="928" spans="1:11">
      <c r="A928">
        <v>96030</v>
      </c>
      <c r="B928" t="s">
        <v>1404</v>
      </c>
      <c r="C928" t="s">
        <v>414</v>
      </c>
      <c r="E928" t="s">
        <v>148</v>
      </c>
      <c r="F928">
        <v>1</v>
      </c>
      <c r="G928">
        <v>1950</v>
      </c>
      <c r="H928">
        <v>946</v>
      </c>
      <c r="I928">
        <v>0</v>
      </c>
      <c r="J928">
        <v>0</v>
      </c>
      <c r="K928">
        <v>0</v>
      </c>
    </row>
    <row r="929" spans="1:11">
      <c r="A929">
        <v>18061</v>
      </c>
      <c r="B929" t="s">
        <v>1405</v>
      </c>
      <c r="C929" t="s">
        <v>1406</v>
      </c>
      <c r="D929" t="s">
        <v>262</v>
      </c>
      <c r="E929" t="s">
        <v>148</v>
      </c>
      <c r="F929">
        <v>1</v>
      </c>
      <c r="G929">
        <v>1957</v>
      </c>
      <c r="H929">
        <v>947</v>
      </c>
      <c r="I929">
        <v>0</v>
      </c>
      <c r="J929">
        <v>0</v>
      </c>
      <c r="K929">
        <v>0</v>
      </c>
    </row>
    <row r="930" spans="1:11">
      <c r="A930">
        <v>24232</v>
      </c>
      <c r="B930" t="s">
        <v>1407</v>
      </c>
      <c r="C930" t="s">
        <v>597</v>
      </c>
      <c r="E930" t="s">
        <v>392</v>
      </c>
      <c r="F930">
        <v>51</v>
      </c>
      <c r="G930">
        <v>1970</v>
      </c>
      <c r="H930">
        <v>948</v>
      </c>
      <c r="I930">
        <v>0</v>
      </c>
      <c r="J930">
        <v>0</v>
      </c>
      <c r="K930">
        <v>0</v>
      </c>
    </row>
    <row r="931" spans="1:11">
      <c r="A931">
        <v>18052</v>
      </c>
      <c r="B931" t="s">
        <v>1408</v>
      </c>
      <c r="C931" t="s">
        <v>475</v>
      </c>
      <c r="E931" t="s">
        <v>645</v>
      </c>
      <c r="F931">
        <v>56</v>
      </c>
      <c r="G931">
        <v>1964</v>
      </c>
      <c r="H931">
        <v>347</v>
      </c>
      <c r="I931">
        <v>5.3760000000000003</v>
      </c>
      <c r="J931">
        <v>268.63299999999998</v>
      </c>
      <c r="K931">
        <v>84</v>
      </c>
    </row>
    <row r="932" spans="1:11">
      <c r="A932">
        <v>20526</v>
      </c>
      <c r="B932" t="s">
        <v>1409</v>
      </c>
      <c r="C932" t="s">
        <v>394</v>
      </c>
      <c r="E932" t="s">
        <v>365</v>
      </c>
      <c r="F932">
        <v>86</v>
      </c>
      <c r="G932">
        <v>1989</v>
      </c>
      <c r="H932">
        <v>949</v>
      </c>
      <c r="I932">
        <v>0</v>
      </c>
      <c r="J932">
        <v>0</v>
      </c>
      <c r="K932">
        <v>0</v>
      </c>
    </row>
    <row r="933" spans="1:11">
      <c r="A933">
        <v>20541</v>
      </c>
      <c r="B933" t="s">
        <v>1410</v>
      </c>
      <c r="C933" t="s">
        <v>452</v>
      </c>
      <c r="E933" t="s">
        <v>684</v>
      </c>
      <c r="F933">
        <v>93</v>
      </c>
      <c r="G933">
        <v>1963</v>
      </c>
      <c r="H933">
        <v>621</v>
      </c>
      <c r="I933">
        <v>0.34399999999999997</v>
      </c>
      <c r="J933">
        <v>16.672000000000001</v>
      </c>
      <c r="K933">
        <v>0</v>
      </c>
    </row>
    <row r="934" spans="1:11">
      <c r="A934">
        <v>17081</v>
      </c>
      <c r="B934" t="s">
        <v>1411</v>
      </c>
      <c r="C934" t="s">
        <v>545</v>
      </c>
      <c r="D934" t="s">
        <v>262</v>
      </c>
      <c r="E934" t="s">
        <v>153</v>
      </c>
      <c r="F934">
        <v>42</v>
      </c>
      <c r="G934">
        <v>1945</v>
      </c>
      <c r="H934">
        <v>221</v>
      </c>
      <c r="I934">
        <v>8.5630000000000006</v>
      </c>
      <c r="J934">
        <v>650.97199999999998</v>
      </c>
      <c r="K934">
        <v>255</v>
      </c>
    </row>
    <row r="935" spans="1:11">
      <c r="A935">
        <v>15075</v>
      </c>
      <c r="B935" t="s">
        <v>1412</v>
      </c>
      <c r="C935" t="s">
        <v>448</v>
      </c>
      <c r="D935" t="s">
        <v>262</v>
      </c>
      <c r="E935" t="s">
        <v>148</v>
      </c>
      <c r="F935">
        <v>1</v>
      </c>
      <c r="G935">
        <v>1956</v>
      </c>
      <c r="H935">
        <v>507</v>
      </c>
      <c r="I935">
        <v>2.3130000000000002</v>
      </c>
      <c r="J935">
        <v>78.372</v>
      </c>
      <c r="K935">
        <v>0</v>
      </c>
    </row>
    <row r="936" spans="1:11">
      <c r="A936">
        <v>98352</v>
      </c>
      <c r="B936" t="s">
        <v>1413</v>
      </c>
      <c r="C936" t="s">
        <v>473</v>
      </c>
      <c r="D936" t="s">
        <v>262</v>
      </c>
      <c r="E936" t="s">
        <v>148</v>
      </c>
      <c r="F936">
        <v>1</v>
      </c>
      <c r="G936">
        <v>1967</v>
      </c>
      <c r="H936">
        <v>611</v>
      </c>
      <c r="I936">
        <v>0.5</v>
      </c>
      <c r="J936">
        <v>23.532</v>
      </c>
      <c r="K936">
        <v>0</v>
      </c>
    </row>
    <row r="937" spans="1:11">
      <c r="A937">
        <v>96205</v>
      </c>
      <c r="B937" t="s">
        <v>1414</v>
      </c>
      <c r="C937" t="s">
        <v>444</v>
      </c>
      <c r="E937" t="s">
        <v>148</v>
      </c>
      <c r="F937">
        <v>1</v>
      </c>
      <c r="G937">
        <v>1953</v>
      </c>
      <c r="H937">
        <v>374</v>
      </c>
      <c r="I937">
        <v>4.875</v>
      </c>
      <c r="J937">
        <v>228.535</v>
      </c>
      <c r="K937">
        <v>0</v>
      </c>
    </row>
    <row r="938" spans="1:11">
      <c r="A938">
        <v>20527</v>
      </c>
      <c r="B938" t="s">
        <v>1415</v>
      </c>
      <c r="C938" t="s">
        <v>450</v>
      </c>
      <c r="E938" t="s">
        <v>365</v>
      </c>
      <c r="F938">
        <v>86</v>
      </c>
      <c r="G938">
        <v>1989</v>
      </c>
      <c r="H938">
        <v>950</v>
      </c>
      <c r="I938">
        <v>0</v>
      </c>
      <c r="J938">
        <v>0</v>
      </c>
      <c r="K938">
        <v>0</v>
      </c>
    </row>
    <row r="939" spans="1:11">
      <c r="A939">
        <v>21819</v>
      </c>
      <c r="B939" t="s">
        <v>1416</v>
      </c>
      <c r="C939" t="s">
        <v>464</v>
      </c>
      <c r="E939" t="s">
        <v>310</v>
      </c>
      <c r="F939">
        <v>36</v>
      </c>
      <c r="G939">
        <v>1952</v>
      </c>
      <c r="H939">
        <v>951</v>
      </c>
      <c r="I939">
        <v>0</v>
      </c>
      <c r="J939">
        <v>0</v>
      </c>
      <c r="K939">
        <v>0</v>
      </c>
    </row>
    <row r="940" spans="1:11">
      <c r="A940">
        <v>17093</v>
      </c>
      <c r="B940" t="s">
        <v>1417</v>
      </c>
      <c r="C940" t="s">
        <v>1331</v>
      </c>
      <c r="E940" t="s">
        <v>133</v>
      </c>
      <c r="F940">
        <v>63</v>
      </c>
      <c r="G940">
        <v>1967</v>
      </c>
      <c r="H940">
        <v>137</v>
      </c>
      <c r="I940">
        <v>19.344999999999999</v>
      </c>
      <c r="J940">
        <v>1169.8679999999999</v>
      </c>
      <c r="K940">
        <v>415</v>
      </c>
    </row>
    <row r="941" spans="1:11">
      <c r="A941">
        <v>10047</v>
      </c>
      <c r="B941" t="s">
        <v>1417</v>
      </c>
      <c r="C941" t="s">
        <v>497</v>
      </c>
      <c r="E941" t="s">
        <v>133</v>
      </c>
      <c r="F941">
        <v>63</v>
      </c>
      <c r="G941">
        <v>1997</v>
      </c>
      <c r="H941">
        <v>71</v>
      </c>
      <c r="I941">
        <v>30.062999999999999</v>
      </c>
      <c r="J941">
        <v>1948.51</v>
      </c>
      <c r="K941">
        <v>726</v>
      </c>
    </row>
    <row r="942" spans="1:11">
      <c r="A942">
        <v>13053</v>
      </c>
      <c r="B942" t="s">
        <v>1418</v>
      </c>
      <c r="C942" t="s">
        <v>545</v>
      </c>
      <c r="D942" t="s">
        <v>262</v>
      </c>
      <c r="E942" t="s">
        <v>376</v>
      </c>
      <c r="F942">
        <v>70</v>
      </c>
      <c r="G942">
        <v>1946</v>
      </c>
      <c r="H942">
        <v>952</v>
      </c>
      <c r="I942">
        <v>0</v>
      </c>
      <c r="J942">
        <v>0</v>
      </c>
      <c r="K942">
        <v>0</v>
      </c>
    </row>
    <row r="943" spans="1:11">
      <c r="A943">
        <v>97272</v>
      </c>
      <c r="B943" t="s">
        <v>1419</v>
      </c>
      <c r="C943" t="s">
        <v>450</v>
      </c>
      <c r="E943" t="s">
        <v>148</v>
      </c>
      <c r="F943">
        <v>1</v>
      </c>
      <c r="G943">
        <v>1957</v>
      </c>
      <c r="H943">
        <v>408</v>
      </c>
      <c r="I943">
        <v>3.407</v>
      </c>
      <c r="J943">
        <v>185.37200000000001</v>
      </c>
      <c r="K943">
        <v>25</v>
      </c>
    </row>
    <row r="944" spans="1:11">
      <c r="A944">
        <v>15068</v>
      </c>
      <c r="B944" t="s">
        <v>1420</v>
      </c>
      <c r="C944" t="s">
        <v>816</v>
      </c>
      <c r="E944" t="s">
        <v>456</v>
      </c>
      <c r="F944">
        <v>24</v>
      </c>
      <c r="G944">
        <v>1956</v>
      </c>
      <c r="H944">
        <v>93</v>
      </c>
      <c r="I944">
        <v>20.501000000000001</v>
      </c>
      <c r="J944">
        <v>1587.001</v>
      </c>
      <c r="K944">
        <v>622</v>
      </c>
    </row>
    <row r="945" spans="1:11">
      <c r="A945">
        <v>19005</v>
      </c>
      <c r="B945" t="s">
        <v>1421</v>
      </c>
      <c r="C945" t="s">
        <v>514</v>
      </c>
      <c r="E945" t="s">
        <v>465</v>
      </c>
      <c r="F945">
        <v>28</v>
      </c>
      <c r="G945">
        <v>1959</v>
      </c>
      <c r="H945">
        <v>953</v>
      </c>
      <c r="I945">
        <v>0</v>
      </c>
      <c r="J945">
        <v>0</v>
      </c>
      <c r="K945">
        <v>0</v>
      </c>
    </row>
    <row r="946" spans="1:11">
      <c r="A946">
        <v>97262</v>
      </c>
      <c r="B946" t="s">
        <v>1422</v>
      </c>
      <c r="C946" t="s">
        <v>872</v>
      </c>
      <c r="D946" t="s">
        <v>262</v>
      </c>
      <c r="E946" t="s">
        <v>465</v>
      </c>
      <c r="F946">
        <v>28</v>
      </c>
      <c r="G946">
        <v>1964</v>
      </c>
      <c r="H946">
        <v>954</v>
      </c>
      <c r="I946">
        <v>0</v>
      </c>
      <c r="J946">
        <v>0</v>
      </c>
      <c r="K946">
        <v>0</v>
      </c>
    </row>
    <row r="947" spans="1:11">
      <c r="A947">
        <v>21820</v>
      </c>
      <c r="B947" t="s">
        <v>1423</v>
      </c>
      <c r="C947" t="s">
        <v>1253</v>
      </c>
      <c r="E947" t="s">
        <v>310</v>
      </c>
      <c r="F947">
        <v>36</v>
      </c>
      <c r="G947">
        <v>1959</v>
      </c>
      <c r="H947">
        <v>955</v>
      </c>
      <c r="I947">
        <v>0</v>
      </c>
      <c r="J947">
        <v>0</v>
      </c>
      <c r="K947">
        <v>0</v>
      </c>
    </row>
    <row r="948" spans="1:11">
      <c r="A948">
        <v>16012</v>
      </c>
      <c r="B948" t="s">
        <v>1424</v>
      </c>
      <c r="C948" t="s">
        <v>532</v>
      </c>
      <c r="E948" t="s">
        <v>373</v>
      </c>
      <c r="F948">
        <v>79</v>
      </c>
      <c r="G948">
        <v>2001</v>
      </c>
      <c r="H948">
        <v>956</v>
      </c>
      <c r="I948">
        <v>0</v>
      </c>
      <c r="J948">
        <v>0</v>
      </c>
      <c r="K948">
        <v>0</v>
      </c>
    </row>
    <row r="949" spans="1:11">
      <c r="A949">
        <v>18021</v>
      </c>
      <c r="B949" t="s">
        <v>1425</v>
      </c>
      <c r="C949" t="s">
        <v>677</v>
      </c>
      <c r="D949" t="s">
        <v>262</v>
      </c>
      <c r="E949" t="s">
        <v>524</v>
      </c>
      <c r="F949">
        <v>87</v>
      </c>
      <c r="G949">
        <v>1938</v>
      </c>
      <c r="H949">
        <v>357</v>
      </c>
      <c r="I949">
        <v>4.5789999999999997</v>
      </c>
      <c r="J949">
        <v>264.47300000000001</v>
      </c>
      <c r="K949">
        <v>65</v>
      </c>
    </row>
    <row r="950" spans="1:11">
      <c r="A950">
        <v>17049</v>
      </c>
      <c r="B950" t="s">
        <v>1426</v>
      </c>
      <c r="C950" t="s">
        <v>414</v>
      </c>
      <c r="E950" t="s">
        <v>310</v>
      </c>
      <c r="F950">
        <v>36</v>
      </c>
      <c r="G950">
        <v>1951</v>
      </c>
      <c r="H950">
        <v>957</v>
      </c>
      <c r="I950">
        <v>0</v>
      </c>
      <c r="J950">
        <v>0</v>
      </c>
      <c r="K950">
        <v>0</v>
      </c>
    </row>
    <row r="951" spans="1:11">
      <c r="A951">
        <v>19044</v>
      </c>
      <c r="B951" t="s">
        <v>1427</v>
      </c>
      <c r="C951" t="s">
        <v>1001</v>
      </c>
      <c r="D951" t="s">
        <v>397</v>
      </c>
      <c r="E951" t="s">
        <v>148</v>
      </c>
      <c r="F951">
        <v>1</v>
      </c>
      <c r="G951">
        <v>2007</v>
      </c>
      <c r="H951">
        <v>462</v>
      </c>
      <c r="I951">
        <v>2.5630000000000002</v>
      </c>
      <c r="J951">
        <v>119.65300000000001</v>
      </c>
      <c r="K951">
        <v>0</v>
      </c>
    </row>
    <row r="952" spans="1:11">
      <c r="A952">
        <v>15026</v>
      </c>
      <c r="B952" t="s">
        <v>1428</v>
      </c>
      <c r="C952" t="s">
        <v>375</v>
      </c>
      <c r="E952" t="s">
        <v>130</v>
      </c>
      <c r="F952">
        <v>64</v>
      </c>
      <c r="G952">
        <v>1964</v>
      </c>
      <c r="H952">
        <v>540</v>
      </c>
      <c r="I952">
        <v>2.25</v>
      </c>
      <c r="J952">
        <v>63.415999999999997</v>
      </c>
      <c r="K952">
        <v>0</v>
      </c>
    </row>
    <row r="953" spans="1:11">
      <c r="A953">
        <v>16059</v>
      </c>
      <c r="B953" t="s">
        <v>1428</v>
      </c>
      <c r="C953" t="s">
        <v>395</v>
      </c>
      <c r="E953" t="s">
        <v>759</v>
      </c>
      <c r="F953">
        <v>83</v>
      </c>
      <c r="G953">
        <v>1975</v>
      </c>
      <c r="H953">
        <v>958</v>
      </c>
      <c r="I953">
        <v>0</v>
      </c>
      <c r="J953">
        <v>0</v>
      </c>
      <c r="K953">
        <v>0</v>
      </c>
    </row>
    <row r="954" spans="1:11">
      <c r="A954">
        <v>24258</v>
      </c>
      <c r="B954" t="s">
        <v>1428</v>
      </c>
      <c r="C954" t="s">
        <v>1344</v>
      </c>
      <c r="E954" t="s">
        <v>148</v>
      </c>
      <c r="F954">
        <v>1</v>
      </c>
      <c r="G954">
        <v>1942</v>
      </c>
      <c r="H954">
        <v>635</v>
      </c>
      <c r="I954">
        <v>6.3E-2</v>
      </c>
      <c r="J954">
        <v>2.9409999999999998</v>
      </c>
      <c r="K954">
        <v>0</v>
      </c>
    </row>
    <row r="955" spans="1:11">
      <c r="A955">
        <v>98369</v>
      </c>
      <c r="B955" t="s">
        <v>1429</v>
      </c>
      <c r="C955" t="s">
        <v>485</v>
      </c>
      <c r="D955" t="s">
        <v>262</v>
      </c>
      <c r="E955" t="s">
        <v>465</v>
      </c>
      <c r="F955">
        <v>28</v>
      </c>
      <c r="G955">
        <v>1957</v>
      </c>
      <c r="H955">
        <v>959</v>
      </c>
      <c r="I955">
        <v>0</v>
      </c>
      <c r="J955">
        <v>0</v>
      </c>
      <c r="K955">
        <v>0</v>
      </c>
    </row>
    <row r="956" spans="1:11">
      <c r="A956">
        <v>20522</v>
      </c>
      <c r="B956" t="s">
        <v>1430</v>
      </c>
      <c r="C956" t="s">
        <v>442</v>
      </c>
      <c r="D956" t="s">
        <v>511</v>
      </c>
      <c r="E956" t="s">
        <v>692</v>
      </c>
      <c r="F956">
        <v>77</v>
      </c>
      <c r="G956">
        <v>2009</v>
      </c>
      <c r="H956">
        <v>960</v>
      </c>
      <c r="I956">
        <v>0</v>
      </c>
      <c r="J956">
        <v>0</v>
      </c>
      <c r="K956">
        <v>0</v>
      </c>
    </row>
    <row r="957" spans="1:11">
      <c r="A957">
        <v>19057</v>
      </c>
      <c r="B957" t="s">
        <v>1431</v>
      </c>
      <c r="C957" t="s">
        <v>776</v>
      </c>
      <c r="D957" t="s">
        <v>397</v>
      </c>
      <c r="E957" t="s">
        <v>692</v>
      </c>
      <c r="F957">
        <v>77</v>
      </c>
      <c r="G957">
        <v>2007</v>
      </c>
      <c r="H957">
        <v>961</v>
      </c>
      <c r="I957">
        <v>0</v>
      </c>
      <c r="J957">
        <v>0</v>
      </c>
      <c r="K957">
        <v>0</v>
      </c>
    </row>
    <row r="958" spans="1:11">
      <c r="A958">
        <v>24275</v>
      </c>
      <c r="B958" t="s">
        <v>1431</v>
      </c>
      <c r="C958" t="s">
        <v>497</v>
      </c>
      <c r="E958" t="s">
        <v>342</v>
      </c>
      <c r="F958">
        <v>52</v>
      </c>
      <c r="G958">
        <v>1963</v>
      </c>
      <c r="H958">
        <v>252</v>
      </c>
      <c r="I958">
        <v>10.688000000000001</v>
      </c>
      <c r="J958">
        <v>499.33</v>
      </c>
      <c r="K958">
        <v>171</v>
      </c>
    </row>
    <row r="959" spans="1:11">
      <c r="A959">
        <v>14019</v>
      </c>
      <c r="B959" t="s">
        <v>1432</v>
      </c>
      <c r="C959" t="s">
        <v>592</v>
      </c>
      <c r="D959" t="s">
        <v>262</v>
      </c>
      <c r="E959" t="s">
        <v>543</v>
      </c>
      <c r="F959">
        <v>54</v>
      </c>
      <c r="G959">
        <v>1945</v>
      </c>
      <c r="H959">
        <v>962</v>
      </c>
      <c r="I959">
        <v>0</v>
      </c>
      <c r="J959">
        <v>0</v>
      </c>
      <c r="K959">
        <v>0</v>
      </c>
    </row>
    <row r="960" spans="1:11">
      <c r="A960">
        <v>27080</v>
      </c>
      <c r="B960" t="s">
        <v>1433</v>
      </c>
      <c r="C960" t="s">
        <v>384</v>
      </c>
      <c r="E960" t="s">
        <v>153</v>
      </c>
      <c r="F960">
        <v>42</v>
      </c>
      <c r="G960">
        <v>1970</v>
      </c>
      <c r="H960">
        <v>196</v>
      </c>
      <c r="I960">
        <v>13.36</v>
      </c>
      <c r="J960">
        <v>799.70600000000002</v>
      </c>
      <c r="K960">
        <v>257</v>
      </c>
    </row>
    <row r="961" spans="1:11">
      <c r="A961">
        <v>15028</v>
      </c>
      <c r="B961" t="s">
        <v>1434</v>
      </c>
      <c r="C961" t="s">
        <v>407</v>
      </c>
      <c r="E961" t="s">
        <v>373</v>
      </c>
      <c r="F961">
        <v>79</v>
      </c>
      <c r="G961">
        <v>1987</v>
      </c>
      <c r="H961">
        <v>375</v>
      </c>
      <c r="I961">
        <v>5.75</v>
      </c>
      <c r="J961">
        <v>228.267</v>
      </c>
      <c r="K961">
        <v>0</v>
      </c>
    </row>
    <row r="962" spans="1:11">
      <c r="A962">
        <v>23086</v>
      </c>
      <c r="B962" t="s">
        <v>1435</v>
      </c>
      <c r="C962" t="s">
        <v>394</v>
      </c>
      <c r="E962" t="s">
        <v>324</v>
      </c>
      <c r="F962">
        <v>43</v>
      </c>
      <c r="G962">
        <v>1955</v>
      </c>
      <c r="H962">
        <v>49</v>
      </c>
      <c r="I962">
        <v>29.062999999999999</v>
      </c>
      <c r="J962">
        <v>2300.6390000000001</v>
      </c>
      <c r="K962">
        <v>979</v>
      </c>
    </row>
    <row r="963" spans="1:11">
      <c r="A963">
        <v>16090</v>
      </c>
      <c r="B963" t="s">
        <v>1436</v>
      </c>
      <c r="C963" t="s">
        <v>400</v>
      </c>
      <c r="D963" t="s">
        <v>262</v>
      </c>
      <c r="E963" t="s">
        <v>524</v>
      </c>
      <c r="F963">
        <v>87</v>
      </c>
      <c r="G963">
        <v>1945</v>
      </c>
      <c r="H963">
        <v>463</v>
      </c>
      <c r="I963">
        <v>1.8129999999999999</v>
      </c>
      <c r="J963">
        <v>118.566</v>
      </c>
      <c r="K963">
        <v>49</v>
      </c>
    </row>
    <row r="964" spans="1:11">
      <c r="A964">
        <v>26010</v>
      </c>
      <c r="B964" t="s">
        <v>1437</v>
      </c>
      <c r="C964" t="s">
        <v>375</v>
      </c>
      <c r="E964" t="s">
        <v>148</v>
      </c>
      <c r="F964">
        <v>1</v>
      </c>
      <c r="G964">
        <v>1953</v>
      </c>
      <c r="H964">
        <v>58</v>
      </c>
      <c r="I964">
        <v>33.438000000000002</v>
      </c>
      <c r="J964">
        <v>2129.4969999999998</v>
      </c>
      <c r="K964">
        <v>661</v>
      </c>
    </row>
    <row r="965" spans="1:11">
      <c r="A965">
        <v>14022</v>
      </c>
      <c r="B965" t="s">
        <v>1438</v>
      </c>
      <c r="C965" t="s">
        <v>485</v>
      </c>
      <c r="D965" t="s">
        <v>262</v>
      </c>
      <c r="E965" t="s">
        <v>470</v>
      </c>
      <c r="F965">
        <v>55</v>
      </c>
      <c r="G965">
        <v>1985</v>
      </c>
      <c r="H965">
        <v>963</v>
      </c>
      <c r="I965">
        <v>0</v>
      </c>
      <c r="J965">
        <v>0</v>
      </c>
      <c r="K965">
        <v>0</v>
      </c>
    </row>
    <row r="966" spans="1:11">
      <c r="A966">
        <v>28009</v>
      </c>
      <c r="B966" t="s">
        <v>1438</v>
      </c>
      <c r="C966" t="s">
        <v>1087</v>
      </c>
      <c r="D966" t="s">
        <v>262</v>
      </c>
      <c r="E966" t="s">
        <v>148</v>
      </c>
      <c r="F966">
        <v>1</v>
      </c>
      <c r="G966">
        <v>1955</v>
      </c>
      <c r="H966">
        <v>612</v>
      </c>
      <c r="I966">
        <v>0.5</v>
      </c>
      <c r="J966">
        <v>23.532</v>
      </c>
      <c r="K966">
        <v>0</v>
      </c>
    </row>
    <row r="967" spans="1:11">
      <c r="A967">
        <v>16066</v>
      </c>
      <c r="B967" t="s">
        <v>1439</v>
      </c>
      <c r="C967" t="s">
        <v>1440</v>
      </c>
      <c r="D967" t="s">
        <v>262</v>
      </c>
      <c r="E967" t="s">
        <v>376</v>
      </c>
      <c r="F967">
        <v>70</v>
      </c>
      <c r="G967">
        <v>1945</v>
      </c>
      <c r="H967">
        <v>964</v>
      </c>
      <c r="I967">
        <v>0</v>
      </c>
      <c r="J967">
        <v>0</v>
      </c>
      <c r="K967">
        <v>0</v>
      </c>
    </row>
    <row r="968" spans="1:11">
      <c r="A968">
        <v>20509</v>
      </c>
      <c r="B968" t="s">
        <v>1441</v>
      </c>
      <c r="C968" t="s">
        <v>816</v>
      </c>
      <c r="E968" t="s">
        <v>650</v>
      </c>
      <c r="F968">
        <v>45</v>
      </c>
      <c r="G968">
        <v>1971</v>
      </c>
      <c r="H968">
        <v>965</v>
      </c>
      <c r="I968">
        <v>0</v>
      </c>
      <c r="J968">
        <v>0</v>
      </c>
      <c r="K968">
        <v>0</v>
      </c>
    </row>
    <row r="969" spans="1:11">
      <c r="A969">
        <v>19031</v>
      </c>
      <c r="B969" t="s">
        <v>1442</v>
      </c>
      <c r="C969" t="s">
        <v>701</v>
      </c>
      <c r="D969" t="s">
        <v>397</v>
      </c>
      <c r="E969" t="s">
        <v>417</v>
      </c>
      <c r="F969">
        <v>69</v>
      </c>
      <c r="G969">
        <v>2006</v>
      </c>
      <c r="H969">
        <v>272</v>
      </c>
      <c r="I969">
        <v>6.8760000000000003</v>
      </c>
      <c r="J969">
        <v>460.73200000000003</v>
      </c>
      <c r="K969">
        <v>196</v>
      </c>
    </row>
    <row r="970" spans="1:11">
      <c r="A970">
        <v>19017</v>
      </c>
      <c r="B970" t="s">
        <v>1443</v>
      </c>
      <c r="C970" t="s">
        <v>442</v>
      </c>
      <c r="D970" t="s">
        <v>262</v>
      </c>
      <c r="E970" t="s">
        <v>365</v>
      </c>
      <c r="F970">
        <v>86</v>
      </c>
      <c r="G970">
        <v>1995</v>
      </c>
      <c r="H970">
        <v>966</v>
      </c>
      <c r="I970">
        <v>0</v>
      </c>
      <c r="J970">
        <v>0</v>
      </c>
      <c r="K970">
        <v>0</v>
      </c>
    </row>
  </sheetData>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30</v>
      </c>
      <c r="B1" s="188" t="s">
        <v>1655</v>
      </c>
      <c r="C1" s="299" t="s">
        <v>1717</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AD1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AD2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AD3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AD4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60" priority="2" operator="equal">
      <formula>0</formula>
    </cfRule>
  </conditionalFormatting>
  <conditionalFormatting sqref="J6:K6 N6:O7 R6:S8 V6:W9 Z6:AA10">
    <cfRule type="cellIs" dxfId="59" priority="3" operator="equal">
      <formula>0</formula>
    </cfRule>
  </conditionalFormatting>
  <conditionalFormatting sqref="B6:B11">
    <cfRule type="expression" dxfId="58" priority="4">
      <formula>IF(C6=1,1,0)</formula>
    </cfRule>
    <cfRule type="expression" dxfId="57"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31</v>
      </c>
      <c r="B1" s="188" t="s">
        <v>1655</v>
      </c>
      <c r="C1" s="299" t="s">
        <v>1718</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AE1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AE2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AE3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AE4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56" priority="2" operator="equal">
      <formula>0</formula>
    </cfRule>
  </conditionalFormatting>
  <conditionalFormatting sqref="J6:K6 N6:O7 R6:S8 V6:W9 Z6:AA10">
    <cfRule type="cellIs" dxfId="55" priority="3" operator="equal">
      <formula>0</formula>
    </cfRule>
  </conditionalFormatting>
  <conditionalFormatting sqref="B6:B11">
    <cfRule type="expression" dxfId="54" priority="4">
      <formula>IF(C6=1,1,0)</formula>
    </cfRule>
    <cfRule type="expression" dxfId="53"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54"/>
  <sheetViews>
    <sheetView zoomScaleNormal="100" zoomScalePageLayoutView="75" workbookViewId="0">
      <pane xSplit="5" ySplit="6" topLeftCell="F7" activePane="bottomRight" state="frozen"/>
      <selection pane="topRight" activeCell="F1" sqref="F1"/>
      <selection pane="bottomLeft" activeCell="A7" sqref="A7"/>
      <selection pane="bottomRight" activeCell="A7" sqref="A7"/>
    </sheetView>
  </sheetViews>
  <sheetFormatPr defaultColWidth="8.7109375"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13" hidden="1" customWidth="1"/>
    <col min="48" max="48" width="10.85546875" hidden="1" customWidth="1"/>
    <col min="49" max="49" width="13" hidden="1" customWidth="1"/>
    <col min="50" max="55" width="3.28515625" hidden="1" customWidth="1"/>
    <col min="56" max="56" width="4.42578125" hidden="1" customWidth="1"/>
    <col min="57" max="57" width="13" hidden="1" customWidth="1"/>
    <col min="58" max="63" width="3.28515625" hidden="1" customWidth="1"/>
    <col min="64" max="64" width="4.42578125" hidden="1" customWidth="1"/>
    <col min="65" max="65" width="13" hidden="1" customWidth="1"/>
    <col min="66" max="71" width="3.28515625" hidden="1" customWidth="1"/>
    <col min="72" max="72" width="4.42578125" hidden="1" customWidth="1"/>
    <col min="73" max="73" width="13" hidden="1" customWidth="1"/>
    <col min="74" max="79" width="3.28515625" hidden="1" customWidth="1"/>
    <col min="80" max="80" width="4.42578125" hidden="1" customWidth="1"/>
  </cols>
  <sheetData>
    <row r="1" spans="1:80" ht="33.75">
      <c r="A1" s="187">
        <v>32</v>
      </c>
      <c r="B1" s="188" t="s">
        <v>1655</v>
      </c>
      <c r="C1" s="299" t="s">
        <v>1719</v>
      </c>
      <c r="D1" s="161"/>
      <c r="E1" s="161"/>
      <c r="F1" s="190" t="s">
        <v>1589</v>
      </c>
      <c r="G1" s="191">
        <f ca="1">$AV$12</f>
        <v>0</v>
      </c>
      <c r="H1" s="192" t="s">
        <v>1657</v>
      </c>
      <c r="I1" s="161"/>
      <c r="J1" s="161"/>
      <c r="K1" s="161"/>
      <c r="L1" s="161"/>
      <c r="M1" s="161"/>
      <c r="N1" s="161"/>
      <c r="O1" s="161"/>
      <c r="P1" s="193" t="s">
        <v>1658</v>
      </c>
      <c r="Q1" s="194"/>
      <c r="R1" s="195">
        <f ca="1">INDIRECT(ADDRESS(4,A1,1,1,"Hřiště"))</f>
        <v>0</v>
      </c>
      <c r="S1" s="195">
        <f ca="1">INDIRECT(ADDRESS(5,A1,1,1,"Hřiště"))</f>
        <v>0</v>
      </c>
      <c r="T1" s="195"/>
      <c r="U1" s="161"/>
      <c r="V1" s="161"/>
      <c r="W1" s="161"/>
      <c r="X1" s="161"/>
      <c r="Y1" s="161"/>
      <c r="Z1" s="190" t="s">
        <v>1659</v>
      </c>
      <c r="AA1" s="191">
        <f ca="1">IF(G1=0,0,CHOOSE(G1,0,1,1,2,2,3))</f>
        <v>0</v>
      </c>
      <c r="AB1" s="161"/>
      <c r="AC1" s="161"/>
      <c r="AD1" s="161"/>
      <c r="AE1" s="196" t="s">
        <v>1660</v>
      </c>
      <c r="AF1" s="161"/>
      <c r="AG1" s="161"/>
      <c r="AH1" s="161"/>
      <c r="AI1" s="161"/>
      <c r="AJ1" s="161"/>
      <c r="AK1" s="161"/>
      <c r="AL1" s="161"/>
      <c r="AM1" s="161"/>
      <c r="AN1" s="161"/>
      <c r="AO1" s="161"/>
      <c r="AP1" s="161"/>
      <c r="AQ1" s="161"/>
      <c r="AR1" s="161"/>
      <c r="AS1" s="161"/>
      <c r="AT1" s="161"/>
      <c r="AU1" s="161"/>
      <c r="AV1" s="161"/>
      <c r="AX1" s="196" t="s">
        <v>1661</v>
      </c>
    </row>
    <row r="2" spans="1:80" ht="25.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96"/>
      <c r="AF2" s="196"/>
      <c r="AG2" s="196"/>
      <c r="AH2" s="196"/>
      <c r="AI2" s="196"/>
      <c r="AJ2" s="196"/>
      <c r="AK2" s="196"/>
      <c r="AL2" s="196"/>
      <c r="AM2" s="196"/>
      <c r="AN2" s="196"/>
      <c r="AO2" s="196"/>
      <c r="AP2" s="161"/>
      <c r="AQ2" s="161"/>
      <c r="AR2" s="161"/>
      <c r="AS2" s="161"/>
      <c r="AT2" s="161"/>
      <c r="AU2" s="161"/>
      <c r="AV2" s="161"/>
    </row>
    <row r="3" spans="1:80" s="176" customFormat="1" ht="21">
      <c r="A3" s="197"/>
      <c r="B3" s="197"/>
      <c r="C3" s="161"/>
      <c r="D3" s="161"/>
      <c r="E3" s="161"/>
      <c r="F3" s="161"/>
      <c r="G3" s="198">
        <v>1</v>
      </c>
      <c r="H3" s="161"/>
      <c r="I3" s="161"/>
      <c r="J3" s="161"/>
      <c r="K3" s="198">
        <v>2</v>
      </c>
      <c r="L3" s="161"/>
      <c r="M3" s="161"/>
      <c r="N3" s="161"/>
      <c r="O3" s="198">
        <v>3</v>
      </c>
      <c r="P3" s="161"/>
      <c r="Q3" s="161"/>
      <c r="R3" s="161"/>
      <c r="S3" s="198">
        <v>4</v>
      </c>
      <c r="T3" s="161"/>
      <c r="U3" s="161"/>
      <c r="V3" s="161"/>
      <c r="W3" s="198">
        <v>5</v>
      </c>
      <c r="X3" s="161"/>
      <c r="Y3" s="161"/>
      <c r="Z3" s="161"/>
      <c r="AA3" s="198">
        <v>6</v>
      </c>
      <c r="AB3" s="199"/>
      <c r="AC3" s="199"/>
      <c r="AD3" s="199"/>
      <c r="AE3" s="200">
        <v>1</v>
      </c>
      <c r="AF3" s="200">
        <v>2</v>
      </c>
      <c r="AG3" s="201" t="s">
        <v>1662</v>
      </c>
      <c r="AH3" s="200"/>
      <c r="AI3" s="200"/>
      <c r="AJ3" s="200"/>
      <c r="AK3" s="200">
        <v>3</v>
      </c>
      <c r="AL3" s="201" t="s">
        <v>1662</v>
      </c>
      <c r="AM3" s="200"/>
      <c r="AN3" s="200"/>
      <c r="AO3" s="200"/>
      <c r="AP3" s="200">
        <v>4</v>
      </c>
      <c r="AQ3" s="200">
        <v>5</v>
      </c>
      <c r="AR3" s="200">
        <v>6</v>
      </c>
      <c r="AS3" s="202"/>
      <c r="AT3" s="202"/>
      <c r="AU3" s="202"/>
      <c r="AV3" s="202"/>
    </row>
    <row r="4" spans="1:80" ht="30.6" customHeight="1">
      <c r="A4" s="203" t="s">
        <v>1663</v>
      </c>
      <c r="B4" s="204" t="s">
        <v>1620</v>
      </c>
      <c r="C4" s="205" t="s">
        <v>1616</v>
      </c>
      <c r="D4" s="205" t="s">
        <v>1664</v>
      </c>
      <c r="E4" s="206" t="s">
        <v>1658</v>
      </c>
      <c r="F4" s="547" t="s">
        <v>1665</v>
      </c>
      <c r="G4" s="547"/>
      <c r="H4" s="546" t="s">
        <v>1665</v>
      </c>
      <c r="I4" s="546"/>
      <c r="J4" s="546"/>
      <c r="K4" s="546"/>
      <c r="L4" s="546" t="s">
        <v>1665</v>
      </c>
      <c r="M4" s="546"/>
      <c r="N4" s="546"/>
      <c r="O4" s="546"/>
      <c r="P4" s="546" t="s">
        <v>1665</v>
      </c>
      <c r="Q4" s="546"/>
      <c r="R4" s="546"/>
      <c r="S4" s="546"/>
      <c r="T4" s="546" t="s">
        <v>1665</v>
      </c>
      <c r="U4" s="546"/>
      <c r="V4" s="546"/>
      <c r="W4" s="546"/>
      <c r="X4" s="546" t="s">
        <v>1665</v>
      </c>
      <c r="Y4" s="546"/>
      <c r="Z4" s="546"/>
      <c r="AA4" s="546"/>
      <c r="AB4" s="207"/>
      <c r="AC4" s="207"/>
      <c r="AD4" s="208" t="s">
        <v>1666</v>
      </c>
      <c r="AE4" s="209" t="s">
        <v>1667</v>
      </c>
      <c r="AF4" s="209" t="s">
        <v>1668</v>
      </c>
      <c r="AG4" s="210">
        <v>4</v>
      </c>
      <c r="AH4" s="210">
        <v>3</v>
      </c>
      <c r="AI4" s="210">
        <v>2</v>
      </c>
      <c r="AJ4" s="210">
        <v>1</v>
      </c>
      <c r="AK4" s="211" t="s">
        <v>1669</v>
      </c>
      <c r="AL4" s="210">
        <v>4</v>
      </c>
      <c r="AM4" s="210">
        <v>3</v>
      </c>
      <c r="AN4" s="210">
        <v>2</v>
      </c>
      <c r="AO4" s="210">
        <v>1</v>
      </c>
      <c r="AP4" s="211" t="s">
        <v>1670</v>
      </c>
      <c r="AQ4" s="211" t="s">
        <v>1671</v>
      </c>
      <c r="AR4" s="212" t="s">
        <v>1672</v>
      </c>
      <c r="AS4" s="213" t="s">
        <v>1673</v>
      </c>
      <c r="AT4" s="202" t="s">
        <v>1674</v>
      </c>
      <c r="AU4" s="161"/>
      <c r="AV4" s="211" t="s">
        <v>1675</v>
      </c>
      <c r="AX4" t="s">
        <v>1676</v>
      </c>
      <c r="BF4" t="s">
        <v>1677</v>
      </c>
      <c r="BN4" t="s">
        <v>1678</v>
      </c>
      <c r="BV4" t="s">
        <v>1679</v>
      </c>
    </row>
    <row r="5" spans="1:80" ht="6" customHeight="1">
      <c r="A5" s="214"/>
      <c r="B5" s="215"/>
      <c r="C5" s="216"/>
      <c r="D5" s="216"/>
      <c r="E5" s="216"/>
      <c r="F5" s="217"/>
      <c r="G5" s="218"/>
      <c r="H5" s="216"/>
      <c r="I5" s="216"/>
      <c r="J5" s="217"/>
      <c r="K5" s="218"/>
      <c r="L5" s="216"/>
      <c r="M5" s="216"/>
      <c r="N5" s="217"/>
      <c r="O5" s="218"/>
      <c r="P5" s="216"/>
      <c r="Q5" s="216"/>
      <c r="R5" s="217"/>
      <c r="S5" s="218"/>
      <c r="T5" s="216"/>
      <c r="U5" s="216"/>
      <c r="V5" s="217"/>
      <c r="W5" s="218"/>
      <c r="X5" s="216"/>
      <c r="Y5" s="216"/>
      <c r="Z5" s="217"/>
      <c r="AA5" s="218"/>
      <c r="AB5" s="207"/>
      <c r="AC5" s="207"/>
      <c r="AD5" s="207"/>
      <c r="AE5" s="219"/>
      <c r="AF5" s="219"/>
      <c r="AG5" s="219"/>
      <c r="AH5" s="219"/>
      <c r="AI5" s="219"/>
      <c r="AJ5" s="219"/>
      <c r="AK5" s="219"/>
      <c r="AL5" s="219"/>
      <c r="AM5" s="219"/>
      <c r="AN5" s="219"/>
      <c r="AO5" s="219"/>
      <c r="AP5" s="220"/>
      <c r="AQ5" s="220"/>
      <c r="AR5" s="221"/>
      <c r="AS5" s="222"/>
      <c r="AT5" s="161"/>
      <c r="AU5" s="161"/>
      <c r="AV5" s="161"/>
    </row>
    <row r="6" spans="1:80" ht="36" customHeight="1">
      <c r="A6" s="223">
        <v>1</v>
      </c>
      <c r="B6" s="224" t="str">
        <f ca="1">IF(TYPE(VLOOKUP(CONCATENATE($C$1,A6),Skupiny!$A$3:$B$194,2,0))&gt;3," - ",VLOOKUP(CONCATENATE($C$1,A6),Skupiny!$A$3:$B$194,2,0))</f>
        <v xml:space="preserve"> - </v>
      </c>
      <c r="C6" s="225" t="str">
        <f t="shared" ref="C6:C11" si="0">IF(CB6=0,"",CB6)</f>
        <v/>
      </c>
      <c r="D6" s="226"/>
      <c r="E6" s="227"/>
      <c r="F6" s="228"/>
      <c r="G6" s="229"/>
      <c r="H6" s="300" t="str">
        <f ca="1">IF(TYPE(VLOOKUP(VALUE(CONCATENATE(TEXT($G$1,"0"),TEXT($A6,"0"),TEXT(K$3,"0"))),RozpisKK!$AA$3:$AD$76,3,0))&gt;3,"",VLOOKUP(VALUE(CONCATENATE(TEXT($G$1,"0"),TEXT($A6,"0"),TEXT(K$3,"0"))),RozpisKK!$AA$3:$AD$76,3,0))</f>
        <v/>
      </c>
      <c r="I6" s="301" t="str">
        <f ca="1">IF(TYPE(VLOOKUP(VALUE(CONCATENATE(TEXT($G$1,"0"),TEXT($A6,"0"),TEXT(K$3,"0"))),RozpisKK!$AA$3:$AD$76,3,0))&gt;3,"",VLOOKUP(VALUE(CONCATENATE(TEXT($G$1,"0"),TEXT($A6,"0"),TEXT(K$3,"0"))),RozpisKK!$AA$3:$AD$76,4,0)+$R$1-1)</f>
        <v/>
      </c>
      <c r="J6" s="302">
        <f>$G$7</f>
        <v>0</v>
      </c>
      <c r="K6" s="303">
        <f>$F$7</f>
        <v>0</v>
      </c>
      <c r="L6" s="300" t="str">
        <f ca="1">IF(TYPE(VLOOKUP(VALUE(CONCATENATE(TEXT($G$1,"0"),TEXT($A6,"0"),TEXT(O$3,"0"))),RozpisKK!$AA$3:$AD$76,3,0))&gt;3,"",VLOOKUP(VALUE(CONCATENATE(TEXT($G$1,"0"),TEXT($A6,"0"),TEXT(O$3,"0"))),RozpisKK!$AA$3:$AD$76,3,0))</f>
        <v/>
      </c>
      <c r="M6" s="301" t="str">
        <f ca="1">IF(TYPE(VLOOKUP(VALUE(CONCATENATE(TEXT($G$1,"0"),TEXT($A6,"0"),TEXT(O$3,"0"))),RozpisKK!$AA$3:$AD$76,3,0))&gt;3,"",VLOOKUP(VALUE(CONCATENATE(TEXT($G$1,"0"),TEXT($A6,"0"),TEXT(O$3,"0"))),RozpisKK!$AA$3:$AD$76,4,0)+$R$1-1)</f>
        <v/>
      </c>
      <c r="N6" s="302">
        <f>$G$8</f>
        <v>0</v>
      </c>
      <c r="O6" s="303">
        <f>$F$8</f>
        <v>0</v>
      </c>
      <c r="P6" s="300" t="str">
        <f ca="1">IF(TYPE(VLOOKUP(VALUE(CONCATENATE(TEXT($G$1,"0"),TEXT($A6,"0"),TEXT(S$3,"0"))),RozpisKK!$AA$3:$AD$76,3,0))&gt;3,"",VLOOKUP(VALUE(CONCATENATE(TEXT($G$1,"0"),TEXT($A6,"0"),TEXT(S$3,"0"))),RozpisKK!$AA$3:$AD$76,3,0))</f>
        <v/>
      </c>
      <c r="Q6" s="301" t="str">
        <f ca="1">IF(TYPE(VLOOKUP(VALUE(CONCATENATE(TEXT($G$1,"0"),TEXT($A6,"0"),TEXT(S$3,"0"))),RozpisKK!$AA$3:$AD$76,3,0))&gt;3,"",VLOOKUP(VALUE(CONCATENATE(TEXT($G$1,"0"),TEXT($A6,"0"),TEXT(S$3,"0"))),RozpisKK!$AA$3:$AD$76,4,0)+$R$1-1)</f>
        <v/>
      </c>
      <c r="R6" s="302">
        <f>$G$9</f>
        <v>0</v>
      </c>
      <c r="S6" s="303">
        <f>$F$9</f>
        <v>0</v>
      </c>
      <c r="T6" s="300" t="str">
        <f ca="1">IF(TYPE(VLOOKUP(VALUE(CONCATENATE(TEXT($G$1,"0"),TEXT($A6,"0"),TEXT(W$3,"0"))),RozpisKK!$AA$3:$AD$76,3,0))&gt;3,"",VLOOKUP(VALUE(CONCATENATE(TEXT($G$1,"0"),TEXT($A6,"0"),TEXT(W$3,"0"))),RozpisKK!$AA$3:$AD$76,3,0))</f>
        <v/>
      </c>
      <c r="U6" s="301" t="str">
        <f ca="1">IF(TYPE(VLOOKUP(VALUE(CONCATENATE(TEXT($G$1,"0"),TEXT($A6,"0"),TEXT(W$3,"0"))),RozpisKK!$AA$3:$AD$76,3,0))&gt;3,"",VLOOKUP(VALUE(CONCATENATE(TEXT($G$1,"0"),TEXT($A6,"0"),TEXT(W$3,"0"))),RozpisKK!$AA$3:$AD$76,4,0)+$R$1-1)</f>
        <v/>
      </c>
      <c r="V6" s="302">
        <f>$G$10</f>
        <v>0</v>
      </c>
      <c r="W6" s="303">
        <f>$F$10</f>
        <v>0</v>
      </c>
      <c r="X6" s="300" t="str">
        <f ca="1">IF(TYPE(VLOOKUP(VALUE(CONCATENATE(TEXT($G$1,"0"),TEXT($A6,"0"),TEXT(AA$3,"0"))),RozpisKK!$AA$3:$AD$76,3,0))&gt;3,"",VLOOKUP(VALUE(CONCATENATE(TEXT($G$1,"0"),TEXT($A6,"0"),TEXT(AA$3,"0"))),RozpisKK!$AA$3:$AD$76,3,0))</f>
        <v/>
      </c>
      <c r="Y6" s="301" t="str">
        <f ca="1">IF(TYPE(VLOOKUP(VALUE(CONCATENATE(TEXT($G$1,"0"),TEXT($A6,"0"),TEXT(AA$3,"0"))),RozpisKK!$AA$3:$AD$76,3,0))&gt;3,"",VLOOKUP(VALUE(CONCATENATE(TEXT($G$1,"0"),TEXT($A6,"0"),TEXT(AA$3,"0"))),RozpisKK!$AA$3:$AD$76,4,0)+$R$1-1)</f>
        <v/>
      </c>
      <c r="Z6" s="302">
        <f>$G$11</f>
        <v>0</v>
      </c>
      <c r="AA6" s="303">
        <f>$F$11</f>
        <v>0</v>
      </c>
      <c r="AB6" s="234"/>
      <c r="AC6" s="234"/>
      <c r="AD6" s="235">
        <f t="shared" ref="AD6:AD11" si="1">IF(OR(F6&gt;0,G6&gt;0,J6&gt;0,K6&gt;0,N6&gt;0,O6&gt;0,R6&gt;0,S6&gt;0,V6&gt;0,W6&gt;0,Z6&gt;0,AA6&gt;0),1,0)</f>
        <v>0</v>
      </c>
      <c r="AE6" s="236">
        <f t="shared" ref="AE6:AE11" si="2">SUM(AX6:BC6)</f>
        <v>0</v>
      </c>
      <c r="AF6" s="237"/>
      <c r="AG6" s="237">
        <f t="shared" ref="AG6:AG11" si="3">BD22</f>
        <v>0</v>
      </c>
      <c r="AH6" s="237">
        <f t="shared" ref="AH6:AH11" si="4">BD31</f>
        <v>0</v>
      </c>
      <c r="AI6" s="237">
        <f t="shared" ref="AI6:AI11" si="5">BD40</f>
        <v>0</v>
      </c>
      <c r="AJ6" s="237">
        <f t="shared" ref="AJ6:AJ11" si="6">BD49</f>
        <v>0</v>
      </c>
      <c r="AK6" s="237"/>
      <c r="AL6" s="237">
        <f t="shared" ref="AL6:AL11" si="7">BL22</f>
        <v>0</v>
      </c>
      <c r="AM6" s="237">
        <f t="shared" ref="AM6:AM11" si="8">BL31</f>
        <v>0</v>
      </c>
      <c r="AN6" s="237">
        <f t="shared" ref="AN6:AN11" si="9">BL40</f>
        <v>0</v>
      </c>
      <c r="AO6" s="237">
        <f t="shared" ref="AO6:AO11" si="10">BL49</f>
        <v>0</v>
      </c>
      <c r="AP6" s="238">
        <f t="shared" ref="AP6:AP11" si="11">SUM(BF6:BK6)</f>
        <v>0</v>
      </c>
      <c r="AQ6" s="238">
        <f t="shared" ref="AQ6:AQ11" si="12">SUM(BN6:BS6)</f>
        <v>0</v>
      </c>
      <c r="AR6" s="239"/>
      <c r="AS6" s="240" t="str">
        <f t="shared" ref="AS6:AS11" si="13">CONCATENATE(TEXT(AD6,"0"),TEXT(AE6,"0"),TEXT(AG6,"0"),TEXT(AH6,"0"),TEXT(AI6,"0"),TEXT(AJ6,"0"),TEXT(100+AL6,"000"),TEXT(100+AM6,"000"),TEXT(100+AN6,"000"),TEXT(100+AO6,"000"),TEXT(100+AP6,"000"),TEXT(AQ6,"000"))</f>
        <v>000000100100100100100000</v>
      </c>
      <c r="AT6" s="241">
        <f t="shared" ref="AT6:AT11" si="14">CB6</f>
        <v>0</v>
      </c>
      <c r="AU6" s="161"/>
      <c r="AV6" s="242">
        <f t="shared" ref="AV6:AV11" ca="1" si="15">IF(OR(B6="",B6=" - "),0,1)</f>
        <v>0</v>
      </c>
      <c r="AX6" s="243">
        <f t="shared" ref="AX6:AX11" si="16">IF(F6&gt;G6,1,0)</f>
        <v>0</v>
      </c>
      <c r="AY6" s="243">
        <f t="shared" ref="AY6:AY11" si="17">IF(J6&gt;K6,1,0)</f>
        <v>0</v>
      </c>
      <c r="AZ6" s="243">
        <f t="shared" ref="AZ6:AZ11" si="18">IF(N6&gt;O6,1,0)</f>
        <v>0</v>
      </c>
      <c r="BA6" s="243">
        <f t="shared" ref="BA6:BA11" si="19">IF(R6&gt;S6,1,0)</f>
        <v>0</v>
      </c>
      <c r="BB6" s="243">
        <f t="shared" ref="BB6:BB11" si="20">IF(V6&gt;W6,1,0)</f>
        <v>0</v>
      </c>
      <c r="BC6" s="243">
        <f t="shared" ref="BC6:BC11" si="21">IF(Z6&gt;AA6,1,0)</f>
        <v>0</v>
      </c>
      <c r="BD6" s="243">
        <f t="shared" ref="BD6:BD11" si="22">SUM(AX6:BC6)</f>
        <v>0</v>
      </c>
      <c r="BF6" s="243">
        <f t="shared" ref="BF6:BF11" si="23">F6-G6</f>
        <v>0</v>
      </c>
      <c r="BG6" s="243">
        <f t="shared" ref="BG6:BG11" si="24">J6-K6</f>
        <v>0</v>
      </c>
      <c r="BH6" s="243">
        <f t="shared" ref="BH6:BH11" si="25">N6-O6</f>
        <v>0</v>
      </c>
      <c r="BI6" s="243">
        <f t="shared" ref="BI6:BI11" si="26">R6-S6</f>
        <v>0</v>
      </c>
      <c r="BJ6" s="243">
        <f t="shared" ref="BJ6:BJ11" si="27">V6-W6</f>
        <v>0</v>
      </c>
      <c r="BK6" s="243">
        <f t="shared" ref="BK6:BK11" si="28">Z6-AA6</f>
        <v>0</v>
      </c>
      <c r="BL6" s="243">
        <f t="shared" ref="BL6:BL11" si="29">SUM(BF6:BK6)</f>
        <v>0</v>
      </c>
      <c r="BN6" s="243">
        <f t="shared" ref="BN6:BN11" si="30">F6</f>
        <v>0</v>
      </c>
      <c r="BO6" s="243">
        <f t="shared" ref="BO6:BO11" si="31">J6</f>
        <v>0</v>
      </c>
      <c r="BP6" s="243">
        <f t="shared" ref="BP6:BP11" si="32">N6</f>
        <v>0</v>
      </c>
      <c r="BQ6" s="243">
        <f t="shared" ref="BQ6:BQ11" si="33">R6</f>
        <v>0</v>
      </c>
      <c r="BR6" s="243">
        <f t="shared" ref="BR6:BR11" si="34">V6</f>
        <v>0</v>
      </c>
      <c r="BS6" s="243">
        <f t="shared" ref="BS6:BS11" si="35">Z6</f>
        <v>0</v>
      </c>
      <c r="BT6" s="243">
        <f t="shared" ref="BT6:BT11" si="36">SUM(BN6:BS6)</f>
        <v>0</v>
      </c>
      <c r="BV6" s="243">
        <f t="shared" ref="BV6:BV11" si="37">IF(AS6&lt;AS$6,1,0)</f>
        <v>0</v>
      </c>
      <c r="BW6" s="243">
        <f t="shared" ref="BW6:BW11" si="38">IF(AS6&lt;AS$7,1,0)</f>
        <v>0</v>
      </c>
      <c r="BX6" s="243">
        <f t="shared" ref="BX6:BX11" si="39">IF(AS6&lt;AS$8,1,0)</f>
        <v>0</v>
      </c>
      <c r="BY6" s="243">
        <f t="shared" ref="BY6:BY11" si="40">IF(AS6&lt;AS$9,1,0)</f>
        <v>0</v>
      </c>
      <c r="BZ6" s="243">
        <f t="shared" ref="BZ6:BZ11" si="41">IF(AS6&lt;AS$10,1,0)</f>
        <v>0</v>
      </c>
      <c r="CA6" s="243">
        <f t="shared" ref="CA6:CA11" si="42">IF(AS6&lt;AS$11,1,0)</f>
        <v>0</v>
      </c>
      <c r="CB6" s="243">
        <f t="shared" ref="CB6:CB11" si="43">AD6*(SUM(BV6:CA6)+1)</f>
        <v>0</v>
      </c>
    </row>
    <row r="7" spans="1:80" ht="36" customHeight="1">
      <c r="A7" s="244">
        <v>2</v>
      </c>
      <c r="B7" s="245" t="str">
        <f ca="1">IF(TYPE(VLOOKUP(CONCATENATE($C$1,A7),Skupiny!$A$3:$B$194,2,0))&gt;3," - ",VLOOKUP(CONCATENATE($C$1,A7),Skupiny!$A$3:$B$194,2,0))</f>
        <v xml:space="preserve"> - </v>
      </c>
      <c r="C7" s="246" t="str">
        <f t="shared" si="0"/>
        <v/>
      </c>
      <c r="D7" s="247" t="str">
        <f ca="1">IF(TYPE(VLOOKUP(VALUE(CONCATENATE(TEXT($G$1,"0"),TEXT($A7,"0"),TEXT(G$3,"0"))),RozpisKK!$AA$3:$AD$76,3,0))&gt;3,"",VLOOKUP(VALUE(CONCATENATE(TEXT($G$1,"0"),TEXT($A7,"0"),TEXT(G$3,"0"))),RozpisKK!$AA$3:$AD$76,3,0))</f>
        <v/>
      </c>
      <c r="E7" s="248" t="str">
        <f ca="1">IF(TYPE(VLOOKUP(VALUE(CONCATENATE(TEXT($G$1,"0"),TEXT($A7,"0"),TEXT(G$3,"0"))),RozpisKK!$AA$3:$AD$76,3,0))&gt;3,"",VLOOKUP(VALUE(CONCATENATE(TEXT($G$1,"0"),TEXT($A7,"0"),TEXT(G$3,"0"))),RozpisKK!$AA$3:$AD$76,4,0)+$R$1-1)</f>
        <v/>
      </c>
      <c r="F7" s="249"/>
      <c r="G7" s="250"/>
      <c r="H7" s="251"/>
      <c r="I7" s="252"/>
      <c r="J7" s="253"/>
      <c r="K7" s="254"/>
      <c r="L7" s="304" t="str">
        <f ca="1">IF(TYPE(VLOOKUP(VALUE(CONCATENATE(TEXT($G$1,"0"),TEXT($A7,"0"),TEXT(O$3,"0"))),RozpisKK!$AA$3:$AD$76,3,0))&gt;3,"",VLOOKUP(VALUE(CONCATENATE(TEXT($G$1,"0"),TEXT($A7,"0"),TEXT(O$3,"0"))),RozpisKK!$AA$3:$AD$76,3,0))</f>
        <v/>
      </c>
      <c r="M7" s="305" t="str">
        <f ca="1">IF(TYPE(VLOOKUP(VALUE(CONCATENATE(TEXT($G$1,"0"),TEXT($A7,"0"),TEXT(O$3,"0"))),RozpisKK!$AA$3:$AD$76,3,0))&gt;3,"",VLOOKUP(VALUE(CONCATENATE(TEXT($G$1,"0"),TEXT($A7,"0"),TEXT(O$3,"0"))),RozpisKK!$AA$3:$AD$76,4,0)+$R$1-1)</f>
        <v/>
      </c>
      <c r="N7" s="306">
        <f>$K$8</f>
        <v>0</v>
      </c>
      <c r="O7" s="303">
        <f>$J$8</f>
        <v>0</v>
      </c>
      <c r="P7" s="304" t="str">
        <f ca="1">IF(TYPE(VLOOKUP(VALUE(CONCATENATE(TEXT($G$1,"0"),TEXT($A7,"0"),TEXT(S$3,"0"))),RozpisKK!$AA$3:$AD$76,3,0))&gt;3,"",VLOOKUP(VALUE(CONCATENATE(TEXT($G$1,"0"),TEXT($A7,"0"),TEXT(S$3,"0"))),RozpisKK!$AA$3:$AD$76,3,0))</f>
        <v/>
      </c>
      <c r="Q7" s="305" t="str">
        <f ca="1">IF(TYPE(VLOOKUP(VALUE(CONCATENATE(TEXT($G$1,"0"),TEXT($A7,"0"),TEXT(S$3,"0"))),RozpisKK!$AA$3:$AD$76,3,0))&gt;3,"",VLOOKUP(VALUE(CONCATENATE(TEXT($G$1,"0"),TEXT($A7,"0"),TEXT(S$3,"0"))),RozpisKK!$AA$3:$AD$76,4,0)+$R$1-1)</f>
        <v/>
      </c>
      <c r="R7" s="306">
        <f>$K$9</f>
        <v>0</v>
      </c>
      <c r="S7" s="303">
        <f>$J$9</f>
        <v>0</v>
      </c>
      <c r="T7" s="304" t="str">
        <f ca="1">IF(TYPE(VLOOKUP(VALUE(CONCATENATE(TEXT($G$1,"0"),TEXT($A7,"0"),TEXT(W$3,"0"))),RozpisKK!$AA$3:$AD$76,3,0))&gt;3,"",VLOOKUP(VALUE(CONCATENATE(TEXT($G$1,"0"),TEXT($A7,"0"),TEXT(W$3,"0"))),RozpisKK!$AA$3:$AD$76,3,0))</f>
        <v/>
      </c>
      <c r="U7" s="305" t="str">
        <f ca="1">IF(TYPE(VLOOKUP(VALUE(CONCATENATE(TEXT($G$1,"0"),TEXT($A7,"0"),TEXT(W$3,"0"))),RozpisKK!$AA$3:$AD$76,3,0))&gt;3,"",VLOOKUP(VALUE(CONCATENATE(TEXT($G$1,"0"),TEXT($A7,"0"),TEXT(W$3,"0"))),RozpisKK!$AA$3:$AD$76,4,0)+$R$1-1)</f>
        <v/>
      </c>
      <c r="V7" s="306">
        <f>$K$10</f>
        <v>0</v>
      </c>
      <c r="W7" s="303">
        <f>$J$10</f>
        <v>0</v>
      </c>
      <c r="X7" s="304" t="str">
        <f ca="1">IF(TYPE(VLOOKUP(VALUE(CONCATENATE(TEXT($G$1,"0"),TEXT($A7,"0"),TEXT(AA$3,"0"))),RozpisKK!$AA$3:$AD$76,3,0))&gt;3,"",VLOOKUP(VALUE(CONCATENATE(TEXT($G$1,"0"),TEXT($A7,"0"),TEXT(AA$3,"0"))),RozpisKK!$AA$3:$AD$76,3,0))</f>
        <v/>
      </c>
      <c r="Y7" s="305" t="str">
        <f ca="1">IF(TYPE(VLOOKUP(VALUE(CONCATENATE(TEXT($G$1,"0"),TEXT($A7,"0"),TEXT(AA$3,"0"))),RozpisKK!$AA$3:$AD$76,3,0))&gt;3,"",VLOOKUP(VALUE(CONCATENATE(TEXT($G$1,"0"),TEXT($A7,"0"),TEXT(AA$3,"0"))),RozpisKK!$AA$3:$AD$76,4,0)+$R$1-1)</f>
        <v/>
      </c>
      <c r="Z7" s="306">
        <f>$K$11</f>
        <v>0</v>
      </c>
      <c r="AA7" s="303">
        <f>$J$11</f>
        <v>0</v>
      </c>
      <c r="AB7" s="234"/>
      <c r="AC7" s="234"/>
      <c r="AD7" s="235">
        <f t="shared" si="1"/>
        <v>0</v>
      </c>
      <c r="AE7" s="258">
        <f t="shared" si="2"/>
        <v>0</v>
      </c>
      <c r="AF7" s="259"/>
      <c r="AG7" s="259">
        <f t="shared" si="3"/>
        <v>0</v>
      </c>
      <c r="AH7" s="259">
        <f t="shared" si="4"/>
        <v>0</v>
      </c>
      <c r="AI7" s="259">
        <f t="shared" si="5"/>
        <v>0</v>
      </c>
      <c r="AJ7" s="259">
        <f t="shared" si="6"/>
        <v>0</v>
      </c>
      <c r="AK7" s="259"/>
      <c r="AL7" s="237">
        <f t="shared" si="7"/>
        <v>0</v>
      </c>
      <c r="AM7" s="237">
        <f t="shared" si="8"/>
        <v>0</v>
      </c>
      <c r="AN7" s="237">
        <f t="shared" si="9"/>
        <v>0</v>
      </c>
      <c r="AO7" s="237">
        <f t="shared" si="10"/>
        <v>0</v>
      </c>
      <c r="AP7" s="238">
        <f t="shared" si="11"/>
        <v>0</v>
      </c>
      <c r="AQ7" s="238">
        <f t="shared" si="12"/>
        <v>0</v>
      </c>
      <c r="AR7" s="260"/>
      <c r="AS7" s="261" t="str">
        <f t="shared" si="13"/>
        <v>000000100100100100100000</v>
      </c>
      <c r="AT7" s="262">
        <f t="shared" si="14"/>
        <v>0</v>
      </c>
      <c r="AU7" s="161"/>
      <c r="AV7" s="242">
        <f t="shared" ca="1" si="15"/>
        <v>0</v>
      </c>
      <c r="AX7" s="243">
        <f t="shared" si="16"/>
        <v>0</v>
      </c>
      <c r="AY7" s="243">
        <f t="shared" si="17"/>
        <v>0</v>
      </c>
      <c r="AZ7" s="243">
        <f t="shared" si="18"/>
        <v>0</v>
      </c>
      <c r="BA7" s="243">
        <f t="shared" si="19"/>
        <v>0</v>
      </c>
      <c r="BB7" s="243">
        <f t="shared" si="20"/>
        <v>0</v>
      </c>
      <c r="BC7" s="243">
        <f t="shared" si="21"/>
        <v>0</v>
      </c>
      <c r="BD7" s="243">
        <f t="shared" si="22"/>
        <v>0</v>
      </c>
      <c r="BF7" s="243">
        <f t="shared" si="23"/>
        <v>0</v>
      </c>
      <c r="BG7" s="243">
        <f t="shared" si="24"/>
        <v>0</v>
      </c>
      <c r="BH7" s="243">
        <f t="shared" si="25"/>
        <v>0</v>
      </c>
      <c r="BI7" s="243">
        <f t="shared" si="26"/>
        <v>0</v>
      </c>
      <c r="BJ7" s="243">
        <f t="shared" si="27"/>
        <v>0</v>
      </c>
      <c r="BK7" s="243">
        <f t="shared" si="28"/>
        <v>0</v>
      </c>
      <c r="BL7" s="243">
        <f t="shared" si="29"/>
        <v>0</v>
      </c>
      <c r="BN7" s="243">
        <f t="shared" si="30"/>
        <v>0</v>
      </c>
      <c r="BO7" s="243">
        <f t="shared" si="31"/>
        <v>0</v>
      </c>
      <c r="BP7" s="243">
        <f t="shared" si="32"/>
        <v>0</v>
      </c>
      <c r="BQ7" s="243">
        <f t="shared" si="33"/>
        <v>0</v>
      </c>
      <c r="BR7" s="243">
        <f t="shared" si="34"/>
        <v>0</v>
      </c>
      <c r="BS7" s="243">
        <f t="shared" si="35"/>
        <v>0</v>
      </c>
      <c r="BT7" s="243">
        <f t="shared" si="36"/>
        <v>0</v>
      </c>
      <c r="BV7" s="243">
        <f t="shared" si="37"/>
        <v>0</v>
      </c>
      <c r="BW7" s="243">
        <f t="shared" si="38"/>
        <v>0</v>
      </c>
      <c r="BX7" s="243">
        <f t="shared" si="39"/>
        <v>0</v>
      </c>
      <c r="BY7" s="243">
        <f t="shared" si="40"/>
        <v>0</v>
      </c>
      <c r="BZ7" s="243">
        <f t="shared" si="41"/>
        <v>0</v>
      </c>
      <c r="CA7" s="243">
        <f t="shared" si="42"/>
        <v>0</v>
      </c>
      <c r="CB7" s="243">
        <f t="shared" si="43"/>
        <v>0</v>
      </c>
    </row>
    <row r="8" spans="1:80" ht="36" customHeight="1">
      <c r="A8" s="244">
        <v>3</v>
      </c>
      <c r="B8" s="245" t="str">
        <f ca="1">IF(TYPE(VLOOKUP(CONCATENATE($C$1,A8),Skupiny!$A$3:$B$194,2,0))&gt;3," - ",VLOOKUP(CONCATENATE($C$1,A8),Skupiny!$A$3:$B$194,2,0))</f>
        <v xml:space="preserve"> - </v>
      </c>
      <c r="C8" s="246" t="str">
        <f t="shared" si="0"/>
        <v/>
      </c>
      <c r="D8" s="247" t="str">
        <f ca="1">IF(TYPE(VLOOKUP(VALUE(CONCATENATE(TEXT($G$1,"0"),TEXT($A8,"0"),TEXT(G$3,"0"))),RozpisKK!$AA$3:$AD$76,3,0))&gt;3,"",VLOOKUP(VALUE(CONCATENATE(TEXT($G$1,"0"),TEXT($A8,"0"),TEXT(G$3,"0"))),RozpisKK!$AA$3:$AD$76,3,0))</f>
        <v/>
      </c>
      <c r="E8" s="248" t="str">
        <f ca="1">IF(TYPE(VLOOKUP(VALUE(CONCATENATE(TEXT($G$1,"0"),TEXT($A8,"0"),TEXT(G$3,"0"))),RozpisKK!$AA$3:$AD$76,3,0))&gt;3,"",VLOOKUP(VALUE(CONCATENATE(TEXT($G$1,"0"),TEXT($A8,"0"),TEXT(G$3,"0"))),RozpisKK!$AA$3:$AD$76,4,0)+$R$1-1)</f>
        <v/>
      </c>
      <c r="F8" s="249"/>
      <c r="G8" s="250"/>
      <c r="H8" s="263" t="str">
        <f ca="1">IF(TYPE(VLOOKUP(VALUE(CONCATENATE(TEXT($G$1,"0"),TEXT($A8,"0"),TEXT(K$3,"0"))),RozpisKK!$AA$3:$AD$76,3,0))&gt;3,"",VLOOKUP(VALUE(CONCATENATE(TEXT($G$1,"0"),TEXT($A8,"0"),TEXT(K$3,"0"))),RozpisKK!$AA$3:$AD$76,3,0))</f>
        <v/>
      </c>
      <c r="I8" s="264" t="str">
        <f ca="1">IF(TYPE(VLOOKUP(VALUE(CONCATENATE(TEXT($G$1,"0"),TEXT($A8,"0"),TEXT(K$3,"0"))),RozpisKK!$AA$3:$AD$76,3,0))&gt;3,"",VLOOKUP(VALUE(CONCATENATE(TEXT($G$1,"0"),TEXT($A8,"0"),TEXT(K$3,"0"))),RozpisKK!$AA$3:$AD$76,4,0)+$R$1-1)</f>
        <v/>
      </c>
      <c r="J8" s="249"/>
      <c r="K8" s="250"/>
      <c r="L8" s="251"/>
      <c r="M8" s="252"/>
      <c r="N8" s="253"/>
      <c r="O8" s="254"/>
      <c r="P8" s="304" t="str">
        <f ca="1">IF(TYPE(VLOOKUP(VALUE(CONCATENATE(TEXT($G$1,"0"),TEXT($A8,"0"),TEXT(S$3,"0"))),RozpisKK!$AA$3:$AD$76,3,0))&gt;3,"",VLOOKUP(VALUE(CONCATENATE(TEXT($G$1,"0"),TEXT($A8,"0"),TEXT(S$3,"0"))),RozpisKK!$AA$3:$AD$76,3,0))</f>
        <v/>
      </c>
      <c r="Q8" s="305" t="str">
        <f ca="1">IF(TYPE(VLOOKUP(VALUE(CONCATENATE(TEXT($G$1,"0"),TEXT($A8,"0"),TEXT(S$3,"0"))),RozpisKK!$AA$3:$AD$76,3,0))&gt;3,"",VLOOKUP(VALUE(CONCATENATE(TEXT($G$1,"0"),TEXT($A8,"0"),TEXT(S$3,"0"))),RozpisKK!$AA$3:$AD$76,4,0)+$R$1-1)</f>
        <v/>
      </c>
      <c r="R8" s="306">
        <f>$O$9</f>
        <v>0</v>
      </c>
      <c r="S8" s="303">
        <f>$N$9</f>
        <v>0</v>
      </c>
      <c r="T8" s="304" t="str">
        <f ca="1">IF(TYPE(VLOOKUP(VALUE(CONCATENATE(TEXT($G$1,"0"),TEXT($A8,"0"),TEXT(W$3,"0"))),RozpisKK!$AA$3:$AD$76,3,0))&gt;3,"",VLOOKUP(VALUE(CONCATENATE(TEXT($G$1,"0"),TEXT($A8,"0"),TEXT(W$3,"0"))),RozpisKK!$AA$3:$AD$76,3,0))</f>
        <v/>
      </c>
      <c r="U8" s="305" t="str">
        <f ca="1">IF(TYPE(VLOOKUP(VALUE(CONCATENATE(TEXT($G$1,"0"),TEXT($A8,"0"),TEXT(W$3,"0"))),RozpisKK!$AA$3:$AD$76,3,0))&gt;3,"",VLOOKUP(VALUE(CONCATENATE(TEXT($G$1,"0"),TEXT($A8,"0"),TEXT(W$3,"0"))),RozpisKK!$AA$3:$AD$76,4,0)+$R$1-1)</f>
        <v/>
      </c>
      <c r="V8" s="306">
        <f>$O$10</f>
        <v>0</v>
      </c>
      <c r="W8" s="303">
        <f>$N$10</f>
        <v>0</v>
      </c>
      <c r="X8" s="304" t="str">
        <f ca="1">IF(TYPE(VLOOKUP(VALUE(CONCATENATE(TEXT($G$1,"0"),TEXT($A8,"0"),TEXT(AA$3,"0"))),RozpisKK!$AA$3:$AD$76,3,0))&gt;3,"",VLOOKUP(VALUE(CONCATENATE(TEXT($G$1,"0"),TEXT($A8,"0"),TEXT(AA$3,"0"))),RozpisKK!$AA$3:$AD$76,3,0))</f>
        <v/>
      </c>
      <c r="Y8" s="305" t="str">
        <f ca="1">IF(TYPE(VLOOKUP(VALUE(CONCATENATE(TEXT($G$1,"0"),TEXT($A8,"0"),TEXT(AA$3,"0"))),RozpisKK!$AA$3:$AD$76,3,0))&gt;3,"",VLOOKUP(VALUE(CONCATENATE(TEXT($G$1,"0"),TEXT($A8,"0"),TEXT(AA$3,"0"))),RozpisKK!$AA$3:$AD$76,4,0)+$R$1-1)</f>
        <v/>
      </c>
      <c r="Z8" s="306">
        <f>$O$11</f>
        <v>0</v>
      </c>
      <c r="AA8" s="303">
        <f>$N$11</f>
        <v>0</v>
      </c>
      <c r="AB8" s="234"/>
      <c r="AC8" s="234"/>
      <c r="AD8" s="235">
        <f t="shared" si="1"/>
        <v>0</v>
      </c>
      <c r="AE8" s="258">
        <f t="shared" si="2"/>
        <v>0</v>
      </c>
      <c r="AF8" s="259"/>
      <c r="AG8" s="259">
        <f t="shared" si="3"/>
        <v>0</v>
      </c>
      <c r="AH8" s="259">
        <f t="shared" si="4"/>
        <v>0</v>
      </c>
      <c r="AI8" s="259">
        <f t="shared" si="5"/>
        <v>0</v>
      </c>
      <c r="AJ8" s="259">
        <f t="shared" si="6"/>
        <v>0</v>
      </c>
      <c r="AK8" s="259"/>
      <c r="AL8" s="237">
        <f t="shared" si="7"/>
        <v>0</v>
      </c>
      <c r="AM8" s="237">
        <f t="shared" si="8"/>
        <v>0</v>
      </c>
      <c r="AN8" s="237">
        <f t="shared" si="9"/>
        <v>0</v>
      </c>
      <c r="AO8" s="237">
        <f t="shared" si="10"/>
        <v>0</v>
      </c>
      <c r="AP8" s="238">
        <f t="shared" si="11"/>
        <v>0</v>
      </c>
      <c r="AQ8" s="238">
        <f t="shared" si="12"/>
        <v>0</v>
      </c>
      <c r="AR8" s="260"/>
      <c r="AS8" s="261" t="str">
        <f t="shared" si="13"/>
        <v>000000100100100100100000</v>
      </c>
      <c r="AT8" s="262">
        <f t="shared" si="14"/>
        <v>0</v>
      </c>
      <c r="AU8" s="161"/>
      <c r="AV8" s="242">
        <f t="shared" ca="1" si="15"/>
        <v>0</v>
      </c>
      <c r="AX8" s="243">
        <f t="shared" si="16"/>
        <v>0</v>
      </c>
      <c r="AY8" s="243">
        <f t="shared" si="17"/>
        <v>0</v>
      </c>
      <c r="AZ8" s="243">
        <f t="shared" si="18"/>
        <v>0</v>
      </c>
      <c r="BA8" s="243">
        <f t="shared" si="19"/>
        <v>0</v>
      </c>
      <c r="BB8" s="243">
        <f t="shared" si="20"/>
        <v>0</v>
      </c>
      <c r="BC8" s="243">
        <f t="shared" si="21"/>
        <v>0</v>
      </c>
      <c r="BD8" s="243">
        <f t="shared" si="22"/>
        <v>0</v>
      </c>
      <c r="BF8" s="243">
        <f t="shared" si="23"/>
        <v>0</v>
      </c>
      <c r="BG8" s="243">
        <f t="shared" si="24"/>
        <v>0</v>
      </c>
      <c r="BH8" s="243">
        <f t="shared" si="25"/>
        <v>0</v>
      </c>
      <c r="BI8" s="243">
        <f t="shared" si="26"/>
        <v>0</v>
      </c>
      <c r="BJ8" s="243">
        <f t="shared" si="27"/>
        <v>0</v>
      </c>
      <c r="BK8" s="243">
        <f t="shared" si="28"/>
        <v>0</v>
      </c>
      <c r="BL8" s="243">
        <f t="shared" si="29"/>
        <v>0</v>
      </c>
      <c r="BN8" s="243">
        <f t="shared" si="30"/>
        <v>0</v>
      </c>
      <c r="BO8" s="243">
        <f t="shared" si="31"/>
        <v>0</v>
      </c>
      <c r="BP8" s="243">
        <f t="shared" si="32"/>
        <v>0</v>
      </c>
      <c r="BQ8" s="243">
        <f t="shared" si="33"/>
        <v>0</v>
      </c>
      <c r="BR8" s="243">
        <f t="shared" si="34"/>
        <v>0</v>
      </c>
      <c r="BS8" s="243">
        <f t="shared" si="35"/>
        <v>0</v>
      </c>
      <c r="BT8" s="243">
        <f t="shared" si="36"/>
        <v>0</v>
      </c>
      <c r="BV8" s="243">
        <f t="shared" si="37"/>
        <v>0</v>
      </c>
      <c r="BW8" s="243">
        <f t="shared" si="38"/>
        <v>0</v>
      </c>
      <c r="BX8" s="243">
        <f t="shared" si="39"/>
        <v>0</v>
      </c>
      <c r="BY8" s="243">
        <f t="shared" si="40"/>
        <v>0</v>
      </c>
      <c r="BZ8" s="243">
        <f t="shared" si="41"/>
        <v>0</v>
      </c>
      <c r="CA8" s="243">
        <f t="shared" si="42"/>
        <v>0</v>
      </c>
      <c r="CB8" s="243">
        <f t="shared" si="43"/>
        <v>0</v>
      </c>
    </row>
    <row r="9" spans="1:80" ht="36" customHeight="1">
      <c r="A9" s="244">
        <v>4</v>
      </c>
      <c r="B9" s="245" t="str">
        <f ca="1">IF(TYPE(VLOOKUP(CONCATENATE($C$1,A9),Skupiny!$A$3:$B$194,2,0))&gt;3," - ",VLOOKUP(CONCATENATE($C$1,A9),Skupiny!$A$3:$B$194,2,0))</f>
        <v xml:space="preserve"> - </v>
      </c>
      <c r="C9" s="246" t="str">
        <f t="shared" si="0"/>
        <v/>
      </c>
      <c r="D9" s="247" t="str">
        <f ca="1">IF(TYPE(VLOOKUP(VALUE(CONCATENATE(TEXT($G$1,"0"),TEXT($A9,"0"),TEXT(G$3,"0"))),RozpisKK!$AA$3:$AD$76,3,0))&gt;3,"",VLOOKUP(VALUE(CONCATENATE(TEXT($G$1,"0"),TEXT($A9,"0"),TEXT(G$3,"0"))),RozpisKK!$AA$3:$AD$76,3,0))</f>
        <v/>
      </c>
      <c r="E9" s="248" t="str">
        <f ca="1">IF(TYPE(VLOOKUP(VALUE(CONCATENATE(TEXT($G$1,"0"),TEXT($A9,"0"),TEXT(G$3,"0"))),RozpisKK!$AA$3:$AD$76,3,0))&gt;3,"",VLOOKUP(VALUE(CONCATENATE(TEXT($G$1,"0"),TEXT($A9,"0"),TEXT(G$3,"0"))),RozpisKK!$AA$3:$AD$76,4,0)+$R$1-1)</f>
        <v/>
      </c>
      <c r="F9" s="249"/>
      <c r="G9" s="250"/>
      <c r="H9" s="263" t="str">
        <f ca="1">IF(TYPE(VLOOKUP(VALUE(CONCATENATE(TEXT($G$1,"0"),TEXT($A9,"0"),TEXT(K$3,"0"))),RozpisKK!$AA$3:$AD$76,3,0))&gt;3,"",VLOOKUP(VALUE(CONCATENATE(TEXT($G$1,"0"),TEXT($A9,"0"),TEXT(K$3,"0"))),RozpisKK!$AA$3:$AD$76,3,0))</f>
        <v/>
      </c>
      <c r="I9" s="264" t="str">
        <f ca="1">IF(TYPE(VLOOKUP(VALUE(CONCATENATE(TEXT($G$1,"0"),TEXT($A9,"0"),TEXT(K$3,"0"))),RozpisKK!$AA$3:$AD$76,3,0))&gt;3,"",VLOOKUP(VALUE(CONCATENATE(TEXT($G$1,"0"),TEXT($A9,"0"),TEXT(K$3,"0"))),RozpisKK!$AA$3:$AD$76,4,0)+$R$1-1)</f>
        <v/>
      </c>
      <c r="J9" s="249"/>
      <c r="K9" s="250"/>
      <c r="L9" s="263" t="str">
        <f ca="1">IF(TYPE(VLOOKUP(VALUE(CONCATENATE(TEXT($G$1,"0"),TEXT($A9,"0"),TEXT(O$3,"0"))),RozpisKK!$AA$3:$AD$76,3,0))&gt;3,"",VLOOKUP(VALUE(CONCATENATE(TEXT($G$1,"0"),TEXT($A9,"0"),TEXT(O$3,"0"))),RozpisKK!$AA$3:$AD$76,3,0))</f>
        <v/>
      </c>
      <c r="M9" s="264" t="str">
        <f ca="1">IF(TYPE(VLOOKUP(VALUE(CONCATENATE(TEXT($G$1,"0"),TEXT($A9,"0"),TEXT(O$3,"0"))),RozpisKK!$AA$3:$AD$76,3,0))&gt;3,"",VLOOKUP(VALUE(CONCATENATE(TEXT($G$1,"0"),TEXT($A9,"0"),TEXT(O$3,"0"))),RozpisKK!$AA$3:$AD$76,4,0)+$R$1-1)</f>
        <v/>
      </c>
      <c r="N9" s="249"/>
      <c r="O9" s="250"/>
      <c r="P9" s="251"/>
      <c r="Q9" s="252"/>
      <c r="R9" s="253"/>
      <c r="S9" s="254"/>
      <c r="T9" s="304" t="str">
        <f ca="1">IF(TYPE(VLOOKUP(VALUE(CONCATENATE(TEXT($G$1,"0"),TEXT($A9,"0"),TEXT(W$3,"0"))),RozpisKK!$AA$3:$AD$76,3,0))&gt;3,"",VLOOKUP(VALUE(CONCATENATE(TEXT($G$1,"0"),TEXT($A9,"0"),TEXT(W$3,"0"))),RozpisKK!$AA$3:$AD$76,3,0))</f>
        <v/>
      </c>
      <c r="U9" s="305" t="str">
        <f ca="1">IF(TYPE(VLOOKUP(VALUE(CONCATENATE(TEXT($G$1,"0"),TEXT($A9,"0"),TEXT(W$3,"0"))),RozpisKK!$AA$3:$AD$76,3,0))&gt;3,"",VLOOKUP(VALUE(CONCATENATE(TEXT($G$1,"0"),TEXT($A9,"0"),TEXT(W$3,"0"))),RozpisKK!$AA$3:$AD$76,4,0)+$R$1-1)</f>
        <v/>
      </c>
      <c r="V9" s="306">
        <f>$S$10</f>
        <v>0</v>
      </c>
      <c r="W9" s="303">
        <f>$R$10</f>
        <v>0</v>
      </c>
      <c r="X9" s="304" t="str">
        <f ca="1">IF(TYPE(VLOOKUP(VALUE(CONCATENATE(TEXT($G$1,"0"),TEXT($A9,"0"),TEXT(AA$3,"0"))),RozpisKK!$AA$3:$AD$76,3,0))&gt;3,"",VLOOKUP(VALUE(CONCATENATE(TEXT($G$1,"0"),TEXT($A9,"0"),TEXT(AA$3,"0"))),RozpisKK!$AA$3:$AD$76,3,0))</f>
        <v/>
      </c>
      <c r="Y9" s="305" t="str">
        <f ca="1">IF(TYPE(VLOOKUP(VALUE(CONCATENATE(TEXT($G$1,"0"),TEXT($A9,"0"),TEXT(AA$3,"0"))),RozpisKK!$AA$3:$AD$76,3,0))&gt;3,"",VLOOKUP(VALUE(CONCATENATE(TEXT($G$1,"0"),TEXT($A9,"0"),TEXT(AA$3,"0"))),RozpisKK!$AA$3:$AD$76,4,0)+$R$1-1)</f>
        <v/>
      </c>
      <c r="Z9" s="306">
        <f>$S$11</f>
        <v>0</v>
      </c>
      <c r="AA9" s="303">
        <f>$R$11</f>
        <v>0</v>
      </c>
      <c r="AB9" s="234"/>
      <c r="AC9" s="234"/>
      <c r="AD9" s="235">
        <f t="shared" si="1"/>
        <v>0</v>
      </c>
      <c r="AE9" s="258">
        <f t="shared" si="2"/>
        <v>0</v>
      </c>
      <c r="AF9" s="259"/>
      <c r="AG9" s="259">
        <f t="shared" si="3"/>
        <v>0</v>
      </c>
      <c r="AH9" s="259">
        <f t="shared" si="4"/>
        <v>0</v>
      </c>
      <c r="AI9" s="259">
        <f t="shared" si="5"/>
        <v>0</v>
      </c>
      <c r="AJ9" s="259">
        <f t="shared" si="6"/>
        <v>0</v>
      </c>
      <c r="AK9" s="259"/>
      <c r="AL9" s="237">
        <f t="shared" si="7"/>
        <v>0</v>
      </c>
      <c r="AM9" s="237">
        <f t="shared" si="8"/>
        <v>0</v>
      </c>
      <c r="AN9" s="237">
        <f t="shared" si="9"/>
        <v>0</v>
      </c>
      <c r="AO9" s="237">
        <f t="shared" si="10"/>
        <v>0</v>
      </c>
      <c r="AP9" s="238">
        <f t="shared" si="11"/>
        <v>0</v>
      </c>
      <c r="AQ9" s="238">
        <f t="shared" si="12"/>
        <v>0</v>
      </c>
      <c r="AR9" s="260"/>
      <c r="AS9" s="261" t="str">
        <f t="shared" si="13"/>
        <v>000000100100100100100000</v>
      </c>
      <c r="AT9" s="262">
        <f t="shared" si="14"/>
        <v>0</v>
      </c>
      <c r="AU9" s="161"/>
      <c r="AV9" s="242">
        <f t="shared" ca="1" si="15"/>
        <v>0</v>
      </c>
      <c r="AX9" s="243">
        <f t="shared" si="16"/>
        <v>0</v>
      </c>
      <c r="AY9" s="243">
        <f t="shared" si="17"/>
        <v>0</v>
      </c>
      <c r="AZ9" s="243">
        <f t="shared" si="18"/>
        <v>0</v>
      </c>
      <c r="BA9" s="243">
        <f t="shared" si="19"/>
        <v>0</v>
      </c>
      <c r="BB9" s="243">
        <f t="shared" si="20"/>
        <v>0</v>
      </c>
      <c r="BC9" s="243">
        <f t="shared" si="21"/>
        <v>0</v>
      </c>
      <c r="BD9" s="243">
        <f t="shared" si="22"/>
        <v>0</v>
      </c>
      <c r="BF9" s="243">
        <f t="shared" si="23"/>
        <v>0</v>
      </c>
      <c r="BG9" s="243">
        <f t="shared" si="24"/>
        <v>0</v>
      </c>
      <c r="BH9" s="243">
        <f t="shared" si="25"/>
        <v>0</v>
      </c>
      <c r="BI9" s="243">
        <f t="shared" si="26"/>
        <v>0</v>
      </c>
      <c r="BJ9" s="243">
        <f t="shared" si="27"/>
        <v>0</v>
      </c>
      <c r="BK9" s="243">
        <f t="shared" si="28"/>
        <v>0</v>
      </c>
      <c r="BL9" s="243">
        <f t="shared" si="29"/>
        <v>0</v>
      </c>
      <c r="BN9" s="243">
        <f t="shared" si="30"/>
        <v>0</v>
      </c>
      <c r="BO9" s="243">
        <f t="shared" si="31"/>
        <v>0</v>
      </c>
      <c r="BP9" s="243">
        <f t="shared" si="32"/>
        <v>0</v>
      </c>
      <c r="BQ9" s="243">
        <f t="shared" si="33"/>
        <v>0</v>
      </c>
      <c r="BR9" s="243">
        <f t="shared" si="34"/>
        <v>0</v>
      </c>
      <c r="BS9" s="243">
        <f t="shared" si="35"/>
        <v>0</v>
      </c>
      <c r="BT9" s="243">
        <f t="shared" si="36"/>
        <v>0</v>
      </c>
      <c r="BV9" s="243">
        <f t="shared" si="37"/>
        <v>0</v>
      </c>
      <c r="BW9" s="243">
        <f t="shared" si="38"/>
        <v>0</v>
      </c>
      <c r="BX9" s="243">
        <f t="shared" si="39"/>
        <v>0</v>
      </c>
      <c r="BY9" s="243">
        <f t="shared" si="40"/>
        <v>0</v>
      </c>
      <c r="BZ9" s="243">
        <f t="shared" si="41"/>
        <v>0</v>
      </c>
      <c r="CA9" s="243">
        <f t="shared" si="42"/>
        <v>0</v>
      </c>
      <c r="CB9" s="243">
        <f t="shared" si="43"/>
        <v>0</v>
      </c>
    </row>
    <row r="10" spans="1:80" ht="36" customHeight="1">
      <c r="A10" s="244">
        <v>5</v>
      </c>
      <c r="B10" s="245" t="str">
        <f ca="1">IF(TYPE(VLOOKUP(CONCATENATE($C$1,A10),Skupiny!$A$3:$B$194,2,0))&gt;3," - ",VLOOKUP(CONCATENATE($C$1,A10),Skupiny!$A$3:$B$194,2,0))</f>
        <v xml:space="preserve"> - </v>
      </c>
      <c r="C10" s="246" t="str">
        <f t="shared" si="0"/>
        <v/>
      </c>
      <c r="D10" s="247" t="str">
        <f ca="1">IF(TYPE(VLOOKUP(VALUE(CONCATENATE(TEXT($G$1,"0"),TEXT($A10,"0"),TEXT(G$3,"0"))),RozpisKK!$AA$3:$AD$76,3,0))&gt;3,"",VLOOKUP(VALUE(CONCATENATE(TEXT($G$1,"0"),TEXT($A10,"0"),TEXT(G$3,"0"))),RozpisKK!$AA$3:$AD$76,3,0))</f>
        <v/>
      </c>
      <c r="E10" s="248" t="str">
        <f ca="1">IF(TYPE(VLOOKUP(VALUE(CONCATENATE(TEXT($G$1,"0"),TEXT($A10,"0"),TEXT(G$3,"0"))),RozpisKK!$AA$3:$AD$76,3,0))&gt;3,"",VLOOKUP(VALUE(CONCATENATE(TEXT($G$1,"0"),TEXT($A10,"0"),TEXT(G$3,"0"))),RozpisKK!$AA$3:$AD$76,4,0)+$R$1-1)</f>
        <v/>
      </c>
      <c r="F10" s="249"/>
      <c r="G10" s="250"/>
      <c r="H10" s="263" t="str">
        <f ca="1">IF(TYPE(VLOOKUP(VALUE(CONCATENATE(TEXT($G$1,"0"),TEXT($A10,"0"),TEXT(K$3,"0"))),RozpisKK!$AA$3:$AD$76,3,0))&gt;3,"",VLOOKUP(VALUE(CONCATENATE(TEXT($G$1,"0"),TEXT($A10,"0"),TEXT(K$3,"0"))),RozpisKK!$AA$3:$AD$76,3,0))</f>
        <v/>
      </c>
      <c r="I10" s="264" t="str">
        <f ca="1">IF(TYPE(VLOOKUP(VALUE(CONCATENATE(TEXT($G$1,"0"),TEXT($A10,"0"),TEXT(K$3,"0"))),RozpisKK!$AA$3:$AD$76,3,0))&gt;3,"",VLOOKUP(VALUE(CONCATENATE(TEXT($G$1,"0"),TEXT($A10,"0"),TEXT(K$3,"0"))),RozpisKK!$AA$3:$AD$76,4,0)+$R$1-1)</f>
        <v/>
      </c>
      <c r="J10" s="249"/>
      <c r="K10" s="250"/>
      <c r="L10" s="263" t="str">
        <f ca="1">IF(TYPE(VLOOKUP(VALUE(CONCATENATE(TEXT($G$1,"0"),TEXT($A10,"0"),TEXT(O$3,"0"))),RozpisKK!$AA$3:$AD$76,3,0))&gt;3,"",VLOOKUP(VALUE(CONCATENATE(TEXT($G$1,"0"),TEXT($A10,"0"),TEXT(O$3,"0"))),RozpisKK!$AA$3:$AD$76,3,0))</f>
        <v/>
      </c>
      <c r="M10" s="264" t="str">
        <f ca="1">IF(TYPE(VLOOKUP(VALUE(CONCATENATE(TEXT($G$1,"0"),TEXT($A10,"0"),TEXT(O$3,"0"))),RozpisKK!$AA$3:$AD$76,3,0))&gt;3,"",VLOOKUP(VALUE(CONCATENATE(TEXT($G$1,"0"),TEXT($A10,"0"),TEXT(O$3,"0"))),RozpisKK!$AA$3:$AD$76,4,0)+$R$1-1)</f>
        <v/>
      </c>
      <c r="N10" s="249"/>
      <c r="O10" s="250"/>
      <c r="P10" s="263" t="str">
        <f ca="1">IF(TYPE(VLOOKUP(VALUE(CONCATENATE(TEXT($G$1,"0"),TEXT($A10,"0"),TEXT(S$3,"0"))),RozpisKK!$AA$3:$AD$76,3,0))&gt;3,"",VLOOKUP(VALUE(CONCATENATE(TEXT($G$1,"0"),TEXT($A10,"0"),TEXT(S$3,"0"))),RozpisKK!$AA$3:$AD$76,3,0))</f>
        <v/>
      </c>
      <c r="Q10" s="264" t="str">
        <f ca="1">IF(TYPE(VLOOKUP(VALUE(CONCATENATE(TEXT($G$1,"0"),TEXT($A10,"0"),TEXT(S$3,"0"))),RozpisKK!$AA$3:$AD$76,3,0))&gt;3,"",VLOOKUP(VALUE(CONCATENATE(TEXT($G$1,"0"),TEXT($A10,"0"),TEXT(S$3,"0"))),RozpisKK!$AA$3:$AD$76,4,0)+$R$1-1)</f>
        <v/>
      </c>
      <c r="R10" s="249"/>
      <c r="S10" s="250"/>
      <c r="T10" s="251"/>
      <c r="U10" s="252"/>
      <c r="V10" s="253"/>
      <c r="W10" s="254"/>
      <c r="X10" s="304" t="str">
        <f ca="1">IF(TYPE(VLOOKUP(VALUE(CONCATENATE(TEXT($G$1,"0"),TEXT($A10,"0"),TEXT(AA$3,"0"))),RozpisKK!$AA$3:$AD$76,3,0))&gt;3,"",VLOOKUP(VALUE(CONCATENATE(TEXT($G$1,"0"),TEXT($A10,"0"),TEXT(AA$3,"0"))),RozpisKK!$AA$3:$AD$76,3,0))</f>
        <v/>
      </c>
      <c r="Y10" s="305" t="str">
        <f ca="1">IF(TYPE(VLOOKUP(VALUE(CONCATENATE(TEXT($G$1,"0"),TEXT($A10,"0"),TEXT(AA$3,"0"))),RozpisKK!$AA$3:$AD$76,3,0))&gt;3,"",VLOOKUP(VALUE(CONCATENATE(TEXT($G$1,"0"),TEXT($A10,"0"),TEXT(AA$3,"0"))),RozpisKK!$AA$3:$AD$76,4,0)+$R$1-1)</f>
        <v/>
      </c>
      <c r="Z10" s="306">
        <f>$W$11</f>
        <v>0</v>
      </c>
      <c r="AA10" s="303">
        <f>$V$11</f>
        <v>0</v>
      </c>
      <c r="AB10" s="234"/>
      <c r="AC10" s="234"/>
      <c r="AD10" s="235">
        <f t="shared" si="1"/>
        <v>0</v>
      </c>
      <c r="AE10" s="258">
        <f t="shared" si="2"/>
        <v>0</v>
      </c>
      <c r="AF10" s="259"/>
      <c r="AG10" s="259">
        <f t="shared" si="3"/>
        <v>0</v>
      </c>
      <c r="AH10" s="259">
        <f t="shared" si="4"/>
        <v>0</v>
      </c>
      <c r="AI10" s="259">
        <f t="shared" si="5"/>
        <v>0</v>
      </c>
      <c r="AJ10" s="259">
        <f t="shared" si="6"/>
        <v>0</v>
      </c>
      <c r="AK10" s="259"/>
      <c r="AL10" s="237">
        <f t="shared" si="7"/>
        <v>0</v>
      </c>
      <c r="AM10" s="237">
        <f t="shared" si="8"/>
        <v>0</v>
      </c>
      <c r="AN10" s="237">
        <f t="shared" si="9"/>
        <v>0</v>
      </c>
      <c r="AO10" s="237">
        <f t="shared" si="10"/>
        <v>0</v>
      </c>
      <c r="AP10" s="238">
        <f t="shared" si="11"/>
        <v>0</v>
      </c>
      <c r="AQ10" s="238">
        <f t="shared" si="12"/>
        <v>0</v>
      </c>
      <c r="AR10" s="260"/>
      <c r="AS10" s="261" t="str">
        <f t="shared" si="13"/>
        <v>000000100100100100100000</v>
      </c>
      <c r="AT10" s="262">
        <f t="shared" si="14"/>
        <v>0</v>
      </c>
      <c r="AU10" s="161"/>
      <c r="AV10" s="242">
        <f t="shared" ca="1" si="15"/>
        <v>0</v>
      </c>
      <c r="AX10" s="243">
        <f t="shared" si="16"/>
        <v>0</v>
      </c>
      <c r="AY10" s="243">
        <f t="shared" si="17"/>
        <v>0</v>
      </c>
      <c r="AZ10" s="243">
        <f t="shared" si="18"/>
        <v>0</v>
      </c>
      <c r="BA10" s="243">
        <f t="shared" si="19"/>
        <v>0</v>
      </c>
      <c r="BB10" s="243">
        <f t="shared" si="20"/>
        <v>0</v>
      </c>
      <c r="BC10" s="243">
        <f t="shared" si="21"/>
        <v>0</v>
      </c>
      <c r="BD10" s="243">
        <f t="shared" si="22"/>
        <v>0</v>
      </c>
      <c r="BF10" s="243">
        <f t="shared" si="23"/>
        <v>0</v>
      </c>
      <c r="BG10" s="243">
        <f t="shared" si="24"/>
        <v>0</v>
      </c>
      <c r="BH10" s="243">
        <f t="shared" si="25"/>
        <v>0</v>
      </c>
      <c r="BI10" s="243">
        <f t="shared" si="26"/>
        <v>0</v>
      </c>
      <c r="BJ10" s="243">
        <f t="shared" si="27"/>
        <v>0</v>
      </c>
      <c r="BK10" s="243">
        <f t="shared" si="28"/>
        <v>0</v>
      </c>
      <c r="BL10" s="243">
        <f t="shared" si="29"/>
        <v>0</v>
      </c>
      <c r="BN10" s="243">
        <f t="shared" si="30"/>
        <v>0</v>
      </c>
      <c r="BO10" s="243">
        <f t="shared" si="31"/>
        <v>0</v>
      </c>
      <c r="BP10" s="243">
        <f t="shared" si="32"/>
        <v>0</v>
      </c>
      <c r="BQ10" s="243">
        <f t="shared" si="33"/>
        <v>0</v>
      </c>
      <c r="BR10" s="243">
        <f t="shared" si="34"/>
        <v>0</v>
      </c>
      <c r="BS10" s="243">
        <f t="shared" si="35"/>
        <v>0</v>
      </c>
      <c r="BT10" s="243">
        <f t="shared" si="36"/>
        <v>0</v>
      </c>
      <c r="BV10" s="243">
        <f t="shared" si="37"/>
        <v>0</v>
      </c>
      <c r="BW10" s="243">
        <f t="shared" si="38"/>
        <v>0</v>
      </c>
      <c r="BX10" s="243">
        <f t="shared" si="39"/>
        <v>0</v>
      </c>
      <c r="BY10" s="243">
        <f t="shared" si="40"/>
        <v>0</v>
      </c>
      <c r="BZ10" s="243">
        <f t="shared" si="41"/>
        <v>0</v>
      </c>
      <c r="CA10" s="243">
        <f t="shared" si="42"/>
        <v>0</v>
      </c>
      <c r="CB10" s="243">
        <f t="shared" si="43"/>
        <v>0</v>
      </c>
    </row>
    <row r="11" spans="1:80" ht="38.25" customHeight="1">
      <c r="A11" s="244">
        <v>6</v>
      </c>
      <c r="B11" s="265" t="str">
        <f ca="1">IF(TYPE(VLOOKUP(CONCATENATE($C$1,A11),Skupiny!$A$3:$B$194,2,0))&gt;3," - ",VLOOKUP(CONCATENATE($C$1,A11),Skupiny!$A$3:$B$194,2,0))</f>
        <v xml:space="preserve"> - </v>
      </c>
      <c r="C11" s="266" t="str">
        <f t="shared" si="0"/>
        <v/>
      </c>
      <c r="D11" s="267" t="str">
        <f ca="1">IF(TYPE(VLOOKUP(VALUE(CONCATENATE(TEXT($G$1,"0"),TEXT($A11,"0"),TEXT(G$3,"0"))),RozpisKK!$AA$3:$AD$76,3,0))&gt;3,"",VLOOKUP(VALUE(CONCATENATE(TEXT($G$1,"0"),TEXT($A11,"0"),TEXT(G$3,"0"))),RozpisKK!$AA$3:$AD$76,3,0))</f>
        <v/>
      </c>
      <c r="E11" s="268" t="str">
        <f ca="1">IF(TYPE(VLOOKUP(VALUE(CONCATENATE(TEXT($G$1,"0"),TEXT($A11,"0"),TEXT(G$3,"0"))),RozpisKK!$AA$3:$AD$76,3,0))&gt;3,"",VLOOKUP(VALUE(CONCATENATE(TEXT($G$1,"0"),TEXT($A11,"0"),TEXT(G$3,"0"))),RozpisKK!$AA$3:$AD$76,4,0)+$R$1-1)</f>
        <v/>
      </c>
      <c r="F11" s="269"/>
      <c r="G11" s="270"/>
      <c r="H11" s="271" t="str">
        <f ca="1">IF(TYPE(VLOOKUP(VALUE(CONCATENATE(TEXT($G$1,"0"),TEXT($A11,"0"),TEXT(K$3,"0"))),RozpisKK!$AA$3:$AD$76,3,0))&gt;3,"",VLOOKUP(VALUE(CONCATENATE(TEXT($G$1,"0"),TEXT($A11,"0"),TEXT(K$3,"0"))),RozpisKK!$AA$3:$AD$76,3,0))</f>
        <v/>
      </c>
      <c r="I11" s="272" t="str">
        <f ca="1">IF(TYPE(VLOOKUP(VALUE(CONCATENATE(TEXT($G$1,"0"),TEXT($A11,"0"),TEXT(K$3,"0"))),RozpisKK!$AA$3:$AD$76,3,0))&gt;3,"",VLOOKUP(VALUE(CONCATENATE(TEXT($G$1,"0"),TEXT($A11,"0"),TEXT(K$3,"0"))),RozpisKK!$AA$3:$AD$76,4,0)+$R$1-1)</f>
        <v/>
      </c>
      <c r="J11" s="269"/>
      <c r="K11" s="270"/>
      <c r="L11" s="271" t="str">
        <f ca="1">IF(TYPE(VLOOKUP(VALUE(CONCATENATE(TEXT($G$1,"0"),TEXT($A11,"0"),TEXT(O$3,"0"))),RozpisKK!$AA$3:$AD$76,3,0))&gt;3,"",VLOOKUP(VALUE(CONCATENATE(TEXT($G$1,"0"),TEXT($A11,"0"),TEXT(O$3,"0"))),RozpisKK!$AA$3:$AD$76,3,0))</f>
        <v/>
      </c>
      <c r="M11" s="272" t="str">
        <f ca="1">IF(TYPE(VLOOKUP(VALUE(CONCATENATE(TEXT($G$1,"0"),TEXT($A11,"0"),TEXT(O$3,"0"))),RozpisKK!$AA$3:$AD$76,3,0))&gt;3,"",VLOOKUP(VALUE(CONCATENATE(TEXT($G$1,"0"),TEXT($A11,"0"),TEXT(O$3,"0"))),RozpisKK!$AA$3:$AD$76,4,0)+$R$1-1)</f>
        <v/>
      </c>
      <c r="N11" s="269"/>
      <c r="O11" s="270"/>
      <c r="P11" s="271" t="str">
        <f ca="1">IF(TYPE(VLOOKUP(VALUE(CONCATENATE(TEXT($G$1,"0"),TEXT($A11,"0"),TEXT(S$3,"0"))),RozpisKK!$AA$3:$AD$76,3,0))&gt;3,"",VLOOKUP(VALUE(CONCATENATE(TEXT($G$1,"0"),TEXT($A11,"0"),TEXT(S$3,"0"))),RozpisKK!$AA$3:$AD$76,3,0))</f>
        <v/>
      </c>
      <c r="Q11" s="272" t="str">
        <f ca="1">IF(TYPE(VLOOKUP(VALUE(CONCATENATE(TEXT($G$1,"0"),TEXT($A11,"0"),TEXT(S$3,"0"))),RozpisKK!$AA$3:$AD$76,3,0))&gt;3,"",VLOOKUP(VALUE(CONCATENATE(TEXT($G$1,"0"),TEXT($A11,"0"),TEXT(S$3,"0"))),RozpisKK!$AA$3:$AD$76,4,0)+$R$1-1)</f>
        <v/>
      </c>
      <c r="R11" s="269"/>
      <c r="S11" s="270"/>
      <c r="T11" s="271" t="str">
        <f ca="1">IF(TYPE(VLOOKUP(VALUE(CONCATENATE(TEXT($G$1,"0"),TEXT($A11,"0"),TEXT(W$3,"0"))),RozpisKK!$AA$3:$AD$76,3,0))&gt;3,"",VLOOKUP(VALUE(CONCATENATE(TEXT($G$1,"0"),TEXT($A11,"0"),TEXT(W$3,"0"))),RozpisKK!$AA$3:$AD$76,3,0))</f>
        <v/>
      </c>
      <c r="U11" s="272" t="str">
        <f ca="1">IF(TYPE(VLOOKUP(VALUE(CONCATENATE(TEXT($G$1,"0"),TEXT($A11,"0"),TEXT(W$3,"0"))),RozpisKK!$AA$3:$AD$76,3,0))&gt;3,"",VLOOKUP(VALUE(CONCATENATE(TEXT($G$1,"0"),TEXT($A11,"0"),TEXT(W$3,"0"))),RozpisKK!$AA$3:$AD$76,4,0)+$R$1-1)</f>
        <v/>
      </c>
      <c r="V11" s="269"/>
      <c r="W11" s="270"/>
      <c r="X11" s="251"/>
      <c r="Y11" s="252"/>
      <c r="Z11" s="253"/>
      <c r="AA11" s="254"/>
      <c r="AB11" s="161"/>
      <c r="AC11" s="161"/>
      <c r="AD11" s="235">
        <f t="shared" si="1"/>
        <v>0</v>
      </c>
      <c r="AE11" s="273">
        <f t="shared" si="2"/>
        <v>0</v>
      </c>
      <c r="AF11" s="274"/>
      <c r="AG11" s="274">
        <f t="shared" si="3"/>
        <v>0</v>
      </c>
      <c r="AH11" s="274">
        <f t="shared" si="4"/>
        <v>0</v>
      </c>
      <c r="AI11" s="274">
        <f t="shared" si="5"/>
        <v>0</v>
      </c>
      <c r="AJ11" s="274">
        <f t="shared" si="6"/>
        <v>0</v>
      </c>
      <c r="AK11" s="274"/>
      <c r="AL11" s="274">
        <f t="shared" si="7"/>
        <v>0</v>
      </c>
      <c r="AM11" s="274">
        <f t="shared" si="8"/>
        <v>0</v>
      </c>
      <c r="AN11" s="274">
        <f t="shared" si="9"/>
        <v>0</v>
      </c>
      <c r="AO11" s="274">
        <f t="shared" si="10"/>
        <v>0</v>
      </c>
      <c r="AP11" s="275">
        <f t="shared" si="11"/>
        <v>0</v>
      </c>
      <c r="AQ11" s="275">
        <f t="shared" si="12"/>
        <v>0</v>
      </c>
      <c r="AR11" s="276"/>
      <c r="AS11" s="277" t="str">
        <f t="shared" si="13"/>
        <v>000000100100100100100000</v>
      </c>
      <c r="AT11" s="278">
        <f t="shared" si="14"/>
        <v>0</v>
      </c>
      <c r="AU11" s="161"/>
      <c r="AV11" s="242">
        <f t="shared" ca="1" si="15"/>
        <v>0</v>
      </c>
      <c r="AX11" s="243">
        <f t="shared" si="16"/>
        <v>0</v>
      </c>
      <c r="AY11" s="243">
        <f t="shared" si="17"/>
        <v>0</v>
      </c>
      <c r="AZ11" s="243">
        <f t="shared" si="18"/>
        <v>0</v>
      </c>
      <c r="BA11" s="243">
        <f t="shared" si="19"/>
        <v>0</v>
      </c>
      <c r="BB11" s="243">
        <f t="shared" si="20"/>
        <v>0</v>
      </c>
      <c r="BC11" s="243">
        <f t="shared" si="21"/>
        <v>0</v>
      </c>
      <c r="BD11" s="243">
        <f t="shared" si="22"/>
        <v>0</v>
      </c>
      <c r="BF11" s="243">
        <f t="shared" si="23"/>
        <v>0</v>
      </c>
      <c r="BG11" s="243">
        <f t="shared" si="24"/>
        <v>0</v>
      </c>
      <c r="BH11" s="243">
        <f t="shared" si="25"/>
        <v>0</v>
      </c>
      <c r="BI11" s="243">
        <f t="shared" si="26"/>
        <v>0</v>
      </c>
      <c r="BJ11" s="243">
        <f t="shared" si="27"/>
        <v>0</v>
      </c>
      <c r="BK11" s="243">
        <f t="shared" si="28"/>
        <v>0</v>
      </c>
      <c r="BL11" s="243">
        <f t="shared" si="29"/>
        <v>0</v>
      </c>
      <c r="BN11" s="243">
        <f t="shared" si="30"/>
        <v>0</v>
      </c>
      <c r="BO11" s="243">
        <f t="shared" si="31"/>
        <v>0</v>
      </c>
      <c r="BP11" s="243">
        <f t="shared" si="32"/>
        <v>0</v>
      </c>
      <c r="BQ11" s="243">
        <f t="shared" si="33"/>
        <v>0</v>
      </c>
      <c r="BR11" s="243">
        <f t="shared" si="34"/>
        <v>0</v>
      </c>
      <c r="BS11" s="243">
        <f t="shared" si="35"/>
        <v>0</v>
      </c>
      <c r="BT11" s="243">
        <f t="shared" si="36"/>
        <v>0</v>
      </c>
      <c r="BV11" s="243">
        <f t="shared" si="37"/>
        <v>0</v>
      </c>
      <c r="BW11" s="243">
        <f t="shared" si="38"/>
        <v>0</v>
      </c>
      <c r="BX11" s="243">
        <f t="shared" si="39"/>
        <v>0</v>
      </c>
      <c r="BY11" s="243">
        <f t="shared" si="40"/>
        <v>0</v>
      </c>
      <c r="BZ11" s="243">
        <f t="shared" si="41"/>
        <v>0</v>
      </c>
      <c r="CA11" s="243">
        <f t="shared" si="42"/>
        <v>0</v>
      </c>
      <c r="CB11" s="243">
        <f t="shared" si="43"/>
        <v>0</v>
      </c>
    </row>
    <row r="12" spans="1:80" ht="19.5">
      <c r="A12" s="161"/>
      <c r="B12" s="161" t="s">
        <v>1680</v>
      </c>
      <c r="C12" s="161"/>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280">
        <f ca="1">SUM(AV6:AV11)</f>
        <v>0</v>
      </c>
    </row>
    <row r="13" spans="1:80" ht="64.900000000000006" hidden="1" customHeight="1">
      <c r="A13" s="161"/>
      <c r="B13" s="281" t="s">
        <v>1681</v>
      </c>
      <c r="C13" s="282" t="s">
        <v>1682</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row>
    <row r="14" spans="1:80" ht="19.5" hidden="1">
      <c r="A14" s="283" t="s">
        <v>1683</v>
      </c>
      <c r="B14" s="284" t="str">
        <f ca="1">IF(TYPE(INDIRECT(ADDRESS(5+MATCH(A6,C$6:C$11,0),2,1,1)))&gt;3," - ",INDIRECT(ADDRESS(5+MATCH(A6,C$6:C$11,0),2,1,1)))</f>
        <v xml:space="preserve"> - </v>
      </c>
      <c r="C14" s="285" t="str">
        <f>CONCATENATE($C$1,A6)</f>
        <v>AF1</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row>
    <row r="15" spans="1:80" ht="19.5" hidden="1">
      <c r="A15" s="286" t="s">
        <v>1684</v>
      </c>
      <c r="B15" s="284" t="str">
        <f ca="1">IF(TYPE(INDIRECT(ADDRESS(5+MATCH(A7,C$6:C$11,0),2,1,1)))&gt;3," - ",INDIRECT(ADDRESS(5+MATCH(A7,C$6:C$11,0),2,1,1)))</f>
        <v xml:space="preserve"> - </v>
      </c>
      <c r="C15" s="285" t="str">
        <f>CONCATENATE($C$1,A7)</f>
        <v>AF2</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61"/>
      <c r="AJ15" s="161"/>
      <c r="AK15" s="161"/>
      <c r="AL15" s="161"/>
      <c r="AM15" s="161"/>
      <c r="AN15" s="161"/>
      <c r="AO15" s="161"/>
      <c r="AP15" s="161"/>
      <c r="AQ15" s="161"/>
      <c r="AR15" s="161"/>
      <c r="AS15" s="161"/>
      <c r="AT15" s="161"/>
      <c r="AU15" s="161"/>
      <c r="AV15" s="161"/>
    </row>
    <row r="16" spans="1:80" ht="19.5" hidden="1">
      <c r="A16" s="287" t="s">
        <v>1685</v>
      </c>
      <c r="B16" s="284" t="str">
        <f ca="1">IF(TYPE(INDIRECT(ADDRESS(5+MATCH(A8,C$6:C$11,0),2,1,1)))&gt;3," - ",INDIRECT(ADDRESS(5+MATCH(A8,C$6:C$11,0),2,1,1)))</f>
        <v xml:space="preserve"> - </v>
      </c>
      <c r="C16" s="285" t="str">
        <f>CONCATENATE($C$1,A8)</f>
        <v>AF3</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row>
    <row r="17" spans="1:64" ht="19.5" hidden="1">
      <c r="A17" s="287" t="s">
        <v>1686</v>
      </c>
      <c r="B17" s="284" t="str">
        <f ca="1">IF(TYPE(INDIRECT(ADDRESS(5+MATCH(A9,C$6:C$11,0),2,1,1)))&gt;3," - ",INDIRECT(ADDRESS(5+MATCH(A9,C$6:C$11,0),2,1,1)))</f>
        <v xml:space="preserve"> - </v>
      </c>
      <c r="C17" s="285" t="str">
        <f>CONCATENATE($C$1,A9)</f>
        <v>AF4</v>
      </c>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c r="AN17" s="161"/>
      <c r="AO17" s="161"/>
      <c r="AP17" s="161"/>
      <c r="AQ17" s="161"/>
      <c r="AR17" s="161"/>
      <c r="AS17" s="161"/>
      <c r="AT17" s="161"/>
      <c r="AU17" s="161"/>
      <c r="AV17" s="161"/>
    </row>
    <row r="18" spans="1:64" ht="15" hidden="1">
      <c r="A18" s="288"/>
      <c r="B18" s="284" t="s">
        <v>38</v>
      </c>
      <c r="C18" s="161"/>
      <c r="D18" s="161"/>
      <c r="E18" s="161"/>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161"/>
      <c r="AS18" s="161"/>
      <c r="AT18" s="161"/>
      <c r="AU18" s="161"/>
      <c r="AV18" s="161"/>
    </row>
    <row r="19" spans="1:64" ht="15" hidden="1">
      <c r="A19" s="288"/>
      <c r="B19" s="284" t="s">
        <v>38</v>
      </c>
      <c r="C19" s="161"/>
      <c r="D19" s="161"/>
      <c r="E19" s="161"/>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row>
    <row r="20" spans="1:64" ht="55.9" hidden="1" customHeight="1">
      <c r="A20" s="288" t="s">
        <v>1661</v>
      </c>
      <c r="B20" s="161"/>
      <c r="C20" s="161"/>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row>
    <row r="21" spans="1:64" ht="21" hidden="1">
      <c r="A21" s="200">
        <v>4</v>
      </c>
      <c r="B21" s="161" t="s">
        <v>1687</v>
      </c>
      <c r="C21" s="161"/>
      <c r="D21" s="161"/>
      <c r="E21" s="161"/>
      <c r="F21" s="161">
        <f>AD22</f>
        <v>0</v>
      </c>
      <c r="G21" s="161">
        <f>AD22</f>
        <v>0</v>
      </c>
      <c r="H21" s="161"/>
      <c r="I21" s="161"/>
      <c r="J21" s="161">
        <f>AD23</f>
        <v>0</v>
      </c>
      <c r="K21" s="161">
        <f>AD23</f>
        <v>0</v>
      </c>
      <c r="L21" s="161"/>
      <c r="M21" s="161"/>
      <c r="N21" s="161">
        <f>AD24</f>
        <v>0</v>
      </c>
      <c r="O21" s="161">
        <f>AD24</f>
        <v>0</v>
      </c>
      <c r="P21" s="161"/>
      <c r="Q21" s="161"/>
      <c r="R21" s="161">
        <f>AD25</f>
        <v>0</v>
      </c>
      <c r="S21" s="161">
        <f>AD25</f>
        <v>0</v>
      </c>
      <c r="T21" s="161"/>
      <c r="U21" s="161"/>
      <c r="V21" s="161">
        <f>AD26</f>
        <v>0</v>
      </c>
      <c r="W21" s="161">
        <f>AD26</f>
        <v>0</v>
      </c>
      <c r="X21" s="161"/>
      <c r="Y21" s="161"/>
      <c r="Z21" s="161">
        <f>AD27</f>
        <v>0</v>
      </c>
      <c r="AA21" s="161">
        <f>AD27</f>
        <v>0</v>
      </c>
      <c r="AB21" s="161"/>
      <c r="AC21" s="161"/>
      <c r="AD21" s="202" t="s">
        <v>1688</v>
      </c>
      <c r="AE21" s="161"/>
      <c r="AF21" s="161"/>
      <c r="AG21" s="161"/>
      <c r="AH21" s="161"/>
      <c r="AI21" s="161"/>
      <c r="AJ21" s="161"/>
      <c r="AK21" s="161"/>
      <c r="AL21" s="161"/>
      <c r="AM21" s="161"/>
      <c r="AN21" s="161"/>
      <c r="AO21" s="161"/>
      <c r="AP21" s="161"/>
      <c r="AQ21" s="161"/>
      <c r="AR21" s="161"/>
      <c r="AS21" s="161"/>
      <c r="AT21" s="161"/>
      <c r="AU21" s="161"/>
      <c r="AV21" s="161"/>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200">
        <v>3</v>
      </c>
      <c r="B30" s="161" t="s">
        <v>1689</v>
      </c>
      <c r="C30" s="161"/>
      <c r="D30" s="161"/>
      <c r="E30" s="161"/>
      <c r="F30" s="161">
        <f>AD31</f>
        <v>0</v>
      </c>
      <c r="G30" s="161">
        <f>AD31</f>
        <v>0</v>
      </c>
      <c r="H30" s="161"/>
      <c r="I30" s="161"/>
      <c r="J30" s="161">
        <f>AD32</f>
        <v>0</v>
      </c>
      <c r="K30" s="161">
        <f>AD32</f>
        <v>0</v>
      </c>
      <c r="L30" s="161"/>
      <c r="M30" s="161"/>
      <c r="N30" s="161">
        <f>AD33</f>
        <v>0</v>
      </c>
      <c r="O30" s="161">
        <f>AD33</f>
        <v>0</v>
      </c>
      <c r="P30" s="161"/>
      <c r="Q30" s="161"/>
      <c r="R30" s="161">
        <f>AD34</f>
        <v>0</v>
      </c>
      <c r="S30" s="161">
        <f>AD34</f>
        <v>0</v>
      </c>
      <c r="T30" s="161"/>
      <c r="U30" s="161"/>
      <c r="V30" s="161">
        <f>AD35</f>
        <v>0</v>
      </c>
      <c r="W30" s="161">
        <f>AD35</f>
        <v>0</v>
      </c>
      <c r="X30" s="161"/>
      <c r="Y30" s="161"/>
      <c r="Z30" s="161">
        <f>AD36</f>
        <v>0</v>
      </c>
      <c r="AA30" s="161">
        <f>AD36</f>
        <v>0</v>
      </c>
      <c r="AB30" s="161"/>
      <c r="AC30" s="161"/>
      <c r="AD30" s="202" t="s">
        <v>1688</v>
      </c>
      <c r="AE30" s="161"/>
      <c r="AF30" s="161"/>
      <c r="AG30" s="161"/>
      <c r="AH30" s="161"/>
      <c r="AI30" s="161"/>
      <c r="AJ30" s="161"/>
      <c r="AK30" s="161"/>
      <c r="AL30" s="161"/>
      <c r="AM30" s="161"/>
      <c r="AN30" s="161"/>
      <c r="AO30" s="161"/>
      <c r="AP30" s="161"/>
      <c r="AQ30" s="161"/>
      <c r="AR30" s="161"/>
      <c r="AS30" s="161"/>
      <c r="AT30" s="161"/>
      <c r="AU30" s="161"/>
      <c r="AV30" s="161"/>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200">
        <v>2</v>
      </c>
      <c r="B39" s="161" t="s">
        <v>1690</v>
      </c>
      <c r="C39" s="161"/>
      <c r="D39" s="161"/>
      <c r="E39" s="161"/>
      <c r="F39" s="161">
        <f>AD40</f>
        <v>0</v>
      </c>
      <c r="G39" s="161">
        <f>AD40</f>
        <v>0</v>
      </c>
      <c r="H39" s="161"/>
      <c r="I39" s="161"/>
      <c r="J39" s="161">
        <f>AD41</f>
        <v>0</v>
      </c>
      <c r="K39" s="161">
        <f>AD41</f>
        <v>0</v>
      </c>
      <c r="L39" s="161"/>
      <c r="M39" s="161"/>
      <c r="N39" s="161">
        <f>AD42</f>
        <v>0</v>
      </c>
      <c r="O39" s="161">
        <f>AD42</f>
        <v>0</v>
      </c>
      <c r="P39" s="161"/>
      <c r="Q39" s="161"/>
      <c r="R39" s="161">
        <f>AD43</f>
        <v>0</v>
      </c>
      <c r="S39" s="161">
        <f>AD43</f>
        <v>0</v>
      </c>
      <c r="T39" s="161"/>
      <c r="U39" s="161"/>
      <c r="V39" s="161">
        <f>AD44</f>
        <v>0</v>
      </c>
      <c r="W39" s="161">
        <f>AD44</f>
        <v>0</v>
      </c>
      <c r="X39" s="161"/>
      <c r="Y39" s="161"/>
      <c r="Z39" s="161">
        <f>AD45</f>
        <v>0</v>
      </c>
      <c r="AA39" s="161">
        <f>AD45</f>
        <v>0</v>
      </c>
      <c r="AB39" s="161"/>
      <c r="AC39" s="161"/>
      <c r="AD39" s="202" t="s">
        <v>1688</v>
      </c>
      <c r="AE39" s="161"/>
      <c r="AF39" s="161"/>
      <c r="AG39" s="161"/>
      <c r="AH39" s="161"/>
      <c r="AI39" s="161"/>
      <c r="AJ39" s="161"/>
      <c r="AK39" s="161"/>
      <c r="AL39" s="161"/>
      <c r="AM39" s="161"/>
      <c r="AN39" s="161"/>
      <c r="AO39" s="161"/>
      <c r="AP39" s="161"/>
      <c r="AQ39" s="161"/>
      <c r="AR39" s="161"/>
      <c r="AS39" s="161"/>
      <c r="AT39" s="161"/>
      <c r="AU39" s="161"/>
      <c r="AV39" s="161"/>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200">
        <v>1</v>
      </c>
      <c r="B48" s="161" t="s">
        <v>1691</v>
      </c>
      <c r="C48" s="161"/>
      <c r="D48" s="161"/>
      <c r="E48" s="161"/>
      <c r="F48" s="161">
        <f>AD49</f>
        <v>0</v>
      </c>
      <c r="G48" s="161">
        <f>AD49</f>
        <v>0</v>
      </c>
      <c r="H48" s="161"/>
      <c r="I48" s="161"/>
      <c r="J48" s="161">
        <f>AD50</f>
        <v>0</v>
      </c>
      <c r="K48" s="161">
        <f>AD50</f>
        <v>0</v>
      </c>
      <c r="L48" s="161"/>
      <c r="M48" s="161"/>
      <c r="N48" s="161">
        <f>AD51</f>
        <v>0</v>
      </c>
      <c r="O48" s="161">
        <f>AD51</f>
        <v>0</v>
      </c>
      <c r="P48" s="161"/>
      <c r="Q48" s="161"/>
      <c r="R48" s="161">
        <f>AD52</f>
        <v>0</v>
      </c>
      <c r="S48" s="161">
        <f>AD52</f>
        <v>0</v>
      </c>
      <c r="T48" s="161"/>
      <c r="U48" s="161"/>
      <c r="V48" s="161">
        <f>AD53</f>
        <v>0</v>
      </c>
      <c r="W48" s="161">
        <f>AD53</f>
        <v>0</v>
      </c>
      <c r="X48" s="161"/>
      <c r="Y48" s="161"/>
      <c r="Z48" s="161">
        <f>AD54</f>
        <v>0</v>
      </c>
      <c r="AA48" s="161">
        <f>AD54</f>
        <v>0</v>
      </c>
      <c r="AB48" s="161"/>
      <c r="AC48" s="161"/>
      <c r="AD48" s="202" t="s">
        <v>1688</v>
      </c>
      <c r="AE48" s="161"/>
      <c r="AF48" s="161"/>
      <c r="AG48" s="161"/>
      <c r="AH48" s="161"/>
      <c r="AI48" s="161"/>
      <c r="AJ48" s="161"/>
      <c r="AK48" s="161"/>
      <c r="AL48" s="161"/>
      <c r="AM48" s="161"/>
      <c r="AN48" s="161"/>
      <c r="AO48" s="161"/>
      <c r="AP48" s="161"/>
      <c r="AQ48" s="161"/>
      <c r="AR48" s="161"/>
      <c r="AS48" s="161"/>
      <c r="AT48" s="161"/>
      <c r="AU48" s="161"/>
      <c r="AV48" s="161"/>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X4:AA4"/>
    <mergeCell ref="F4:G4"/>
    <mergeCell ref="H4:K4"/>
    <mergeCell ref="L4:O4"/>
    <mergeCell ref="P4:S4"/>
    <mergeCell ref="T4:W4"/>
  </mergeCells>
  <conditionalFormatting sqref="F7:G11 J8:K11 N9:O11 R10:S11 V11:W11">
    <cfRule type="cellIs" dxfId="52" priority="2" operator="equal">
      <formula>0</formula>
    </cfRule>
  </conditionalFormatting>
  <conditionalFormatting sqref="J6:K6 N6:O7 R6:S8 V6:W9 Z6:AA10">
    <cfRule type="cellIs" dxfId="51" priority="3" operator="equal">
      <formula>0</formula>
    </cfRule>
  </conditionalFormatting>
  <conditionalFormatting sqref="B6:B11">
    <cfRule type="expression" dxfId="50" priority="4">
      <formula>IF(C6=1,1,0)</formula>
    </cfRule>
    <cfRule type="expression" dxfId="49" priority="5">
      <formula>IF(C6=2,1,0)</formula>
    </cfRule>
  </conditionalFormatting>
  <pageMargins left="0.78749999999999998" right="0.78749999999999998" top="0.98472222222222205" bottom="0.98402777777777795" header="0.49236111111111103" footer="0.51180555555555496"/>
  <pageSetup paperSize="9" firstPageNumber="0" orientation="landscape" horizontalDpi="300" verticalDpi="300"/>
  <headerFooter>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0"/>
  <sheetViews>
    <sheetView zoomScaleNormal="100" workbookViewId="0">
      <pane xSplit="1" ySplit="2" topLeftCell="B3" activePane="bottomRight" state="frozen"/>
      <selection pane="topRight" activeCell="B1" sqref="B1"/>
      <selection pane="bottomLeft" activeCell="A3" sqref="A3"/>
      <selection pane="bottomRight" activeCell="A3" sqref="A3"/>
    </sheetView>
  </sheetViews>
  <sheetFormatPr defaultColWidth="8.7109375" defaultRowHeight="12.75"/>
  <cols>
    <col min="2" max="2" width="43" customWidth="1"/>
    <col min="3" max="3" width="4" customWidth="1"/>
    <col min="4" max="4" width="43" customWidth="1"/>
  </cols>
  <sheetData>
    <row r="1" spans="1:4" ht="22.15" customHeight="1">
      <c r="A1" s="307" t="s">
        <v>1720</v>
      </c>
      <c r="B1" s="307"/>
    </row>
    <row r="2" spans="1:4" ht="42.6" customHeight="1">
      <c r="A2" s="177" t="s">
        <v>1721</v>
      </c>
      <c r="B2" s="177" t="s">
        <v>1722</v>
      </c>
      <c r="C2" s="177"/>
      <c r="D2" s="177" t="s">
        <v>1723</v>
      </c>
    </row>
    <row r="3" spans="1:4">
      <c r="A3" s="308" t="str">
        <f t="shared" ref="A3:A34" ca="1" si="0">IF(TRIM(D3)="-","",C3)</f>
        <v/>
      </c>
      <c r="B3" t="str">
        <f t="shared" ref="B3:B34" ca="1" si="1">IF(TYPE(D3)&gt;4," - ",IF(OR(TRIM(D3)="",TRIM(D3)="-"),"",D3))</f>
        <v/>
      </c>
      <c r="C3" t="str">
        <f>Sk.A!$C$14</f>
        <v>A1</v>
      </c>
      <c r="D3" t="str">
        <f ca="1">Sk.A!$B$14</f>
        <v xml:space="preserve"> - </v>
      </c>
    </row>
    <row r="4" spans="1:4">
      <c r="A4" s="308" t="str">
        <f t="shared" ca="1" si="0"/>
        <v/>
      </c>
      <c r="B4" t="str">
        <f t="shared" ca="1" si="1"/>
        <v/>
      </c>
      <c r="C4" t="str">
        <f>Sk.A!$C$15</f>
        <v>A2</v>
      </c>
      <c r="D4" t="str">
        <f ca="1">Sk.A!$B$15</f>
        <v xml:space="preserve"> - </v>
      </c>
    </row>
    <row r="5" spans="1:4">
      <c r="A5" s="308" t="str">
        <f t="shared" ca="1" si="0"/>
        <v/>
      </c>
      <c r="B5" t="str">
        <f t="shared" ca="1" si="1"/>
        <v/>
      </c>
      <c r="C5" t="str">
        <f>Sk.A!$C$16</f>
        <v>A3</v>
      </c>
      <c r="D5" t="str">
        <f ca="1">Sk.A!$B$16</f>
        <v xml:space="preserve"> - </v>
      </c>
    </row>
    <row r="6" spans="1:4">
      <c r="A6" s="308" t="str">
        <f t="shared" ca="1" si="0"/>
        <v/>
      </c>
      <c r="B6" t="str">
        <f t="shared" ca="1" si="1"/>
        <v/>
      </c>
      <c r="C6" t="str">
        <f>Sk.A!$C$17</f>
        <v>A4</v>
      </c>
      <c r="D6" t="str">
        <f ca="1">Sk.A!$B$17</f>
        <v xml:space="preserve"> - </v>
      </c>
    </row>
    <row r="7" spans="1:4">
      <c r="A7" s="308" t="str">
        <f t="shared" ca="1" si="0"/>
        <v/>
      </c>
      <c r="B7" t="str">
        <f t="shared" ca="1" si="1"/>
        <v/>
      </c>
      <c r="C7" t="str">
        <f>Sk.B!$C$14</f>
        <v>B1</v>
      </c>
      <c r="D7" t="str">
        <f ca="1">Sk.B!$B$14</f>
        <v xml:space="preserve"> - </v>
      </c>
    </row>
    <row r="8" spans="1:4">
      <c r="A8" s="308" t="str">
        <f t="shared" ca="1" si="0"/>
        <v/>
      </c>
      <c r="B8" t="str">
        <f t="shared" ca="1" si="1"/>
        <v/>
      </c>
      <c r="C8" t="str">
        <f>Sk.B!$C$15</f>
        <v>B2</v>
      </c>
      <c r="D8" t="str">
        <f ca="1">Sk.B!$B$15</f>
        <v xml:space="preserve"> - </v>
      </c>
    </row>
    <row r="9" spans="1:4">
      <c r="A9" s="308" t="str">
        <f t="shared" ca="1" si="0"/>
        <v/>
      </c>
      <c r="B9" t="str">
        <f t="shared" ca="1" si="1"/>
        <v/>
      </c>
      <c r="C9" t="str">
        <f>Sk.B!$C$16</f>
        <v>B3</v>
      </c>
      <c r="D9" t="str">
        <f ca="1">Sk.B!$B$16</f>
        <v xml:space="preserve"> - </v>
      </c>
    </row>
    <row r="10" spans="1:4">
      <c r="A10" s="308" t="str">
        <f t="shared" ca="1" si="0"/>
        <v/>
      </c>
      <c r="B10" t="str">
        <f t="shared" ca="1" si="1"/>
        <v/>
      </c>
      <c r="C10" t="str">
        <f>Sk.B!$C$17</f>
        <v>B4</v>
      </c>
      <c r="D10" t="str">
        <f ca="1">Sk.B!$B$17</f>
        <v xml:space="preserve"> - </v>
      </c>
    </row>
    <row r="11" spans="1:4">
      <c r="A11" s="308" t="str">
        <f t="shared" ca="1" si="0"/>
        <v/>
      </c>
      <c r="B11" t="str">
        <f t="shared" ca="1" si="1"/>
        <v/>
      </c>
      <c r="C11" t="str">
        <f>Sk.C!$C$14</f>
        <v>C1</v>
      </c>
      <c r="D11" t="str">
        <f ca="1">Sk.C!$B$14</f>
        <v xml:space="preserve"> - </v>
      </c>
    </row>
    <row r="12" spans="1:4">
      <c r="A12" s="308" t="str">
        <f t="shared" ca="1" si="0"/>
        <v/>
      </c>
      <c r="B12" t="str">
        <f t="shared" ca="1" si="1"/>
        <v/>
      </c>
      <c r="C12" t="str">
        <f>Sk.C!$C$15</f>
        <v>C2</v>
      </c>
      <c r="D12" t="str">
        <f ca="1">Sk.C!$B$15</f>
        <v xml:space="preserve"> - </v>
      </c>
    </row>
    <row r="13" spans="1:4">
      <c r="A13" s="308" t="str">
        <f t="shared" ca="1" si="0"/>
        <v/>
      </c>
      <c r="B13" t="str">
        <f t="shared" ca="1" si="1"/>
        <v/>
      </c>
      <c r="C13" t="str">
        <f>Sk.C!$C$16</f>
        <v>C3</v>
      </c>
      <c r="D13" t="str">
        <f ca="1">Sk.C!$B$16</f>
        <v xml:space="preserve"> - </v>
      </c>
    </row>
    <row r="14" spans="1:4">
      <c r="A14" s="308" t="str">
        <f t="shared" ca="1" si="0"/>
        <v/>
      </c>
      <c r="B14" t="str">
        <f t="shared" ca="1" si="1"/>
        <v/>
      </c>
      <c r="C14" t="str">
        <f>Sk.C!$C$17</f>
        <v>C4</v>
      </c>
      <c r="D14" t="str">
        <f ca="1">Sk.C!$B$17</f>
        <v xml:space="preserve"> - </v>
      </c>
    </row>
    <row r="15" spans="1:4">
      <c r="A15" s="308" t="str">
        <f t="shared" ca="1" si="0"/>
        <v/>
      </c>
      <c r="B15" t="str">
        <f t="shared" ca="1" si="1"/>
        <v/>
      </c>
      <c r="C15" t="str">
        <f>Sk.D!$C$14</f>
        <v>D1</v>
      </c>
      <c r="D15" t="str">
        <f ca="1">Sk.D!$B$14</f>
        <v xml:space="preserve"> - </v>
      </c>
    </row>
    <row r="16" spans="1:4">
      <c r="A16" s="308" t="str">
        <f t="shared" ca="1" si="0"/>
        <v/>
      </c>
      <c r="B16" t="str">
        <f t="shared" ca="1" si="1"/>
        <v/>
      </c>
      <c r="C16" t="str">
        <f>Sk.D!$C$15</f>
        <v>D2</v>
      </c>
      <c r="D16" t="str">
        <f ca="1">Sk.D!$B$15</f>
        <v xml:space="preserve"> - </v>
      </c>
    </row>
    <row r="17" spans="1:4">
      <c r="A17" s="308" t="str">
        <f t="shared" ca="1" si="0"/>
        <v/>
      </c>
      <c r="B17" t="str">
        <f t="shared" ca="1" si="1"/>
        <v/>
      </c>
      <c r="C17" t="str">
        <f>Sk.D!$C$16</f>
        <v>D3</v>
      </c>
      <c r="D17" t="str">
        <f ca="1">Sk.D!$B$16</f>
        <v xml:space="preserve"> - </v>
      </c>
    </row>
    <row r="18" spans="1:4">
      <c r="A18" s="308" t="str">
        <f t="shared" ca="1" si="0"/>
        <v/>
      </c>
      <c r="B18" t="str">
        <f t="shared" ca="1" si="1"/>
        <v/>
      </c>
      <c r="C18" t="str">
        <f>Sk.D!$C$17</f>
        <v>D4</v>
      </c>
      <c r="D18" t="str">
        <f ca="1">Sk.D!$B$17</f>
        <v xml:space="preserve"> - </v>
      </c>
    </row>
    <row r="19" spans="1:4">
      <c r="A19" s="308" t="str">
        <f t="shared" ca="1" si="0"/>
        <v/>
      </c>
      <c r="B19" t="str">
        <f t="shared" ca="1" si="1"/>
        <v/>
      </c>
      <c r="C19" t="str">
        <f>Sk.E!$C$14</f>
        <v>E1</v>
      </c>
      <c r="D19" t="str">
        <f ca="1">Sk.E!$B$14</f>
        <v xml:space="preserve"> - </v>
      </c>
    </row>
    <row r="20" spans="1:4">
      <c r="A20" s="308" t="str">
        <f t="shared" ca="1" si="0"/>
        <v/>
      </c>
      <c r="B20" t="str">
        <f t="shared" ca="1" si="1"/>
        <v/>
      </c>
      <c r="C20" t="str">
        <f>Sk.E!$C$15</f>
        <v>E2</v>
      </c>
      <c r="D20" t="str">
        <f ca="1">Sk.E!$B$15</f>
        <v xml:space="preserve"> - </v>
      </c>
    </row>
    <row r="21" spans="1:4">
      <c r="A21" s="308" t="str">
        <f t="shared" ca="1" si="0"/>
        <v/>
      </c>
      <c r="B21" t="str">
        <f t="shared" ca="1" si="1"/>
        <v/>
      </c>
      <c r="C21" t="str">
        <f>Sk.E!$C$16</f>
        <v>E3</v>
      </c>
      <c r="D21" t="str">
        <f ca="1">Sk.E!$B$16</f>
        <v xml:space="preserve"> - </v>
      </c>
    </row>
    <row r="22" spans="1:4">
      <c r="A22" s="308" t="str">
        <f t="shared" ca="1" si="0"/>
        <v/>
      </c>
      <c r="B22" t="str">
        <f t="shared" ca="1" si="1"/>
        <v/>
      </c>
      <c r="C22" t="str">
        <f>Sk.E!$C$17</f>
        <v>E4</v>
      </c>
      <c r="D22" t="str">
        <f ca="1">Sk.E!$B$17</f>
        <v xml:space="preserve"> - </v>
      </c>
    </row>
    <row r="23" spans="1:4">
      <c r="A23" s="308" t="str">
        <f t="shared" ca="1" si="0"/>
        <v/>
      </c>
      <c r="B23" t="str">
        <f t="shared" ca="1" si="1"/>
        <v/>
      </c>
      <c r="C23" t="str">
        <f>Sk.F!$C$14</f>
        <v>F1</v>
      </c>
      <c r="D23" t="str">
        <f ca="1">Sk.F!$B$14</f>
        <v xml:space="preserve"> - </v>
      </c>
    </row>
    <row r="24" spans="1:4">
      <c r="A24" s="308" t="str">
        <f t="shared" ca="1" si="0"/>
        <v/>
      </c>
      <c r="B24" t="str">
        <f t="shared" ca="1" si="1"/>
        <v/>
      </c>
      <c r="C24" t="str">
        <f>Sk.F!$C$15</f>
        <v>F2</v>
      </c>
      <c r="D24" t="str">
        <f ca="1">Sk.F!$B$15</f>
        <v xml:space="preserve"> - </v>
      </c>
    </row>
    <row r="25" spans="1:4">
      <c r="A25" s="308" t="str">
        <f t="shared" ca="1" si="0"/>
        <v/>
      </c>
      <c r="B25" t="str">
        <f t="shared" ca="1" si="1"/>
        <v/>
      </c>
      <c r="C25" t="str">
        <f>Sk.F!$C$16</f>
        <v>F3</v>
      </c>
      <c r="D25" t="str">
        <f ca="1">Sk.F!$B$16</f>
        <v xml:space="preserve"> - </v>
      </c>
    </row>
    <row r="26" spans="1:4">
      <c r="A26" s="308" t="str">
        <f t="shared" ca="1" si="0"/>
        <v/>
      </c>
      <c r="B26" t="str">
        <f t="shared" ca="1" si="1"/>
        <v/>
      </c>
      <c r="C26" t="str">
        <f>Sk.F!$C$17</f>
        <v>F4</v>
      </c>
      <c r="D26" t="str">
        <f ca="1">Sk.F!$B$17</f>
        <v xml:space="preserve"> - </v>
      </c>
    </row>
    <row r="27" spans="1:4">
      <c r="A27" s="308" t="str">
        <f t="shared" ca="1" si="0"/>
        <v/>
      </c>
      <c r="B27" t="str">
        <f t="shared" ca="1" si="1"/>
        <v/>
      </c>
      <c r="C27" t="str">
        <f>Sk.G!$C$14</f>
        <v>G1</v>
      </c>
      <c r="D27" t="str">
        <f ca="1">Sk.G!$B$14</f>
        <v xml:space="preserve"> - </v>
      </c>
    </row>
    <row r="28" spans="1:4">
      <c r="A28" s="308" t="str">
        <f t="shared" ca="1" si="0"/>
        <v/>
      </c>
      <c r="B28" t="str">
        <f t="shared" ca="1" si="1"/>
        <v/>
      </c>
      <c r="C28" t="str">
        <f>Sk.G!$C$15</f>
        <v>G2</v>
      </c>
      <c r="D28" t="str">
        <f ca="1">Sk.G!$B$15</f>
        <v xml:space="preserve"> - </v>
      </c>
    </row>
    <row r="29" spans="1:4">
      <c r="A29" s="308" t="str">
        <f t="shared" ca="1" si="0"/>
        <v/>
      </c>
      <c r="B29" t="str">
        <f t="shared" ca="1" si="1"/>
        <v/>
      </c>
      <c r="C29" t="str">
        <f>Sk.G!$C$16</f>
        <v>G3</v>
      </c>
      <c r="D29" t="str">
        <f ca="1">Sk.G!$B$16</f>
        <v xml:space="preserve"> - </v>
      </c>
    </row>
    <row r="30" spans="1:4">
      <c r="A30" s="308" t="str">
        <f t="shared" ca="1" si="0"/>
        <v/>
      </c>
      <c r="B30" t="str">
        <f t="shared" ca="1" si="1"/>
        <v/>
      </c>
      <c r="C30" t="str">
        <f>Sk.G!$C$17</f>
        <v>G4</v>
      </c>
      <c r="D30" t="str">
        <f ca="1">Sk.G!$B$17</f>
        <v xml:space="preserve"> - </v>
      </c>
    </row>
    <row r="31" spans="1:4">
      <c r="A31" s="308" t="str">
        <f t="shared" ca="1" si="0"/>
        <v/>
      </c>
      <c r="B31" t="str">
        <f t="shared" ca="1" si="1"/>
        <v/>
      </c>
      <c r="C31" t="str">
        <f>Sk.H!$C$14</f>
        <v>H1</v>
      </c>
      <c r="D31" t="str">
        <f ca="1">Sk.H!$B$14</f>
        <v xml:space="preserve"> - </v>
      </c>
    </row>
    <row r="32" spans="1:4">
      <c r="A32" s="308" t="str">
        <f t="shared" ca="1" si="0"/>
        <v/>
      </c>
      <c r="B32" t="str">
        <f t="shared" ca="1" si="1"/>
        <v/>
      </c>
      <c r="C32" t="str">
        <f>Sk.H!$C$15</f>
        <v>H2</v>
      </c>
      <c r="D32" t="str">
        <f ca="1">Sk.H!$B$15</f>
        <v xml:space="preserve"> - </v>
      </c>
    </row>
    <row r="33" spans="1:4">
      <c r="A33" s="308" t="str">
        <f t="shared" ca="1" si="0"/>
        <v/>
      </c>
      <c r="B33" t="str">
        <f t="shared" ca="1" si="1"/>
        <v/>
      </c>
      <c r="C33" t="str">
        <f>Sk.H!$C$16</f>
        <v>H3</v>
      </c>
      <c r="D33" t="str">
        <f ca="1">Sk.H!$B$16</f>
        <v xml:space="preserve"> - </v>
      </c>
    </row>
    <row r="34" spans="1:4">
      <c r="A34" s="308" t="str">
        <f t="shared" ca="1" si="0"/>
        <v/>
      </c>
      <c r="B34" t="str">
        <f t="shared" ca="1" si="1"/>
        <v/>
      </c>
      <c r="C34" t="str">
        <f>Sk.H!$C$17</f>
        <v>H4</v>
      </c>
      <c r="D34" t="str">
        <f ca="1">Sk.H!$B$17</f>
        <v xml:space="preserve"> - </v>
      </c>
    </row>
    <row r="35" spans="1:4">
      <c r="A35" s="308" t="str">
        <f t="shared" ref="A35:A66" ca="1" si="2">IF(TRIM(D35)="-","",C35)</f>
        <v/>
      </c>
      <c r="B35" t="str">
        <f t="shared" ref="B35:B66" ca="1" si="3">IF(TYPE(D35)&gt;4," - ",IF(OR(TRIM(D35)="",TRIM(D35)="-"),"",D35))</f>
        <v/>
      </c>
      <c r="C35" t="str">
        <f>Sk.I!$C$14</f>
        <v>I1</v>
      </c>
      <c r="D35" t="str">
        <f ca="1">Sk.I!$B$14</f>
        <v xml:space="preserve"> - </v>
      </c>
    </row>
    <row r="36" spans="1:4">
      <c r="A36" s="308" t="str">
        <f t="shared" ca="1" si="2"/>
        <v/>
      </c>
      <c r="B36" t="str">
        <f t="shared" ca="1" si="3"/>
        <v/>
      </c>
      <c r="C36" t="str">
        <f>Sk.I!$C$15</f>
        <v>I2</v>
      </c>
      <c r="D36" t="str">
        <f ca="1">Sk.I!$B$15</f>
        <v xml:space="preserve"> - </v>
      </c>
    </row>
    <row r="37" spans="1:4">
      <c r="A37" s="308" t="str">
        <f t="shared" ca="1" si="2"/>
        <v/>
      </c>
      <c r="B37" t="str">
        <f t="shared" ca="1" si="3"/>
        <v/>
      </c>
      <c r="C37" t="str">
        <f>Sk.I!$C$16</f>
        <v>I3</v>
      </c>
      <c r="D37" t="str">
        <f ca="1">Sk.I!$B$16</f>
        <v xml:space="preserve"> - </v>
      </c>
    </row>
    <row r="38" spans="1:4">
      <c r="A38" s="308" t="str">
        <f t="shared" ca="1" si="2"/>
        <v/>
      </c>
      <c r="B38" t="str">
        <f t="shared" ca="1" si="3"/>
        <v/>
      </c>
      <c r="C38" t="str">
        <f>Sk.I!$C$17</f>
        <v>I4</v>
      </c>
      <c r="D38" t="str">
        <f ca="1">Sk.I!$B$17</f>
        <v xml:space="preserve"> - </v>
      </c>
    </row>
    <row r="39" spans="1:4">
      <c r="A39" s="308" t="str">
        <f t="shared" ca="1" si="2"/>
        <v/>
      </c>
      <c r="B39" t="str">
        <f t="shared" ca="1" si="3"/>
        <v/>
      </c>
      <c r="C39" t="str">
        <f>Sk.J!$C$14</f>
        <v>J1</v>
      </c>
      <c r="D39" t="str">
        <f ca="1">Sk.J!$B$14</f>
        <v xml:space="preserve"> - </v>
      </c>
    </row>
    <row r="40" spans="1:4">
      <c r="A40" s="308" t="str">
        <f t="shared" ca="1" si="2"/>
        <v/>
      </c>
      <c r="B40" t="str">
        <f t="shared" ca="1" si="3"/>
        <v/>
      </c>
      <c r="C40" t="str">
        <f>Sk.J!$C$15</f>
        <v>J2</v>
      </c>
      <c r="D40" t="str">
        <f ca="1">Sk.J!$B$15</f>
        <v xml:space="preserve"> - </v>
      </c>
    </row>
    <row r="41" spans="1:4">
      <c r="A41" s="308" t="str">
        <f t="shared" ca="1" si="2"/>
        <v/>
      </c>
      <c r="B41" t="str">
        <f t="shared" ca="1" si="3"/>
        <v/>
      </c>
      <c r="C41" t="str">
        <f>Sk.J!$C$16</f>
        <v>J3</v>
      </c>
      <c r="D41" t="str">
        <f ca="1">Sk.J!$B$16</f>
        <v xml:space="preserve"> - </v>
      </c>
    </row>
    <row r="42" spans="1:4">
      <c r="A42" s="308" t="str">
        <f t="shared" ca="1" si="2"/>
        <v/>
      </c>
      <c r="B42" t="str">
        <f t="shared" ca="1" si="3"/>
        <v/>
      </c>
      <c r="C42" t="str">
        <f>Sk.J!$C$17</f>
        <v>J4</v>
      </c>
      <c r="D42" t="str">
        <f ca="1">Sk.J!$B$17</f>
        <v xml:space="preserve"> - </v>
      </c>
    </row>
    <row r="43" spans="1:4">
      <c r="A43" s="308" t="str">
        <f t="shared" ca="1" si="2"/>
        <v/>
      </c>
      <c r="B43" t="str">
        <f t="shared" ca="1" si="3"/>
        <v/>
      </c>
      <c r="C43" t="str">
        <f>Sk.K!$C$14</f>
        <v>K1</v>
      </c>
      <c r="D43" t="str">
        <f ca="1">Sk.K!$B$14</f>
        <v xml:space="preserve"> - </v>
      </c>
    </row>
    <row r="44" spans="1:4">
      <c r="A44" s="308" t="str">
        <f t="shared" ca="1" si="2"/>
        <v/>
      </c>
      <c r="B44" t="str">
        <f t="shared" ca="1" si="3"/>
        <v/>
      </c>
      <c r="C44" t="str">
        <f>Sk.K!$C$15</f>
        <v>K2</v>
      </c>
      <c r="D44" t="str">
        <f ca="1">Sk.K!$B$15</f>
        <v xml:space="preserve"> - </v>
      </c>
    </row>
    <row r="45" spans="1:4">
      <c r="A45" s="308" t="str">
        <f t="shared" ca="1" si="2"/>
        <v/>
      </c>
      <c r="B45" t="str">
        <f t="shared" ca="1" si="3"/>
        <v/>
      </c>
      <c r="C45" t="str">
        <f>Sk.K!$C$16</f>
        <v>K3</v>
      </c>
      <c r="D45" t="str">
        <f ca="1">Sk.K!$B$16</f>
        <v xml:space="preserve"> - </v>
      </c>
    </row>
    <row r="46" spans="1:4">
      <c r="A46" s="308" t="str">
        <f t="shared" ca="1" si="2"/>
        <v/>
      </c>
      <c r="B46" t="str">
        <f t="shared" ca="1" si="3"/>
        <v/>
      </c>
      <c r="C46" t="str">
        <f>Sk.K!$C$17</f>
        <v>K4</v>
      </c>
      <c r="D46" t="str">
        <f ca="1">Sk.K!$B$17</f>
        <v xml:space="preserve"> - </v>
      </c>
    </row>
    <row r="47" spans="1:4">
      <c r="A47" s="308" t="str">
        <f t="shared" ca="1" si="2"/>
        <v/>
      </c>
      <c r="B47" t="str">
        <f t="shared" ca="1" si="3"/>
        <v/>
      </c>
      <c r="C47" t="str">
        <f>Sk.L!$C$14</f>
        <v>L1</v>
      </c>
      <c r="D47" t="str">
        <f ca="1">Sk.L!$B$14</f>
        <v xml:space="preserve"> - </v>
      </c>
    </row>
    <row r="48" spans="1:4">
      <c r="A48" s="308" t="str">
        <f t="shared" ca="1" si="2"/>
        <v/>
      </c>
      <c r="B48" t="str">
        <f t="shared" ca="1" si="3"/>
        <v/>
      </c>
      <c r="C48" t="str">
        <f>Sk.L!$C$15</f>
        <v>L2</v>
      </c>
      <c r="D48" t="str">
        <f ca="1">Sk.L!$B$15</f>
        <v xml:space="preserve"> - </v>
      </c>
    </row>
    <row r="49" spans="1:4">
      <c r="A49" s="308" t="str">
        <f t="shared" ca="1" si="2"/>
        <v/>
      </c>
      <c r="B49" t="str">
        <f t="shared" ca="1" si="3"/>
        <v/>
      </c>
      <c r="C49" t="str">
        <f>Sk.L!$C$16</f>
        <v>L3</v>
      </c>
      <c r="D49" t="str">
        <f ca="1">Sk.L!$B$16</f>
        <v xml:space="preserve"> - </v>
      </c>
    </row>
    <row r="50" spans="1:4">
      <c r="A50" s="308" t="str">
        <f t="shared" ca="1" si="2"/>
        <v/>
      </c>
      <c r="B50" t="str">
        <f t="shared" ca="1" si="3"/>
        <v/>
      </c>
      <c r="C50" t="str">
        <f>Sk.L!$C$17</f>
        <v>L4</v>
      </c>
      <c r="D50" t="str">
        <f ca="1">Sk.L!$B$17</f>
        <v xml:space="preserve"> - </v>
      </c>
    </row>
    <row r="51" spans="1:4">
      <c r="A51" s="308" t="str">
        <f t="shared" ca="1" si="2"/>
        <v/>
      </c>
      <c r="B51" t="str">
        <f t="shared" ca="1" si="3"/>
        <v/>
      </c>
      <c r="C51" t="str">
        <f>Sk.M!$C$14</f>
        <v>M1</v>
      </c>
      <c r="D51" t="str">
        <f ca="1">Sk.M!$B$14</f>
        <v xml:space="preserve"> - </v>
      </c>
    </row>
    <row r="52" spans="1:4">
      <c r="A52" s="308" t="str">
        <f t="shared" ca="1" si="2"/>
        <v/>
      </c>
      <c r="B52" t="str">
        <f t="shared" ca="1" si="3"/>
        <v/>
      </c>
      <c r="C52" t="str">
        <f>Sk.M!$C$15</f>
        <v>M2</v>
      </c>
      <c r="D52" t="str">
        <f ca="1">Sk.M!$B$15</f>
        <v xml:space="preserve"> - </v>
      </c>
    </row>
    <row r="53" spans="1:4">
      <c r="A53" s="308" t="str">
        <f t="shared" ca="1" si="2"/>
        <v/>
      </c>
      <c r="B53" t="str">
        <f t="shared" ca="1" si="3"/>
        <v/>
      </c>
      <c r="C53" t="str">
        <f>Sk.M!$C$16</f>
        <v>M3</v>
      </c>
      <c r="D53" t="str">
        <f ca="1">Sk.M!$B$16</f>
        <v xml:space="preserve"> - </v>
      </c>
    </row>
    <row r="54" spans="1:4">
      <c r="A54" s="308" t="str">
        <f t="shared" ca="1" si="2"/>
        <v/>
      </c>
      <c r="B54" t="str">
        <f t="shared" ca="1" si="3"/>
        <v/>
      </c>
      <c r="C54" t="str">
        <f>Sk.M!$C$17</f>
        <v>M4</v>
      </c>
      <c r="D54" t="str">
        <f ca="1">Sk.M!$B$17</f>
        <v xml:space="preserve"> - </v>
      </c>
    </row>
    <row r="55" spans="1:4">
      <c r="A55" s="308" t="str">
        <f t="shared" ca="1" si="2"/>
        <v/>
      </c>
      <c r="B55" t="str">
        <f t="shared" ca="1" si="3"/>
        <v/>
      </c>
      <c r="C55" t="str">
        <f>Sk.N!$C$14</f>
        <v>N1</v>
      </c>
      <c r="D55" t="str">
        <f ca="1">Sk.N!$B$14</f>
        <v xml:space="preserve"> - </v>
      </c>
    </row>
    <row r="56" spans="1:4">
      <c r="A56" s="308" t="str">
        <f t="shared" ca="1" si="2"/>
        <v/>
      </c>
      <c r="B56" t="str">
        <f t="shared" ca="1" si="3"/>
        <v/>
      </c>
      <c r="C56" t="str">
        <f>Sk.N!$C$15</f>
        <v>N2</v>
      </c>
      <c r="D56" t="str">
        <f ca="1">Sk.N!$B$15</f>
        <v xml:space="preserve"> - </v>
      </c>
    </row>
    <row r="57" spans="1:4">
      <c r="A57" s="308" t="str">
        <f t="shared" ca="1" si="2"/>
        <v/>
      </c>
      <c r="B57" t="str">
        <f t="shared" ca="1" si="3"/>
        <v/>
      </c>
      <c r="C57" t="str">
        <f>Sk.N!$C$16</f>
        <v>N3</v>
      </c>
      <c r="D57" t="str">
        <f ca="1">Sk.N!$B$16</f>
        <v xml:space="preserve"> - </v>
      </c>
    </row>
    <row r="58" spans="1:4">
      <c r="A58" s="308" t="str">
        <f t="shared" ca="1" si="2"/>
        <v/>
      </c>
      <c r="B58" t="str">
        <f t="shared" ca="1" si="3"/>
        <v/>
      </c>
      <c r="C58" t="str">
        <f>Sk.N!$C$17</f>
        <v>N4</v>
      </c>
      <c r="D58" t="str">
        <f ca="1">Sk.N!$B$17</f>
        <v xml:space="preserve"> - </v>
      </c>
    </row>
    <row r="59" spans="1:4">
      <c r="A59" s="308" t="str">
        <f t="shared" ca="1" si="2"/>
        <v/>
      </c>
      <c r="B59" t="str">
        <f t="shared" ca="1" si="3"/>
        <v/>
      </c>
      <c r="C59" t="str">
        <f>Sk.O!$C$14</f>
        <v>O1</v>
      </c>
      <c r="D59" t="str">
        <f ca="1">Sk.O!$B$14</f>
        <v xml:space="preserve"> - </v>
      </c>
    </row>
    <row r="60" spans="1:4">
      <c r="A60" s="308" t="str">
        <f t="shared" ca="1" si="2"/>
        <v/>
      </c>
      <c r="B60" t="str">
        <f t="shared" ca="1" si="3"/>
        <v/>
      </c>
      <c r="C60" t="str">
        <f>Sk.O!$C$15</f>
        <v>O2</v>
      </c>
      <c r="D60" t="str">
        <f ca="1">Sk.O!$B$15</f>
        <v xml:space="preserve"> - </v>
      </c>
    </row>
    <row r="61" spans="1:4">
      <c r="A61" s="308" t="str">
        <f t="shared" ca="1" si="2"/>
        <v/>
      </c>
      <c r="B61" t="str">
        <f t="shared" ca="1" si="3"/>
        <v/>
      </c>
      <c r="C61" t="str">
        <f>Sk.O!$C$16</f>
        <v>O3</v>
      </c>
      <c r="D61" t="str">
        <f ca="1">Sk.O!$B$16</f>
        <v xml:space="preserve"> - </v>
      </c>
    </row>
    <row r="62" spans="1:4">
      <c r="A62" s="308" t="str">
        <f t="shared" ca="1" si="2"/>
        <v/>
      </c>
      <c r="B62" t="str">
        <f t="shared" ca="1" si="3"/>
        <v/>
      </c>
      <c r="C62" t="str">
        <f>Sk.O!$C$17</f>
        <v>O4</v>
      </c>
      <c r="D62" t="str">
        <f ca="1">Sk.O!$B$17</f>
        <v xml:space="preserve"> - </v>
      </c>
    </row>
    <row r="63" spans="1:4">
      <c r="A63" s="308" t="str">
        <f t="shared" ca="1" si="2"/>
        <v/>
      </c>
      <c r="B63" t="str">
        <f t="shared" ca="1" si="3"/>
        <v/>
      </c>
      <c r="C63" t="str">
        <f>Sk.P!$C$14</f>
        <v>P1</v>
      </c>
      <c r="D63" t="str">
        <f ca="1">Sk.P!$B$14</f>
        <v xml:space="preserve"> - </v>
      </c>
    </row>
    <row r="64" spans="1:4">
      <c r="A64" s="308" t="str">
        <f t="shared" ca="1" si="2"/>
        <v/>
      </c>
      <c r="B64" t="str">
        <f t="shared" ca="1" si="3"/>
        <v/>
      </c>
      <c r="C64" t="str">
        <f>Sk.P!$C$15</f>
        <v>P2</v>
      </c>
      <c r="D64" t="str">
        <f ca="1">Sk.P!$B$15</f>
        <v xml:space="preserve"> - </v>
      </c>
    </row>
    <row r="65" spans="1:4">
      <c r="A65" s="308" t="str">
        <f t="shared" ca="1" si="2"/>
        <v/>
      </c>
      <c r="B65" t="str">
        <f t="shared" ca="1" si="3"/>
        <v/>
      </c>
      <c r="C65" t="str">
        <f>Sk.P!$C$16</f>
        <v>P3</v>
      </c>
      <c r="D65" t="str">
        <f ca="1">Sk.P!$B$16</f>
        <v xml:space="preserve"> - </v>
      </c>
    </row>
    <row r="66" spans="1:4">
      <c r="A66" s="308" t="str">
        <f t="shared" ca="1" si="2"/>
        <v/>
      </c>
      <c r="B66" t="str">
        <f t="shared" ca="1" si="3"/>
        <v/>
      </c>
      <c r="C66" t="str">
        <f>Sk.P!$C$17</f>
        <v>P4</v>
      </c>
      <c r="D66" t="str">
        <f ca="1">Sk.P!$B$17</f>
        <v xml:space="preserve"> - </v>
      </c>
    </row>
    <row r="67" spans="1:4">
      <c r="A67" s="308" t="str">
        <f t="shared" ref="A67:A98" ca="1" si="4">IF(TRIM(D67)="-","",C67)</f>
        <v/>
      </c>
      <c r="B67" t="str">
        <f t="shared" ref="B67:B98" ca="1" si="5">IF(TYPE(D67)&gt;4," - ",IF(OR(TRIM(D67)="",TRIM(D67)="-"),"",D67))</f>
        <v/>
      </c>
      <c r="C67" t="str">
        <f>Sk.Q!$C$14</f>
        <v>Q1</v>
      </c>
      <c r="D67" t="str">
        <f ca="1">Sk.Q!$B$14</f>
        <v xml:space="preserve"> - </v>
      </c>
    </row>
    <row r="68" spans="1:4">
      <c r="A68" s="308" t="str">
        <f t="shared" ca="1" si="4"/>
        <v/>
      </c>
      <c r="B68" t="str">
        <f t="shared" ca="1" si="5"/>
        <v/>
      </c>
      <c r="C68" t="str">
        <f>Sk.Q!$C$15</f>
        <v>Q2</v>
      </c>
      <c r="D68" t="str">
        <f ca="1">Sk.Q!$B$15</f>
        <v xml:space="preserve"> - </v>
      </c>
    </row>
    <row r="69" spans="1:4">
      <c r="A69" s="308" t="str">
        <f t="shared" ca="1" si="4"/>
        <v/>
      </c>
      <c r="B69" t="str">
        <f t="shared" ca="1" si="5"/>
        <v/>
      </c>
      <c r="C69" t="str">
        <f>Sk.Q!$C$16</f>
        <v>Q3</v>
      </c>
      <c r="D69" t="str">
        <f ca="1">Sk.Q!$B$16</f>
        <v xml:space="preserve"> - </v>
      </c>
    </row>
    <row r="70" spans="1:4">
      <c r="A70" s="308" t="str">
        <f t="shared" ca="1" si="4"/>
        <v/>
      </c>
      <c r="B70" t="str">
        <f t="shared" ca="1" si="5"/>
        <v/>
      </c>
      <c r="C70" t="str">
        <f>Sk.Q!$C$17</f>
        <v>Q4</v>
      </c>
      <c r="D70" t="str">
        <f ca="1">Sk.Q!$B$17</f>
        <v xml:space="preserve"> - </v>
      </c>
    </row>
    <row r="71" spans="1:4">
      <c r="A71" s="308" t="str">
        <f t="shared" ca="1" si="4"/>
        <v/>
      </c>
      <c r="B71" t="str">
        <f t="shared" ca="1" si="5"/>
        <v/>
      </c>
      <c r="C71" t="str">
        <f>Sk.R!$C$14</f>
        <v>R1</v>
      </c>
      <c r="D71" t="str">
        <f ca="1">Sk.R!$B$14</f>
        <v xml:space="preserve"> - </v>
      </c>
    </row>
    <row r="72" spans="1:4">
      <c r="A72" s="308" t="str">
        <f t="shared" ca="1" si="4"/>
        <v/>
      </c>
      <c r="B72" t="str">
        <f t="shared" ca="1" si="5"/>
        <v/>
      </c>
      <c r="C72" t="str">
        <f>Sk.R!$C$15</f>
        <v>R2</v>
      </c>
      <c r="D72" t="str">
        <f ca="1">Sk.R!$B$15</f>
        <v xml:space="preserve"> - </v>
      </c>
    </row>
    <row r="73" spans="1:4">
      <c r="A73" s="308" t="str">
        <f t="shared" ca="1" si="4"/>
        <v/>
      </c>
      <c r="B73" t="str">
        <f t="shared" ca="1" si="5"/>
        <v/>
      </c>
      <c r="C73" t="str">
        <f>Sk.R!$C$16</f>
        <v>R3</v>
      </c>
      <c r="D73" t="str">
        <f ca="1">Sk.R!$B$16</f>
        <v xml:space="preserve"> - </v>
      </c>
    </row>
    <row r="74" spans="1:4">
      <c r="A74" s="308" t="str">
        <f t="shared" ca="1" si="4"/>
        <v/>
      </c>
      <c r="B74" t="str">
        <f t="shared" ca="1" si="5"/>
        <v/>
      </c>
      <c r="C74" t="str">
        <f>Sk.R!$C$17</f>
        <v>R4</v>
      </c>
      <c r="D74" t="str">
        <f ca="1">Sk.R!$B$17</f>
        <v xml:space="preserve"> - </v>
      </c>
    </row>
    <row r="75" spans="1:4">
      <c r="A75" s="308" t="str">
        <f t="shared" ca="1" si="4"/>
        <v/>
      </c>
      <c r="B75" t="str">
        <f t="shared" ca="1" si="5"/>
        <v/>
      </c>
      <c r="C75" t="str">
        <f>Sk.S!$C$14</f>
        <v>S1</v>
      </c>
      <c r="D75" t="str">
        <f ca="1">Sk.S!$B$14</f>
        <v xml:space="preserve"> - </v>
      </c>
    </row>
    <row r="76" spans="1:4">
      <c r="A76" s="308" t="str">
        <f t="shared" ca="1" si="4"/>
        <v/>
      </c>
      <c r="B76" t="str">
        <f t="shared" ca="1" si="5"/>
        <v/>
      </c>
      <c r="C76" t="str">
        <f>Sk.S!$C$15</f>
        <v>S2</v>
      </c>
      <c r="D76" t="str">
        <f ca="1">Sk.S!$B$15</f>
        <v xml:space="preserve"> - </v>
      </c>
    </row>
    <row r="77" spans="1:4">
      <c r="A77" s="308" t="str">
        <f t="shared" ca="1" si="4"/>
        <v/>
      </c>
      <c r="B77" t="str">
        <f t="shared" ca="1" si="5"/>
        <v/>
      </c>
      <c r="C77" t="str">
        <f>Sk.S!$C$16</f>
        <v>S3</v>
      </c>
      <c r="D77" t="str">
        <f ca="1">Sk.S!$B$16</f>
        <v xml:space="preserve"> - </v>
      </c>
    </row>
    <row r="78" spans="1:4">
      <c r="A78" s="308" t="str">
        <f t="shared" ca="1" si="4"/>
        <v/>
      </c>
      <c r="B78" t="str">
        <f t="shared" ca="1" si="5"/>
        <v/>
      </c>
      <c r="C78" t="str">
        <f>Sk.S!$C$17</f>
        <v>S4</v>
      </c>
      <c r="D78" t="str">
        <f ca="1">Sk.S!$B$17</f>
        <v xml:space="preserve"> - </v>
      </c>
    </row>
    <row r="79" spans="1:4">
      <c r="A79" s="308" t="str">
        <f t="shared" ca="1" si="4"/>
        <v/>
      </c>
      <c r="B79" t="str">
        <f t="shared" ca="1" si="5"/>
        <v/>
      </c>
      <c r="C79" t="str">
        <f>Sk.T!$C$14</f>
        <v>T1</v>
      </c>
      <c r="D79" t="str">
        <f ca="1">Sk.T!$B$14</f>
        <v xml:space="preserve"> - </v>
      </c>
    </row>
    <row r="80" spans="1:4">
      <c r="A80" s="308" t="str">
        <f t="shared" ca="1" si="4"/>
        <v/>
      </c>
      <c r="B80" t="str">
        <f t="shared" ca="1" si="5"/>
        <v/>
      </c>
      <c r="C80" t="str">
        <f>Sk.T!$C$15</f>
        <v>T2</v>
      </c>
      <c r="D80" t="str">
        <f ca="1">Sk.T!$B$15</f>
        <v xml:space="preserve"> - </v>
      </c>
    </row>
    <row r="81" spans="1:4">
      <c r="A81" s="308" t="str">
        <f t="shared" ca="1" si="4"/>
        <v/>
      </c>
      <c r="B81" t="str">
        <f t="shared" ca="1" si="5"/>
        <v/>
      </c>
      <c r="C81" t="str">
        <f>Sk.T!$C$16</f>
        <v>T3</v>
      </c>
      <c r="D81" t="str">
        <f ca="1">Sk.T!$B$16</f>
        <v xml:space="preserve"> - </v>
      </c>
    </row>
    <row r="82" spans="1:4">
      <c r="A82" s="308" t="str">
        <f t="shared" ca="1" si="4"/>
        <v/>
      </c>
      <c r="B82" t="str">
        <f t="shared" ca="1" si="5"/>
        <v/>
      </c>
      <c r="C82" t="str">
        <f>Sk.T!$C$17</f>
        <v>T4</v>
      </c>
      <c r="D82" t="str">
        <f ca="1">Sk.T!$B$17</f>
        <v xml:space="preserve"> - </v>
      </c>
    </row>
    <row r="83" spans="1:4">
      <c r="A83" s="308" t="str">
        <f t="shared" ca="1" si="4"/>
        <v/>
      </c>
      <c r="B83" t="str">
        <f t="shared" ca="1" si="5"/>
        <v/>
      </c>
      <c r="C83" s="308" t="str">
        <f>Sk.U!$C$14</f>
        <v>U1</v>
      </c>
      <c r="D83" t="str">
        <f ca="1">Sk.U!$B$14</f>
        <v xml:space="preserve"> - </v>
      </c>
    </row>
    <row r="84" spans="1:4">
      <c r="A84" s="308" t="str">
        <f t="shared" ca="1" si="4"/>
        <v/>
      </c>
      <c r="B84" t="str">
        <f t="shared" ca="1" si="5"/>
        <v/>
      </c>
      <c r="C84" t="str">
        <f>Sk.U!$C$15</f>
        <v>U2</v>
      </c>
      <c r="D84" t="str">
        <f ca="1">Sk.U!$B$15</f>
        <v xml:space="preserve"> - </v>
      </c>
    </row>
    <row r="85" spans="1:4">
      <c r="A85" s="308" t="str">
        <f t="shared" ca="1" si="4"/>
        <v/>
      </c>
      <c r="B85" t="str">
        <f t="shared" ca="1" si="5"/>
        <v/>
      </c>
      <c r="C85" t="str">
        <f>Sk.U!$C$16</f>
        <v>U3</v>
      </c>
      <c r="D85" t="str">
        <f ca="1">Sk.U!$B$16</f>
        <v xml:space="preserve"> - </v>
      </c>
    </row>
    <row r="86" spans="1:4">
      <c r="A86" s="308" t="str">
        <f t="shared" ca="1" si="4"/>
        <v/>
      </c>
      <c r="B86" t="str">
        <f t="shared" ca="1" si="5"/>
        <v/>
      </c>
      <c r="C86" t="str">
        <f>Sk.U!$C$17</f>
        <v>U4</v>
      </c>
      <c r="D86" t="str">
        <f ca="1">Sk.U!$B$17</f>
        <v xml:space="preserve"> - </v>
      </c>
    </row>
    <row r="87" spans="1:4">
      <c r="A87" s="308" t="str">
        <f t="shared" ca="1" si="4"/>
        <v/>
      </c>
      <c r="B87" t="str">
        <f t="shared" ca="1" si="5"/>
        <v/>
      </c>
      <c r="C87" t="str">
        <f>Sk.V!$C$14</f>
        <v>V1</v>
      </c>
      <c r="D87" t="str">
        <f ca="1">Sk.V!$B$14</f>
        <v xml:space="preserve"> - </v>
      </c>
    </row>
    <row r="88" spans="1:4">
      <c r="A88" s="308" t="str">
        <f t="shared" ca="1" si="4"/>
        <v/>
      </c>
      <c r="B88" t="str">
        <f t="shared" ca="1" si="5"/>
        <v/>
      </c>
      <c r="C88" t="str">
        <f>Sk.V!$C$15</f>
        <v>V2</v>
      </c>
      <c r="D88" t="str">
        <f ca="1">Sk.V!$B$15</f>
        <v xml:space="preserve"> - </v>
      </c>
    </row>
    <row r="89" spans="1:4">
      <c r="A89" s="308" t="str">
        <f t="shared" ca="1" si="4"/>
        <v/>
      </c>
      <c r="B89" t="str">
        <f t="shared" ca="1" si="5"/>
        <v/>
      </c>
      <c r="C89" t="str">
        <f>Sk.V!$C$16</f>
        <v>V3</v>
      </c>
      <c r="D89" t="str">
        <f ca="1">Sk.V!$B$16</f>
        <v xml:space="preserve"> - </v>
      </c>
    </row>
    <row r="90" spans="1:4">
      <c r="A90" s="308" t="str">
        <f t="shared" ca="1" si="4"/>
        <v/>
      </c>
      <c r="B90" t="str">
        <f t="shared" ca="1" si="5"/>
        <v/>
      </c>
      <c r="C90" t="str">
        <f>Sk.V!$C$17</f>
        <v>V4</v>
      </c>
      <c r="D90" t="str">
        <f ca="1">Sk.V!$B$17</f>
        <v xml:space="preserve"> - </v>
      </c>
    </row>
    <row r="91" spans="1:4">
      <c r="A91" s="308" t="str">
        <f t="shared" ca="1" si="4"/>
        <v/>
      </c>
      <c r="B91" t="str">
        <f t="shared" ca="1" si="5"/>
        <v/>
      </c>
      <c r="C91" t="str">
        <f>Sk.W!$C$14</f>
        <v>W1</v>
      </c>
      <c r="D91" t="str">
        <f ca="1">Sk.W!$B$14</f>
        <v xml:space="preserve"> - </v>
      </c>
    </row>
    <row r="92" spans="1:4">
      <c r="A92" s="308" t="str">
        <f t="shared" ca="1" si="4"/>
        <v/>
      </c>
      <c r="B92" t="str">
        <f t="shared" ca="1" si="5"/>
        <v/>
      </c>
      <c r="C92" t="str">
        <f>Sk.W!$C$15</f>
        <v>W2</v>
      </c>
      <c r="D92" t="str">
        <f ca="1">Sk.W!$B$15</f>
        <v xml:space="preserve"> - </v>
      </c>
    </row>
    <row r="93" spans="1:4">
      <c r="A93" s="308" t="str">
        <f t="shared" ca="1" si="4"/>
        <v/>
      </c>
      <c r="B93" t="str">
        <f t="shared" ca="1" si="5"/>
        <v/>
      </c>
      <c r="C93" t="str">
        <f>Sk.W!$C$16</f>
        <v>W3</v>
      </c>
      <c r="D93" t="str">
        <f ca="1">Sk.W!$B$16</f>
        <v xml:space="preserve"> - </v>
      </c>
    </row>
    <row r="94" spans="1:4">
      <c r="A94" s="308" t="str">
        <f t="shared" ca="1" si="4"/>
        <v/>
      </c>
      <c r="B94" t="str">
        <f t="shared" ca="1" si="5"/>
        <v/>
      </c>
      <c r="C94" t="str">
        <f>Sk.W!$C$17</f>
        <v>W4</v>
      </c>
      <c r="D94" t="str">
        <f ca="1">Sk.W!$B$17</f>
        <v xml:space="preserve"> - </v>
      </c>
    </row>
    <row r="95" spans="1:4">
      <c r="A95" s="308" t="str">
        <f t="shared" ca="1" si="4"/>
        <v/>
      </c>
      <c r="B95" t="str">
        <f t="shared" ca="1" si="5"/>
        <v/>
      </c>
      <c r="C95" t="str">
        <f>Sk.X!$C$14</f>
        <v>X1</v>
      </c>
      <c r="D95" t="str">
        <f ca="1">Sk.X!$B$14</f>
        <v xml:space="preserve"> - </v>
      </c>
    </row>
    <row r="96" spans="1:4">
      <c r="A96" s="308" t="str">
        <f t="shared" ca="1" si="4"/>
        <v/>
      </c>
      <c r="B96" t="str">
        <f t="shared" ca="1" si="5"/>
        <v/>
      </c>
      <c r="C96" t="str">
        <f>Sk.X!$C$15</f>
        <v>X2</v>
      </c>
      <c r="D96" t="str">
        <f ca="1">Sk.X!$B$15</f>
        <v xml:space="preserve"> - </v>
      </c>
    </row>
    <row r="97" spans="1:4">
      <c r="A97" s="308" t="str">
        <f t="shared" ca="1" si="4"/>
        <v/>
      </c>
      <c r="B97" t="str">
        <f t="shared" ca="1" si="5"/>
        <v/>
      </c>
      <c r="C97" t="str">
        <f>Sk.X!$C$16</f>
        <v>X3</v>
      </c>
      <c r="D97" t="str">
        <f ca="1">Sk.X!$B$16</f>
        <v xml:space="preserve"> - </v>
      </c>
    </row>
    <row r="98" spans="1:4">
      <c r="A98" s="308" t="str">
        <f t="shared" ca="1" si="4"/>
        <v/>
      </c>
      <c r="B98" t="str">
        <f t="shared" ca="1" si="5"/>
        <v/>
      </c>
      <c r="C98" t="str">
        <f>Sk.X!$C$17</f>
        <v>X4</v>
      </c>
      <c r="D98" t="str">
        <f ca="1">Sk.X!$B$17</f>
        <v xml:space="preserve"> - </v>
      </c>
    </row>
    <row r="99" spans="1:4">
      <c r="A99" s="308" t="str">
        <f t="shared" ref="A99:A130" ca="1" si="6">IF(TRIM(D99)="-","",C99)</f>
        <v/>
      </c>
      <c r="B99" t="str">
        <f t="shared" ref="B99:B130" ca="1" si="7">IF(TYPE(D99)&gt;4," - ",IF(OR(TRIM(D99)="",TRIM(D99)="-"),"",D99))</f>
        <v/>
      </c>
      <c r="C99" t="str">
        <f>Sk.Y!$C$14</f>
        <v>Y1</v>
      </c>
      <c r="D99" t="str">
        <f ca="1">Sk.Y!$B$14</f>
        <v xml:space="preserve"> - </v>
      </c>
    </row>
    <row r="100" spans="1:4">
      <c r="A100" s="308" t="str">
        <f t="shared" ca="1" si="6"/>
        <v/>
      </c>
      <c r="B100" t="str">
        <f t="shared" ca="1" si="7"/>
        <v/>
      </c>
      <c r="C100" t="str">
        <f>Sk.Y!$C$15</f>
        <v>Y2</v>
      </c>
      <c r="D100" t="str">
        <f ca="1">Sk.Y!$B$15</f>
        <v xml:space="preserve"> - </v>
      </c>
    </row>
    <row r="101" spans="1:4">
      <c r="A101" s="308" t="str">
        <f t="shared" ca="1" si="6"/>
        <v/>
      </c>
      <c r="B101" t="str">
        <f t="shared" ca="1" si="7"/>
        <v/>
      </c>
      <c r="C101" t="str">
        <f>Sk.Y!$C$16</f>
        <v>Y3</v>
      </c>
      <c r="D101" t="str">
        <f ca="1">Sk.Y!$B$16</f>
        <v xml:space="preserve"> - </v>
      </c>
    </row>
    <row r="102" spans="1:4">
      <c r="A102" s="308" t="str">
        <f t="shared" ca="1" si="6"/>
        <v/>
      </c>
      <c r="B102" t="str">
        <f t="shared" ca="1" si="7"/>
        <v/>
      </c>
      <c r="C102" t="str">
        <f>Sk.Y!$C$17</f>
        <v>Y4</v>
      </c>
      <c r="D102" t="str">
        <f ca="1">Sk.Y!$B$17</f>
        <v xml:space="preserve"> - </v>
      </c>
    </row>
    <row r="103" spans="1:4">
      <c r="A103" s="308" t="str">
        <f t="shared" ca="1" si="6"/>
        <v/>
      </c>
      <c r="B103" t="str">
        <f t="shared" ca="1" si="7"/>
        <v/>
      </c>
      <c r="C103" t="str">
        <f>Sk.Z!$C$14</f>
        <v>Z1</v>
      </c>
      <c r="D103" t="str">
        <f ca="1">Sk.Z!$B$14</f>
        <v xml:space="preserve"> - </v>
      </c>
    </row>
    <row r="104" spans="1:4">
      <c r="A104" s="308" t="str">
        <f t="shared" ca="1" si="6"/>
        <v/>
      </c>
      <c r="B104" t="str">
        <f t="shared" ca="1" si="7"/>
        <v/>
      </c>
      <c r="C104" t="str">
        <f>Sk.Z!$C$15</f>
        <v>Z2</v>
      </c>
      <c r="D104" t="str">
        <f ca="1">Sk.Z!$B$15</f>
        <v xml:space="preserve"> - </v>
      </c>
    </row>
    <row r="105" spans="1:4">
      <c r="A105" s="308" t="str">
        <f t="shared" ca="1" si="6"/>
        <v/>
      </c>
      <c r="B105" t="str">
        <f t="shared" ca="1" si="7"/>
        <v/>
      </c>
      <c r="C105" t="str">
        <f>Sk.Z!$C$16</f>
        <v>Z3</v>
      </c>
      <c r="D105" t="str">
        <f ca="1">Sk.Z!$B$16</f>
        <v xml:space="preserve"> - </v>
      </c>
    </row>
    <row r="106" spans="1:4">
      <c r="A106" s="308" t="str">
        <f t="shared" ca="1" si="6"/>
        <v/>
      </c>
      <c r="B106" t="str">
        <f t="shared" ca="1" si="7"/>
        <v/>
      </c>
      <c r="C106" t="str">
        <f>Sk.Z!$C$17</f>
        <v>Z4</v>
      </c>
      <c r="D106" t="str">
        <f ca="1">Sk.Z!$B$17</f>
        <v xml:space="preserve"> - </v>
      </c>
    </row>
    <row r="107" spans="1:4">
      <c r="A107" s="308" t="str">
        <f t="shared" ca="1" si="6"/>
        <v/>
      </c>
      <c r="B107" t="str">
        <f t="shared" ca="1" si="7"/>
        <v/>
      </c>
      <c r="C107" t="str">
        <f>Sk.AA!$C$14</f>
        <v>AA1</v>
      </c>
      <c r="D107" t="str">
        <f ca="1">Sk.AA!$B$14</f>
        <v xml:space="preserve"> - </v>
      </c>
    </row>
    <row r="108" spans="1:4">
      <c r="A108" s="308" t="str">
        <f t="shared" ca="1" si="6"/>
        <v/>
      </c>
      <c r="B108" t="str">
        <f t="shared" ca="1" si="7"/>
        <v/>
      </c>
      <c r="C108" t="str">
        <f>Sk.AA!$C$15</f>
        <v>AA2</v>
      </c>
      <c r="D108" t="str">
        <f ca="1">Sk.AA!$B$15</f>
        <v xml:space="preserve"> - </v>
      </c>
    </row>
    <row r="109" spans="1:4">
      <c r="A109" s="308" t="str">
        <f t="shared" ca="1" si="6"/>
        <v/>
      </c>
      <c r="B109" t="str">
        <f t="shared" ca="1" si="7"/>
        <v/>
      </c>
      <c r="C109" t="str">
        <f>Sk.AA!$C$16</f>
        <v>AA3</v>
      </c>
      <c r="D109" t="str">
        <f ca="1">Sk.AA!$B$16</f>
        <v xml:space="preserve"> - </v>
      </c>
    </row>
    <row r="110" spans="1:4">
      <c r="A110" s="308" t="str">
        <f t="shared" ca="1" si="6"/>
        <v/>
      </c>
      <c r="B110" t="str">
        <f t="shared" ca="1" si="7"/>
        <v/>
      </c>
      <c r="C110" t="str">
        <f>Sk.AA!$C$17</f>
        <v>AA4</v>
      </c>
      <c r="D110" t="str">
        <f ca="1">Sk.AA!$B$17</f>
        <v xml:space="preserve"> - </v>
      </c>
    </row>
    <row r="111" spans="1:4">
      <c r="A111" s="308" t="str">
        <f t="shared" ca="1" si="6"/>
        <v/>
      </c>
      <c r="B111" t="str">
        <f t="shared" ca="1" si="7"/>
        <v/>
      </c>
      <c r="C111" t="str">
        <f>Sk.AB!$C$14</f>
        <v>AB1</v>
      </c>
      <c r="D111" t="str">
        <f ca="1">Sk.AB!$B$14</f>
        <v xml:space="preserve"> - </v>
      </c>
    </row>
    <row r="112" spans="1:4">
      <c r="A112" s="308" t="str">
        <f t="shared" ca="1" si="6"/>
        <v/>
      </c>
      <c r="B112" t="str">
        <f t="shared" ca="1" si="7"/>
        <v/>
      </c>
      <c r="C112" t="str">
        <f>Sk.AB!$C$15</f>
        <v>AB2</v>
      </c>
      <c r="D112" t="str">
        <f ca="1">Sk.AB!$B$15</f>
        <v xml:space="preserve"> - </v>
      </c>
    </row>
    <row r="113" spans="1:4">
      <c r="A113" s="308" t="str">
        <f t="shared" ca="1" si="6"/>
        <v/>
      </c>
      <c r="B113" t="str">
        <f t="shared" ca="1" si="7"/>
        <v/>
      </c>
      <c r="C113" t="str">
        <f>Sk.AB!$C$16</f>
        <v>AB3</v>
      </c>
      <c r="D113" t="str">
        <f ca="1">Sk.AB!$B$16</f>
        <v xml:space="preserve"> - </v>
      </c>
    </row>
    <row r="114" spans="1:4">
      <c r="A114" s="308" t="str">
        <f t="shared" ca="1" si="6"/>
        <v/>
      </c>
      <c r="B114" t="str">
        <f t="shared" ca="1" si="7"/>
        <v/>
      </c>
      <c r="C114" t="str">
        <f>Sk.AB!$C$17</f>
        <v>AB4</v>
      </c>
      <c r="D114" t="str">
        <f ca="1">Sk.AB!$B$17</f>
        <v xml:space="preserve"> - </v>
      </c>
    </row>
    <row r="115" spans="1:4">
      <c r="A115" s="308" t="str">
        <f t="shared" ca="1" si="6"/>
        <v/>
      </c>
      <c r="B115" t="str">
        <f t="shared" ca="1" si="7"/>
        <v/>
      </c>
      <c r="C115" t="str">
        <f>Sk.AC!$C$14</f>
        <v>AC1</v>
      </c>
      <c r="D115" t="str">
        <f ca="1">Sk.AC!$B$14</f>
        <v xml:space="preserve"> - </v>
      </c>
    </row>
    <row r="116" spans="1:4">
      <c r="A116" s="308" t="str">
        <f t="shared" ca="1" si="6"/>
        <v/>
      </c>
      <c r="B116" t="str">
        <f t="shared" ca="1" si="7"/>
        <v/>
      </c>
      <c r="C116" t="str">
        <f>Sk.AC!$C$15</f>
        <v>AC2</v>
      </c>
      <c r="D116" t="str">
        <f ca="1">Sk.AC!$B$15</f>
        <v xml:space="preserve"> - </v>
      </c>
    </row>
    <row r="117" spans="1:4">
      <c r="A117" s="308" t="str">
        <f t="shared" ca="1" si="6"/>
        <v/>
      </c>
      <c r="B117" t="str">
        <f t="shared" ca="1" si="7"/>
        <v/>
      </c>
      <c r="C117" t="str">
        <f>Sk.AC!$C$16</f>
        <v>AC3</v>
      </c>
      <c r="D117" t="str">
        <f ca="1">Sk.AC!$B$16</f>
        <v xml:space="preserve"> - </v>
      </c>
    </row>
    <row r="118" spans="1:4">
      <c r="A118" s="308" t="str">
        <f t="shared" ca="1" si="6"/>
        <v/>
      </c>
      <c r="B118" t="str">
        <f t="shared" ca="1" si="7"/>
        <v/>
      </c>
      <c r="C118" t="str">
        <f>Sk.AC!$C$17</f>
        <v>AC4</v>
      </c>
      <c r="D118" t="str">
        <f ca="1">Sk.AC!$B$17</f>
        <v xml:space="preserve"> - </v>
      </c>
    </row>
    <row r="119" spans="1:4">
      <c r="A119" s="308" t="str">
        <f t="shared" ca="1" si="6"/>
        <v/>
      </c>
      <c r="B119" t="str">
        <f t="shared" ca="1" si="7"/>
        <v/>
      </c>
      <c r="C119" t="str">
        <f>Sk.AD!$C$14</f>
        <v>AD1</v>
      </c>
      <c r="D119" t="str">
        <f ca="1">Sk.AD!$B$14</f>
        <v xml:space="preserve"> - </v>
      </c>
    </row>
    <row r="120" spans="1:4">
      <c r="A120" s="308" t="str">
        <f t="shared" ca="1" si="6"/>
        <v/>
      </c>
      <c r="B120" t="str">
        <f t="shared" ca="1" si="7"/>
        <v/>
      </c>
      <c r="C120" t="str">
        <f>Sk.AD!$C$15</f>
        <v>AD2</v>
      </c>
      <c r="D120" t="str">
        <f ca="1">Sk.AD!$B$15</f>
        <v xml:space="preserve"> - </v>
      </c>
    </row>
    <row r="121" spans="1:4">
      <c r="A121" s="308" t="str">
        <f t="shared" ca="1" si="6"/>
        <v/>
      </c>
      <c r="B121" t="str">
        <f t="shared" ca="1" si="7"/>
        <v/>
      </c>
      <c r="C121" t="str">
        <f>Sk.AD!$C$16</f>
        <v>AD3</v>
      </c>
      <c r="D121" t="str">
        <f ca="1">Sk.AD!$B$16</f>
        <v xml:space="preserve"> - </v>
      </c>
    </row>
    <row r="122" spans="1:4">
      <c r="A122" s="308" t="str">
        <f t="shared" ca="1" si="6"/>
        <v/>
      </c>
      <c r="B122" t="str">
        <f t="shared" ca="1" si="7"/>
        <v/>
      </c>
      <c r="C122" t="str">
        <f>Sk.AD!$C$17</f>
        <v>AD4</v>
      </c>
      <c r="D122" t="str">
        <f ca="1">Sk.AD!$B$17</f>
        <v xml:space="preserve"> - </v>
      </c>
    </row>
    <row r="123" spans="1:4">
      <c r="A123" s="308" t="str">
        <f t="shared" ca="1" si="6"/>
        <v/>
      </c>
      <c r="B123" t="str">
        <f t="shared" ca="1" si="7"/>
        <v/>
      </c>
      <c r="C123" t="str">
        <f>Sk.AE!$C$14</f>
        <v>AE1</v>
      </c>
      <c r="D123" t="str">
        <f ca="1">Sk.AE!$B$14</f>
        <v xml:space="preserve"> - </v>
      </c>
    </row>
    <row r="124" spans="1:4">
      <c r="A124" s="308" t="str">
        <f t="shared" ca="1" si="6"/>
        <v/>
      </c>
      <c r="B124" t="str">
        <f t="shared" ca="1" si="7"/>
        <v/>
      </c>
      <c r="C124" t="str">
        <f>Sk.AE!$C$15</f>
        <v>AE2</v>
      </c>
      <c r="D124" t="str">
        <f ca="1">Sk.AE!$B$15</f>
        <v xml:space="preserve"> - </v>
      </c>
    </row>
    <row r="125" spans="1:4">
      <c r="A125" s="308" t="str">
        <f t="shared" ca="1" si="6"/>
        <v/>
      </c>
      <c r="B125" t="str">
        <f t="shared" ca="1" si="7"/>
        <v/>
      </c>
      <c r="C125" t="str">
        <f>Sk.AE!$C$16</f>
        <v>AE3</v>
      </c>
      <c r="D125" t="str">
        <f ca="1">Sk.AE!$B$16</f>
        <v xml:space="preserve"> - </v>
      </c>
    </row>
    <row r="126" spans="1:4">
      <c r="A126" s="308" t="str">
        <f t="shared" ca="1" si="6"/>
        <v/>
      </c>
      <c r="B126" t="str">
        <f t="shared" ca="1" si="7"/>
        <v/>
      </c>
      <c r="C126" t="str">
        <f>Sk.AE!$C$17</f>
        <v>AE4</v>
      </c>
      <c r="D126" t="str">
        <f ca="1">Sk.AE!$B$17</f>
        <v xml:space="preserve"> - </v>
      </c>
    </row>
    <row r="127" spans="1:4">
      <c r="A127" s="308" t="str">
        <f t="shared" ca="1" si="6"/>
        <v/>
      </c>
      <c r="B127" t="str">
        <f t="shared" ca="1" si="7"/>
        <v/>
      </c>
      <c r="C127" t="str">
        <f>Sk.AF!$C$14</f>
        <v>AF1</v>
      </c>
      <c r="D127" t="str">
        <f ca="1">Sk.AF!$B$14</f>
        <v xml:space="preserve"> - </v>
      </c>
    </row>
    <row r="128" spans="1:4">
      <c r="A128" s="308" t="str">
        <f t="shared" ca="1" si="6"/>
        <v/>
      </c>
      <c r="B128" t="str">
        <f t="shared" ca="1" si="7"/>
        <v/>
      </c>
      <c r="C128" t="str">
        <f>Sk.AF!$C$15</f>
        <v>AF2</v>
      </c>
      <c r="D128" t="str">
        <f ca="1">Sk.AF!$B$15</f>
        <v xml:space="preserve"> - </v>
      </c>
    </row>
    <row r="129" spans="1:4">
      <c r="A129" s="308" t="str">
        <f t="shared" ca="1" si="6"/>
        <v/>
      </c>
      <c r="B129" t="str">
        <f t="shared" ca="1" si="7"/>
        <v/>
      </c>
      <c r="C129" t="str">
        <f>Sk.AF!$C$16</f>
        <v>AF3</v>
      </c>
      <c r="D129" t="str">
        <f ca="1">Sk.AF!$B$16</f>
        <v xml:space="preserve"> - </v>
      </c>
    </row>
    <row r="130" spans="1:4">
      <c r="A130" s="308" t="str">
        <f t="shared" ca="1" si="6"/>
        <v/>
      </c>
      <c r="B130" t="str">
        <f t="shared" ca="1" si="7"/>
        <v/>
      </c>
      <c r="C130" t="str">
        <f>Sk.AF!$C$17</f>
        <v>AF4</v>
      </c>
      <c r="D130" t="str">
        <f ca="1">Sk.AF!$B$17</f>
        <v xml:space="preserve"> - </v>
      </c>
    </row>
  </sheetData>
  <conditionalFormatting sqref="C83 A3:A130">
    <cfRule type="expression" dxfId="48" priority="2">
      <formula>"c83=1"</formula>
    </cfRule>
  </conditionalFormatting>
  <pageMargins left="0.78749999999999998" right="0.78749999999999998" top="0.98402777777777795" bottom="0.98402777777777795" header="0.51180555555555496" footer="0.51180555555555496"/>
  <pageSetup paperSize="9" firstPageNumber="0" fitToHeight="4" orientation="portrait" horizontalDpi="300" verticalDpi="30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66"/>
  <sheetViews>
    <sheetView zoomScaleNormal="100" workbookViewId="0">
      <pane xSplit="1" ySplit="2" topLeftCell="B3" activePane="bottomRight" state="frozen"/>
      <selection pane="topRight" activeCell="B1" sqref="B1"/>
      <selection pane="bottomLeft" activeCell="A3" sqref="A3"/>
      <selection pane="bottomRight" activeCell="A3" sqref="A3"/>
    </sheetView>
  </sheetViews>
  <sheetFormatPr defaultColWidth="8.7109375" defaultRowHeight="12.75"/>
  <cols>
    <col min="2" max="2" width="38.28515625" customWidth="1"/>
    <col min="4" max="4" width="38.140625" customWidth="1"/>
    <col min="6" max="6" width="11" customWidth="1"/>
    <col min="8" max="8" width="2.7109375" customWidth="1"/>
    <col min="9" max="9" width="24.140625" customWidth="1"/>
    <col min="10" max="11" width="2.7109375" customWidth="1"/>
    <col min="12" max="12" width="28" style="309" customWidth="1"/>
    <col min="13" max="13" width="5.28515625" style="310" customWidth="1"/>
    <col min="14" max="14" width="28" style="309" customWidth="1"/>
    <col min="15" max="15" width="5.28515625" style="310" customWidth="1"/>
    <col min="16" max="16" width="28" style="309" customWidth="1"/>
    <col min="17" max="17" width="5.28515625" style="310" customWidth="1"/>
    <col min="18" max="18" width="2.7109375" customWidth="1"/>
    <col min="19" max="19" width="28" style="309" customWidth="1"/>
    <col min="20" max="20" width="5.28515625" style="310" customWidth="1"/>
    <col min="21" max="21" width="3.7109375" customWidth="1"/>
    <col min="22" max="22" width="2.7109375" customWidth="1"/>
    <col min="23" max="23" width="28" style="309" customWidth="1"/>
    <col min="24" max="24" width="5.28515625" style="310" customWidth="1"/>
    <col min="25" max="25" width="28" style="309" customWidth="1"/>
    <col min="26" max="26" width="5.28515625" style="310" customWidth="1"/>
    <col min="27" max="27" width="28" style="309" customWidth="1"/>
    <col min="28" max="28" width="5.28515625" style="310" customWidth="1"/>
    <col min="29" max="29" width="28" style="309" customWidth="1"/>
    <col min="30" max="30" width="2.7109375" customWidth="1"/>
    <col min="31" max="31" width="28" style="309" customWidth="1"/>
    <col min="32" max="32" width="5.28515625" style="310" customWidth="1"/>
    <col min="33" max="33" width="3.7109375" customWidth="1"/>
    <col min="34" max="34" width="2.7109375" customWidth="1"/>
    <col min="35" max="35" width="28" style="309" customWidth="1"/>
    <col min="36" max="36" width="5.28515625" style="310" customWidth="1"/>
    <col min="37" max="37" width="28" style="309" customWidth="1"/>
    <col min="38" max="38" width="5.28515625" style="310" customWidth="1"/>
    <col min="39" max="39" width="28" style="309" customWidth="1"/>
    <col min="40" max="40" width="5.28515625" style="310" customWidth="1"/>
    <col min="41" max="41" width="28" style="309" customWidth="1"/>
    <col min="42" max="42" width="5.28515625" style="310" customWidth="1"/>
    <col min="43" max="43" width="28" style="309" customWidth="1"/>
    <col min="44" max="44" width="5.28515625" style="310" customWidth="1"/>
    <col min="45" max="45" width="2.7109375" customWidth="1"/>
    <col min="46" max="46" width="28" style="309" customWidth="1"/>
    <col min="47" max="47" width="5.28515625" style="310" customWidth="1"/>
    <col min="48" max="48" width="28" style="309" customWidth="1"/>
    <col min="49" max="49" width="5.28515625" style="310" customWidth="1"/>
    <col min="50" max="50" width="28" style="309" customWidth="1"/>
    <col min="51" max="51" width="5.28515625" style="310" customWidth="1"/>
    <col min="52" max="52" width="28" style="309" customWidth="1"/>
    <col min="53" max="53" width="5.28515625" style="310" customWidth="1"/>
    <col min="54" max="54" width="28" style="309" customWidth="1"/>
    <col min="55" max="55" width="5.28515625" style="310" customWidth="1"/>
    <col min="56" max="56" width="28" style="309" customWidth="1"/>
    <col min="57" max="57" width="5.28515625" style="310" customWidth="1"/>
    <col min="58" max="58" width="2.7109375" customWidth="1"/>
    <col min="59" max="59" width="28" style="309" customWidth="1"/>
    <col min="60" max="60" width="5.28515625" style="310" customWidth="1"/>
    <col min="61" max="61" width="28" style="309" customWidth="1"/>
    <col min="62" max="62" width="5.28515625" style="310" customWidth="1"/>
    <col min="63" max="63" width="28" style="309" customWidth="1"/>
    <col min="64" max="64" width="5.28515625" style="310" customWidth="1"/>
    <col min="65" max="65" width="28" style="309" customWidth="1"/>
    <col min="66" max="66" width="5.28515625" style="310" customWidth="1"/>
    <col min="67" max="67" width="28" style="309" customWidth="1"/>
    <col min="68" max="68" width="5.28515625" style="310" customWidth="1"/>
    <col min="69" max="70" width="28" style="309" customWidth="1"/>
    <col min="71" max="71" width="5.28515625" style="310" customWidth="1"/>
  </cols>
  <sheetData>
    <row r="1" spans="1:71" ht="22.15" customHeight="1">
      <c r="B1" s="307" t="s">
        <v>1724</v>
      </c>
      <c r="E1" s="176" t="s">
        <v>1725</v>
      </c>
      <c r="F1" s="176" t="s">
        <v>1726</v>
      </c>
      <c r="G1" t="s">
        <v>1722</v>
      </c>
      <c r="I1" s="310">
        <v>9</v>
      </c>
      <c r="J1" s="310">
        <v>10</v>
      </c>
      <c r="K1" s="310">
        <v>11</v>
      </c>
      <c r="L1" s="310">
        <v>12</v>
      </c>
      <c r="M1" s="310">
        <v>13</v>
      </c>
      <c r="N1" s="310">
        <v>14</v>
      </c>
      <c r="O1" s="310">
        <v>15</v>
      </c>
      <c r="P1" s="310">
        <v>16</v>
      </c>
      <c r="Q1" s="310">
        <v>17</v>
      </c>
      <c r="R1" s="310">
        <v>18</v>
      </c>
      <c r="S1" s="310">
        <v>19</v>
      </c>
      <c r="T1" s="310">
        <v>20</v>
      </c>
      <c r="U1" s="310">
        <v>21</v>
      </c>
      <c r="V1" s="310">
        <v>22</v>
      </c>
      <c r="W1" s="310">
        <v>23</v>
      </c>
      <c r="X1" s="310">
        <v>24</v>
      </c>
      <c r="Y1" s="310">
        <v>25</v>
      </c>
      <c r="Z1" s="310">
        <v>26</v>
      </c>
      <c r="AA1" s="310">
        <v>27</v>
      </c>
      <c r="AB1" s="310">
        <v>28</v>
      </c>
      <c r="AC1" s="310">
        <v>29</v>
      </c>
      <c r="AD1" s="310">
        <v>30</v>
      </c>
      <c r="AE1" s="310">
        <v>31</v>
      </c>
      <c r="AF1" s="310">
        <v>32</v>
      </c>
      <c r="AG1" s="310">
        <v>33</v>
      </c>
      <c r="AH1" s="310">
        <v>34</v>
      </c>
      <c r="AI1" s="310">
        <v>35</v>
      </c>
      <c r="AJ1" s="310">
        <v>36</v>
      </c>
      <c r="AK1" s="310">
        <v>37</v>
      </c>
      <c r="AL1" s="310">
        <v>38</v>
      </c>
      <c r="AM1" s="310">
        <v>39</v>
      </c>
      <c r="AN1" s="310">
        <v>40</v>
      </c>
      <c r="AO1" s="310">
        <v>41</v>
      </c>
      <c r="AP1" s="310">
        <v>42</v>
      </c>
      <c r="AQ1" s="310">
        <v>43</v>
      </c>
      <c r="AR1" s="310">
        <v>44</v>
      </c>
      <c r="AS1" s="310">
        <v>45</v>
      </c>
      <c r="AT1" s="310">
        <v>46</v>
      </c>
      <c r="AU1" s="310">
        <v>47</v>
      </c>
      <c r="AV1" s="310">
        <v>48</v>
      </c>
      <c r="AW1" s="310">
        <v>49</v>
      </c>
      <c r="AX1" s="310">
        <v>50</v>
      </c>
      <c r="AY1" s="310">
        <v>51</v>
      </c>
      <c r="AZ1" s="310">
        <v>52</v>
      </c>
      <c r="BA1" s="310">
        <v>53</v>
      </c>
      <c r="BB1" s="310">
        <v>54</v>
      </c>
      <c r="BC1" s="310">
        <v>55</v>
      </c>
      <c r="BD1" s="310">
        <v>56</v>
      </c>
      <c r="BE1" s="310">
        <v>57</v>
      </c>
      <c r="BF1" s="310">
        <v>58</v>
      </c>
      <c r="BG1" s="310">
        <v>59</v>
      </c>
      <c r="BH1" s="310">
        <v>60</v>
      </c>
      <c r="BI1" s="310">
        <v>61</v>
      </c>
      <c r="BJ1" s="310">
        <v>62</v>
      </c>
      <c r="BK1" s="310">
        <v>63</v>
      </c>
      <c r="BL1" s="310">
        <v>64</v>
      </c>
      <c r="BM1" s="310">
        <v>65</v>
      </c>
      <c r="BN1" s="310">
        <v>66</v>
      </c>
      <c r="BO1" s="310">
        <v>67</v>
      </c>
      <c r="BP1" s="310">
        <v>68</v>
      </c>
      <c r="BQ1" s="310">
        <v>69</v>
      </c>
      <c r="BR1" s="310">
        <v>71</v>
      </c>
    </row>
    <row r="2" spans="1:71" ht="42.6" customHeight="1">
      <c r="A2" s="177" t="s">
        <v>1727</v>
      </c>
      <c r="B2" s="177" t="s">
        <v>1728</v>
      </c>
      <c r="C2" s="177" t="s">
        <v>1729</v>
      </c>
      <c r="D2" s="177" t="s">
        <v>1730</v>
      </c>
      <c r="E2" s="311">
        <f ca="1">Start.listina!O7</f>
        <v>4</v>
      </c>
      <c r="F2" s="311">
        <f ca="1">IF(MOD($E$2,2)&gt;0,0,1)</f>
        <v>1</v>
      </c>
      <c r="G2" s="311">
        <f ca="1">Start.listina!$S$7</f>
        <v>8</v>
      </c>
      <c r="H2" s="312">
        <f>IF(Start.listina!$U$7&gt;1,2,0)</f>
        <v>2</v>
      </c>
      <c r="I2" s="177" t="s">
        <v>1731</v>
      </c>
      <c r="K2" s="313" t="s">
        <v>1732</v>
      </c>
      <c r="L2" s="312">
        <v>2</v>
      </c>
      <c r="M2" s="312"/>
      <c r="N2" s="312">
        <v>1</v>
      </c>
      <c r="O2" s="312"/>
      <c r="P2" s="312" t="s">
        <v>1733</v>
      </c>
      <c r="Q2" s="312"/>
      <c r="R2" s="313" t="s">
        <v>1734</v>
      </c>
      <c r="S2" s="312"/>
      <c r="T2" s="312"/>
      <c r="V2" s="313" t="s">
        <v>1735</v>
      </c>
      <c r="W2" s="312">
        <v>4</v>
      </c>
      <c r="X2" s="312"/>
      <c r="Y2" s="312">
        <v>2</v>
      </c>
      <c r="Z2" s="312"/>
      <c r="AA2" s="312">
        <v>1</v>
      </c>
      <c r="AB2" s="312"/>
      <c r="AC2" s="312" t="s">
        <v>1733</v>
      </c>
      <c r="AD2" s="314" t="s">
        <v>1736</v>
      </c>
      <c r="AE2" s="312"/>
      <c r="AF2" s="312"/>
      <c r="AH2" s="313" t="s">
        <v>1737</v>
      </c>
      <c r="AI2" s="312">
        <v>8</v>
      </c>
      <c r="AJ2" s="312"/>
      <c r="AK2" s="312">
        <v>4</v>
      </c>
      <c r="AL2" s="312"/>
      <c r="AM2" s="312">
        <v>2</v>
      </c>
      <c r="AN2" s="312"/>
      <c r="AO2" s="312">
        <v>1</v>
      </c>
      <c r="AP2" s="312"/>
      <c r="AQ2" s="312" t="s">
        <v>1733</v>
      </c>
      <c r="AR2" s="312"/>
      <c r="AS2" s="313" t="s">
        <v>1738</v>
      </c>
      <c r="AT2" s="312">
        <v>16</v>
      </c>
      <c r="AU2" s="312"/>
      <c r="AV2" s="312">
        <v>8</v>
      </c>
      <c r="AW2" s="312"/>
      <c r="AX2" s="312">
        <v>4</v>
      </c>
      <c r="AY2" s="312"/>
      <c r="AZ2" s="312">
        <v>2</v>
      </c>
      <c r="BA2" s="312"/>
      <c r="BB2" s="312">
        <v>1</v>
      </c>
      <c r="BC2" s="312"/>
      <c r="BD2" s="312" t="s">
        <v>1733</v>
      </c>
      <c r="BE2" s="312"/>
      <c r="BF2" s="313" t="s">
        <v>1739</v>
      </c>
      <c r="BG2" s="312">
        <v>32</v>
      </c>
      <c r="BH2" s="312"/>
      <c r="BI2" s="312">
        <v>16</v>
      </c>
      <c r="BJ2" s="312"/>
      <c r="BK2" s="312">
        <v>8</v>
      </c>
      <c r="BL2" s="312"/>
      <c r="BM2" s="312">
        <v>4</v>
      </c>
      <c r="BN2" s="312"/>
      <c r="BO2" s="312">
        <v>2</v>
      </c>
      <c r="BP2" s="312"/>
      <c r="BQ2" s="312">
        <v>1</v>
      </c>
      <c r="BR2" s="312" t="s">
        <v>1733</v>
      </c>
      <c r="BS2" s="312"/>
    </row>
    <row r="3" spans="1:71">
      <c r="A3" s="176">
        <f t="shared" ref="A3:A34" ca="1" si="0">E3+F3</f>
        <v>1</v>
      </c>
      <c r="B3" s="315" t="str">
        <f t="shared" ref="B3:B34" ca="1" si="1">IF(E3&gt;$G$2," - ",D3)</f>
        <v xml:space="preserve"> -</v>
      </c>
      <c r="C3" s="316" t="str">
        <f ca="1">IF(E3&gt;$G$2,"",Nasazení!B3)</f>
        <v>A1</v>
      </c>
      <c r="D3" s="315" t="str">
        <f ca="1">IF(TYPE(VLOOKUP(C3,Výsledky_skupin!$A$3:$B$130,2,0))&gt;4," -",VLOOKUP(C3,Výsledky_skupin!$A$3:$B$130,2,0))</f>
        <v xml:space="preserve"> -</v>
      </c>
      <c r="E3" s="176">
        <v>1</v>
      </c>
      <c r="F3">
        <f t="shared" ref="F3:F34" ca="1" si="2">IF(OR($E$2=0,$H$2=0),0,IF(E3&gt;$G$2/$H$2,IF($F$2&gt;0,IF(MOD(E3,2)=0,-1,1),0),0))</f>
        <v>0</v>
      </c>
      <c r="I3" s="309" t="str">
        <f ca="1">IF(OR(TRIM(N3)="-",TRIM(N3)="")," ",N3)</f>
        <v xml:space="preserve"> </v>
      </c>
      <c r="L3" s="309" t="str">
        <f ca="1">VLOOKUP($A3,'KO4'!$G$6:$H$7,2,0)</f>
        <v xml:space="preserve"> -</v>
      </c>
      <c r="N3" s="309" t="str">
        <f ca="1">VLOOKUP($A3,'KO4'!$K$6:$L$7,2,0)</f>
        <v xml:space="preserve"> </v>
      </c>
      <c r="W3" s="309" t="str">
        <f ca="1">VLOOKUP($A3,'KO8'!$G$6:$H$15,2,0)</f>
        <v xml:space="preserve"> -</v>
      </c>
      <c r="X3" s="310">
        <f ca="1">VLOOKUP($A3,'KO8'!$G$6:$I$15,3,0)</f>
        <v>0</v>
      </c>
      <c r="Y3" s="309" t="str">
        <f ca="1">VLOOKUP($A3,'KO8'!$K$10:$L$11,2,0)</f>
        <v xml:space="preserve"> -</v>
      </c>
      <c r="Z3" s="310">
        <f ca="1">VLOOKUP($A3,'KO8'!$K$10:$M$11,3,0)</f>
        <v>0</v>
      </c>
      <c r="AA3" s="309" t="str">
        <f ca="1">VLOOKUP($A3,'KO8'!$O$10:$P$11,2,0)</f>
        <v xml:space="preserve"> </v>
      </c>
      <c r="AI3" s="309" t="str">
        <f ca="1">VLOOKUP($A3,'KO16'!$G$6:$H$31,2,0)</f>
        <v xml:space="preserve"> - </v>
      </c>
      <c r="AJ3" s="310">
        <f ca="1">VLOOKUP($A3,'KO16'!$G$6:$I$31,3,0)</f>
        <v>0</v>
      </c>
      <c r="AK3" s="309" t="str">
        <f ca="1">VLOOKUP($A3,'KO16'!$K$10:$L$27,2,0)</f>
        <v xml:space="preserve"> -</v>
      </c>
      <c r="AL3" s="310">
        <f ca="1">VLOOKUP($A3,'KO16'!$K$10:$M$27,3,0)</f>
        <v>0</v>
      </c>
      <c r="AM3" s="309" t="str">
        <f ca="1">VLOOKUP($A3,'KO16'!$O$18:$P$19,2,0)</f>
        <v xml:space="preserve"> -</v>
      </c>
      <c r="AN3" s="310">
        <f ca="1">VLOOKUP($A3,'KO16'!$O$18:$Q$19,3,0)</f>
        <v>0</v>
      </c>
      <c r="AO3" s="309" t="str">
        <f ca="1">VLOOKUP($A3,'KO16'!$S$18:$T$19,2,0)</f>
        <v xml:space="preserve"> </v>
      </c>
      <c r="AT3" s="309" t="str">
        <f ca="1">VLOOKUP($A3,'KO32'!$G$6:$H$63,2,0)</f>
        <v xml:space="preserve"> - </v>
      </c>
      <c r="AU3" s="310">
        <f ca="1">VLOOKUP($A3,'KO32'!$G$6:$I$63,3,0)</f>
        <v>0</v>
      </c>
      <c r="AV3" s="309" t="str">
        <f ca="1">VLOOKUP($A3,'KO32'!$K$10:$L$59,2,0)</f>
        <v xml:space="preserve"> - </v>
      </c>
      <c r="AW3" s="310">
        <f ca="1">VLOOKUP($A3,'KO32'!$K$10:$M$59,3,0)</f>
        <v>0</v>
      </c>
      <c r="AX3" s="309" t="str">
        <f ca="1">VLOOKUP($A3,'KO32'!$O$18:$P$51,2,0)</f>
        <v xml:space="preserve"> -</v>
      </c>
      <c r="AY3" s="310">
        <f ca="1">VLOOKUP($A3,'KO32'!$O$18:$Q$51,3,0)</f>
        <v>0</v>
      </c>
      <c r="AZ3" s="309" t="str">
        <f ca="1">VLOOKUP($A3,'KO32'!$S$34:$T$35,2,0)</f>
        <v xml:space="preserve"> -</v>
      </c>
      <c r="BA3" s="310">
        <f ca="1">VLOOKUP($A3,'KO32'!$S$34:$U$35,3,0)</f>
        <v>0</v>
      </c>
      <c r="BB3" s="309" t="str">
        <f ca="1">VLOOKUP($A3,'KO32'!$W$34:$X$35,2,0)</f>
        <v xml:space="preserve"> </v>
      </c>
      <c r="BG3" s="309" t="str">
        <f ca="1">VLOOKUP($A3,'KO64'!$G$6:$H$127,2,0)</f>
        <v xml:space="preserve"> - </v>
      </c>
      <c r="BH3" s="310">
        <f ca="1">VLOOKUP($A3,'KO64'!$G$6:$I$127,3,0)</f>
        <v>0</v>
      </c>
      <c r="BI3" s="309" t="str">
        <f ca="1">VLOOKUP($A3,'KO64'!$K$10:$L$123,2,0)</f>
        <v xml:space="preserve"> - </v>
      </c>
      <c r="BJ3" s="310">
        <f ca="1">VLOOKUP($A3,'KO64'!$K$10:$M$123,3,0)</f>
        <v>0</v>
      </c>
      <c r="BK3" s="309" t="str">
        <f ca="1">VLOOKUP($A3,'KO64'!$O$18:$P$115,2,0)</f>
        <v xml:space="preserve"> - </v>
      </c>
      <c r="BL3" s="310">
        <f ca="1">VLOOKUP($A3,'KO64'!$O$18:$Q$115,3,0)</f>
        <v>0</v>
      </c>
      <c r="BM3" s="309" t="str">
        <f ca="1">VLOOKUP($A3,'KO64'!$S$34:$T$99,2,0)</f>
        <v xml:space="preserve"> -</v>
      </c>
      <c r="BN3" s="310">
        <f ca="1">VLOOKUP($A3,'KO64'!$S$34:$U$99,3,0)</f>
        <v>0</v>
      </c>
      <c r="BO3" s="309" t="str">
        <f ca="1">VLOOKUP($A3,'KO64'!$W$66:$X$67,2,0)</f>
        <v xml:space="preserve"> -</v>
      </c>
      <c r="BP3" s="310">
        <f ca="1">VLOOKUP($A3,'KO64'!$W$66:$Y$67,3,0)</f>
        <v>0</v>
      </c>
      <c r="BQ3" s="309" t="str">
        <f ca="1">VLOOKUP($A3,'KO64'!$AA$66:$AB$67,2,0)</f>
        <v xml:space="preserve"> </v>
      </c>
    </row>
    <row r="4" spans="1:71">
      <c r="A4" s="176">
        <f t="shared" ca="1" si="0"/>
        <v>2</v>
      </c>
      <c r="B4" s="315" t="str">
        <f t="shared" ca="1" si="1"/>
        <v xml:space="preserve"> -</v>
      </c>
      <c r="C4" s="316" t="str">
        <f ca="1">IF(E4&gt;$G$2,"",Nasazení!B4)</f>
        <v>B1</v>
      </c>
      <c r="D4" s="315" t="str">
        <f ca="1">IF(TYPE(VLOOKUP(C4,Výsledky_skupin!$A$3:$B$130,2,0))&gt;4," -",VLOOKUP(C4,Výsledky_skupin!$A$3:$B$130,2,0))</f>
        <v xml:space="preserve"> -</v>
      </c>
      <c r="E4" s="176">
        <v>2</v>
      </c>
      <c r="F4">
        <f t="shared" ca="1" si="2"/>
        <v>0</v>
      </c>
      <c r="I4" s="309" t="str">
        <f ca="1">IF(OR(TRIM(N4)="-",TRIM(N4)="")," ",N4)</f>
        <v xml:space="preserve"> </v>
      </c>
      <c r="L4" s="309" t="str">
        <f ca="1">VLOOKUP($A4,'KO4'!$G$6:$H$7,2,0)</f>
        <v xml:space="preserve"> -</v>
      </c>
      <c r="N4" s="309" t="str">
        <f ca="1">VLOOKUP($A4,'KO4'!$K$6:$L$7,2,0)</f>
        <v xml:space="preserve"> </v>
      </c>
      <c r="W4" s="309" t="str">
        <f ca="1">VLOOKUP($A4,'KO8'!$G$6:$H$15,2,0)</f>
        <v xml:space="preserve"> -</v>
      </c>
      <c r="X4" s="310">
        <f ca="1">VLOOKUP($A4,'KO8'!$G$6:$I$15,3,0)</f>
        <v>0</v>
      </c>
      <c r="Y4" s="309" t="str">
        <f ca="1">VLOOKUP($A4,'KO8'!$K$10:$L$11,2,0)</f>
        <v xml:space="preserve"> -</v>
      </c>
      <c r="Z4" s="310">
        <f ca="1">VLOOKUP($A4,'KO8'!$K$10:$M$11,3,0)</f>
        <v>0</v>
      </c>
      <c r="AA4" s="309" t="str">
        <f ca="1">VLOOKUP($A4,'KO8'!$O$10:$P$11,2,0)</f>
        <v xml:space="preserve"> </v>
      </c>
      <c r="AI4" s="309" t="str">
        <f ca="1">VLOOKUP($A4,'KO16'!$G$6:$H$31,2,0)</f>
        <v xml:space="preserve"> -</v>
      </c>
      <c r="AJ4" s="310">
        <f ca="1">VLOOKUP($A4,'KO16'!$G$6:$I$31,3,0)</f>
        <v>0</v>
      </c>
      <c r="AK4" s="309" t="str">
        <f ca="1">VLOOKUP($A4,'KO16'!$K$10:$L$27,2,0)</f>
        <v xml:space="preserve"> -</v>
      </c>
      <c r="AL4" s="310">
        <f ca="1">VLOOKUP($A4,'KO16'!$K$10:$M$27,3,0)</f>
        <v>0</v>
      </c>
      <c r="AM4" s="309" t="str">
        <f ca="1">VLOOKUP($A4,'KO16'!$O$18:$P$19,2,0)</f>
        <v xml:space="preserve"> -</v>
      </c>
      <c r="AN4" s="310">
        <f ca="1">VLOOKUP($A4,'KO16'!$O$18:$Q$19,3,0)</f>
        <v>0</v>
      </c>
      <c r="AO4" s="309" t="str">
        <f ca="1">VLOOKUP($A4,'KO16'!$S$18:$T$19,2,0)</f>
        <v xml:space="preserve"> </v>
      </c>
      <c r="AT4" s="309" t="str">
        <f ca="1">VLOOKUP($A4,'KO32'!$G$6:$H$63,2,0)</f>
        <v xml:space="preserve"> -</v>
      </c>
      <c r="AU4" s="310">
        <f ca="1">VLOOKUP($A4,'KO32'!$G$6:$I$63,3,0)</f>
        <v>0</v>
      </c>
      <c r="AV4" s="309" t="str">
        <f ca="1">VLOOKUP($A4,'KO32'!$K$10:$L$59,2,0)</f>
        <v xml:space="preserve"> -</v>
      </c>
      <c r="AW4" s="310">
        <f ca="1">VLOOKUP($A4,'KO32'!$K$10:$M$59,3,0)</f>
        <v>0</v>
      </c>
      <c r="AX4" s="309" t="str">
        <f ca="1">VLOOKUP($A4,'KO32'!$O$18:$P$51,2,0)</f>
        <v xml:space="preserve"> -</v>
      </c>
      <c r="AY4" s="310">
        <f ca="1">VLOOKUP($A4,'KO32'!$O$18:$Q$51,3,0)</f>
        <v>0</v>
      </c>
      <c r="AZ4" s="309" t="str">
        <f ca="1">VLOOKUP($A4,'KO32'!$S$34:$T$35,2,0)</f>
        <v xml:space="preserve"> -</v>
      </c>
      <c r="BA4" s="310">
        <f ca="1">VLOOKUP($A4,'KO32'!$S$34:$U$35,3,0)</f>
        <v>0</v>
      </c>
      <c r="BB4" s="309" t="str">
        <f ca="1">VLOOKUP($A4,'KO32'!$W$34:$X$35,2,0)</f>
        <v xml:space="preserve"> </v>
      </c>
      <c r="BG4" s="309" t="str">
        <f ca="1">VLOOKUP($A4,'KO64'!$G$6:$H$127,2,0)</f>
        <v xml:space="preserve"> -</v>
      </c>
      <c r="BH4" s="310">
        <f ca="1">VLOOKUP($A4,'KO64'!$G$6:$I$127,3,0)</f>
        <v>0</v>
      </c>
      <c r="BI4" s="309" t="str">
        <f ca="1">VLOOKUP($A4,'KO64'!$K$10:$L$123,2,0)</f>
        <v xml:space="preserve"> -</v>
      </c>
      <c r="BJ4" s="310">
        <f ca="1">VLOOKUP($A4,'KO64'!$K$10:$M$123,3,0)</f>
        <v>0</v>
      </c>
      <c r="BK4" s="309" t="str">
        <f ca="1">VLOOKUP($A4,'KO64'!$O$18:$P$115,2,0)</f>
        <v xml:space="preserve"> -</v>
      </c>
      <c r="BL4" s="310">
        <f ca="1">VLOOKUP($A4,'KO64'!$O$18:$Q$115,3,0)</f>
        <v>0</v>
      </c>
      <c r="BM4" s="309" t="str">
        <f ca="1">VLOOKUP($A4,'KO64'!$S$34:$T$99,2,0)</f>
        <v xml:space="preserve"> -</v>
      </c>
      <c r="BN4" s="310">
        <f ca="1">VLOOKUP($A4,'KO64'!$S$34:$U$99,3,0)</f>
        <v>0</v>
      </c>
      <c r="BO4" s="309" t="str">
        <f ca="1">VLOOKUP($A4,'KO64'!$W$66:$X$67,2,0)</f>
        <v xml:space="preserve"> -</v>
      </c>
      <c r="BP4" s="310">
        <f ca="1">VLOOKUP($A4,'KO64'!$W$66:$Y$67,3,0)</f>
        <v>0</v>
      </c>
      <c r="BQ4" s="309" t="str">
        <f ca="1">VLOOKUP($A4,'KO64'!$AA$66:$AB$67,2,0)</f>
        <v xml:space="preserve"> </v>
      </c>
    </row>
    <row r="5" spans="1:71">
      <c r="A5" s="176">
        <f t="shared" ca="1" si="0"/>
        <v>3</v>
      </c>
      <c r="B5" s="315" t="str">
        <f t="shared" ca="1" si="1"/>
        <v xml:space="preserve"> -</v>
      </c>
      <c r="C5" s="316" t="str">
        <f ca="1">IF(E5&gt;$G$2,"",Nasazení!B5)</f>
        <v>C1</v>
      </c>
      <c r="D5" s="315" t="str">
        <f ca="1">IF(TYPE(VLOOKUP(C5,Výsledky_skupin!$A$3:$B$130,2,0))&gt;4," -",VLOOKUP(C5,Výsledky_skupin!$A$3:$B$130,2,0))</f>
        <v xml:space="preserve"> -</v>
      </c>
      <c r="E5" s="176">
        <v>3</v>
      </c>
      <c r="F5">
        <f t="shared" ca="1" si="2"/>
        <v>0</v>
      </c>
      <c r="I5" s="309" t="str">
        <f ca="1">IF(OR(TRIM(P5)="-",TRIM(P5)="")," ",P5)</f>
        <v xml:space="preserve"> </v>
      </c>
      <c r="P5" s="309" t="str">
        <f ca="1">VLOOKUP($A5,'KO4'!$K$16:$L$17,2,0)</f>
        <v xml:space="preserve"> </v>
      </c>
      <c r="W5" s="309" t="str">
        <f ca="1">VLOOKUP($A5,'KO8'!$G$6:$H$15,2,0)</f>
        <v xml:space="preserve"> -</v>
      </c>
      <c r="X5" s="310">
        <f ca="1">VLOOKUP($A5,'KO8'!$G$6:$I$15,3,0)</f>
        <v>0</v>
      </c>
      <c r="Y5" s="309" t="str">
        <f ca="1">VLOOKUP($A5,'KO8'!$K$10:$L$21,2,0)</f>
        <v xml:space="preserve"> -</v>
      </c>
      <c r="Z5" s="310">
        <f ca="1">VLOOKUP($A5,'KO8'!$K$10:$M$21,3,0)</f>
        <v>0</v>
      </c>
      <c r="AA5" s="309" t="str">
        <f ca="1">VLOOKUP($A5,'KO8'!$O$10:$P$21,2,0)</f>
        <v xml:space="preserve"> </v>
      </c>
      <c r="AC5" s="309" t="str">
        <f ca="1">VLOOKUP($A5,'KO8'!$O$20:$P$21,2,0)</f>
        <v xml:space="preserve"> </v>
      </c>
      <c r="AI5" s="309" t="str">
        <f ca="1">VLOOKUP($A5,'KO16'!$G$6:$H$31,2,0)</f>
        <v xml:space="preserve"> - </v>
      </c>
      <c r="AJ5" s="310">
        <f ca="1">VLOOKUP($A5,'KO16'!$G$6:$I$31,3,0)</f>
        <v>0</v>
      </c>
      <c r="AK5" s="309" t="str">
        <f ca="1">VLOOKUP($A5,'KO16'!$K$10:$L$27,2,0)</f>
        <v xml:space="preserve"> -</v>
      </c>
      <c r="AL5" s="310">
        <f ca="1">VLOOKUP($A5,'KO16'!$K$10:$M$27,3,0)</f>
        <v>0</v>
      </c>
      <c r="AM5" s="309" t="str">
        <f ca="1">VLOOKUP($A5,'KO16'!$O$18:$P$33,2,0)</f>
        <v xml:space="preserve"> -</v>
      </c>
      <c r="AN5" s="310">
        <f ca="1">VLOOKUP($A5,'KO16'!$O$18:$Q$33,3,0)</f>
        <v>0</v>
      </c>
      <c r="AQ5" s="309" t="str">
        <f ca="1">VLOOKUP($A5,'KO16'!$S$32:$T$33,2,0)</f>
        <v xml:space="preserve"> </v>
      </c>
      <c r="AT5" s="309" t="str">
        <f ca="1">VLOOKUP($A5,'KO32'!$G$6:$H$63,2,0)</f>
        <v xml:space="preserve"> - </v>
      </c>
      <c r="AU5" s="310">
        <f ca="1">VLOOKUP($A5,'KO32'!$G$6:$I$63,3,0)</f>
        <v>0</v>
      </c>
      <c r="AV5" s="309" t="str">
        <f ca="1">VLOOKUP($A5,'KO32'!$K$10:$L$59,2,0)</f>
        <v xml:space="preserve"> - </v>
      </c>
      <c r="AW5" s="310">
        <f ca="1">VLOOKUP($A5,'KO32'!$K$10:$M$59,3,0)</f>
        <v>0</v>
      </c>
      <c r="AX5" s="309" t="str">
        <f ca="1">VLOOKUP($A5,'KO32'!$O$18:$P$51,2,0)</f>
        <v xml:space="preserve"> -</v>
      </c>
      <c r="AY5" s="310">
        <f ca="1">VLOOKUP($A5,'KO32'!$O$18:$Q$51,3,0)</f>
        <v>0</v>
      </c>
      <c r="AZ5" s="309" t="str">
        <f ca="1">VLOOKUP($A5,'KO32'!$S$34:$T$57,2,0)</f>
        <v xml:space="preserve"> -</v>
      </c>
      <c r="BA5" s="310">
        <f ca="1">VLOOKUP($A5,'KO32'!$S$34:$U$57,3,0)</f>
        <v>0</v>
      </c>
      <c r="BD5" s="309" t="str">
        <f ca="1">VLOOKUP($A5,'KO32'!$W$56:$X$57,2,0)</f>
        <v xml:space="preserve"> </v>
      </c>
      <c r="BG5" s="309" t="str">
        <f ca="1">VLOOKUP($A5,'KO64'!$G$6:$H$127,2,0)</f>
        <v xml:space="preserve"> - </v>
      </c>
      <c r="BH5" s="310">
        <f ca="1">VLOOKUP($A5,'KO64'!$G$6:$I$127,3,0)</f>
        <v>0</v>
      </c>
      <c r="BI5" s="309" t="str">
        <f ca="1">VLOOKUP($A5,'KO64'!$K$10:$L$123,2,0)</f>
        <v xml:space="preserve"> - </v>
      </c>
      <c r="BJ5" s="310">
        <f ca="1">VLOOKUP($A5,'KO64'!$K$10:$M$123,3,0)</f>
        <v>0</v>
      </c>
      <c r="BK5" s="309" t="str">
        <f ca="1">VLOOKUP($A5,'KO64'!$O$18:$P$115,2,0)</f>
        <v xml:space="preserve"> - </v>
      </c>
      <c r="BL5" s="310">
        <f ca="1">VLOOKUP($A5,'KO64'!$O$18:$Q$115,3,0)</f>
        <v>0</v>
      </c>
      <c r="BM5" s="309" t="str">
        <f ca="1">VLOOKUP($A5,'KO64'!$S$34:$T$99,2,0)</f>
        <v xml:space="preserve"> -</v>
      </c>
      <c r="BN5" s="310">
        <f ca="1">VLOOKUP($A5,'KO64'!$S$34:$U$99,3,0)</f>
        <v>0</v>
      </c>
      <c r="BO5" s="309" t="str">
        <f ca="1">VLOOKUP($A5,'KO64'!$W$66:$X$107,2,0)</f>
        <v xml:space="preserve"> -</v>
      </c>
      <c r="BP5" s="310">
        <f ca="1">VLOOKUP($A5,'KO64'!$W$66:$Y$107,3,0)</f>
        <v>0</v>
      </c>
      <c r="BR5" s="309" t="str">
        <f ca="1">VLOOKUP($A5,'KO64'!$AA$106:$AB$107,2,0)</f>
        <v xml:space="preserve"> </v>
      </c>
    </row>
    <row r="6" spans="1:71">
      <c r="A6" s="176">
        <f t="shared" ca="1" si="0"/>
        <v>4</v>
      </c>
      <c r="B6" s="315" t="str">
        <f t="shared" ca="1" si="1"/>
        <v xml:space="preserve"> -</v>
      </c>
      <c r="C6" s="316" t="str">
        <f ca="1">IF(E6&gt;$G$2,"",Nasazení!B6)</f>
        <v>D1</v>
      </c>
      <c r="D6" s="315" t="str">
        <f ca="1">IF(TYPE(VLOOKUP(C6,Výsledky_skupin!$A$3:$B$130,2,0))&gt;4," -",VLOOKUP(C6,Výsledky_skupin!$A$3:$B$130,2,0))</f>
        <v xml:space="preserve"> -</v>
      </c>
      <c r="E6" s="176">
        <v>4</v>
      </c>
      <c r="F6">
        <f t="shared" ca="1" si="2"/>
        <v>0</v>
      </c>
      <c r="I6" s="309" t="str">
        <f ca="1">IF(OR(TRIM(P6)="-",TRIM(P6)="")," ",P6)</f>
        <v xml:space="preserve"> </v>
      </c>
      <c r="P6" s="309" t="str">
        <f ca="1">VLOOKUP($A6,'KO4'!$K$16:$L$17,2,0)</f>
        <v xml:space="preserve"> </v>
      </c>
      <c r="W6" s="309" t="str">
        <f ca="1">VLOOKUP($A6,'KO8'!$G$6:$H$15,2,0)</f>
        <v xml:space="preserve"> -</v>
      </c>
      <c r="X6" s="310">
        <f ca="1">VLOOKUP($A6,'KO8'!$G$6:$I$15,3,0)</f>
        <v>0</v>
      </c>
      <c r="Y6" s="309" t="str">
        <f ca="1">VLOOKUP($A6,'KO8'!$K$10:$L$21,2,0)</f>
        <v xml:space="preserve"> -</v>
      </c>
      <c r="Z6" s="310">
        <f ca="1">VLOOKUP($A6,'KO8'!$K$10:$M$21,3,0)</f>
        <v>0</v>
      </c>
      <c r="AA6" s="309" t="str">
        <f ca="1">VLOOKUP($A6,'KO8'!$O$10:$P$21,2,0)</f>
        <v xml:space="preserve"> </v>
      </c>
      <c r="AC6" s="309" t="str">
        <f ca="1">VLOOKUP($A6,'KO8'!$O$20:$P$21,2,0)</f>
        <v xml:space="preserve"> </v>
      </c>
      <c r="AI6" s="309" t="str">
        <f ca="1">VLOOKUP($A6,'KO16'!$G$6:$H$31,2,0)</f>
        <v xml:space="preserve"> -</v>
      </c>
      <c r="AJ6" s="310">
        <f ca="1">VLOOKUP($A6,'KO16'!$G$6:$I$31,3,0)</f>
        <v>0</v>
      </c>
      <c r="AK6" s="309" t="str">
        <f ca="1">VLOOKUP($A6,'KO16'!$K$10:$L$27,2,0)</f>
        <v xml:space="preserve"> -</v>
      </c>
      <c r="AL6" s="310">
        <f ca="1">VLOOKUP($A6,'KO16'!$K$10:$M$27,3,0)</f>
        <v>0</v>
      </c>
      <c r="AM6" s="309" t="str">
        <f ca="1">VLOOKUP($A6,'KO16'!$O$18:$P$33,2,0)</f>
        <v xml:space="preserve"> -</v>
      </c>
      <c r="AN6" s="310">
        <f ca="1">VLOOKUP($A6,'KO16'!$O$18:$Q$33,3,0)</f>
        <v>0</v>
      </c>
      <c r="AQ6" s="309" t="str">
        <f ca="1">VLOOKUP($A6,'KO16'!$S$32:$T$33,2,0)</f>
        <v xml:space="preserve"> </v>
      </c>
      <c r="AT6" s="309" t="str">
        <f ca="1">VLOOKUP($A6,'KO32'!$G$6:$H$63,2,0)</f>
        <v xml:space="preserve"> -</v>
      </c>
      <c r="AU6" s="310">
        <f ca="1">VLOOKUP($A6,'KO32'!$G$6:$I$63,3,0)</f>
        <v>0</v>
      </c>
      <c r="AV6" s="309" t="str">
        <f ca="1">VLOOKUP($A6,'KO32'!$K$10:$L$59,2,0)</f>
        <v xml:space="preserve"> -</v>
      </c>
      <c r="AW6" s="310">
        <f ca="1">VLOOKUP($A6,'KO32'!$K$10:$M$59,3,0)</f>
        <v>0</v>
      </c>
      <c r="AX6" s="309" t="str">
        <f ca="1">VLOOKUP($A6,'KO32'!$O$18:$P$51,2,0)</f>
        <v xml:space="preserve"> -</v>
      </c>
      <c r="AY6" s="310">
        <f ca="1">VLOOKUP($A6,'KO32'!$O$18:$Q$51,3,0)</f>
        <v>0</v>
      </c>
      <c r="AZ6" s="309" t="str">
        <f ca="1">VLOOKUP($A6,'KO32'!$S$34:$T$57,2,0)</f>
        <v xml:space="preserve"> -</v>
      </c>
      <c r="BA6" s="310">
        <f ca="1">VLOOKUP($A6,'KO32'!$S$34:$U$57,3,0)</f>
        <v>0</v>
      </c>
      <c r="BD6" s="309" t="str">
        <f ca="1">VLOOKUP($A6,'KO32'!$W$56:$X$57,2,0)</f>
        <v xml:space="preserve"> -</v>
      </c>
      <c r="BG6" s="309" t="str">
        <f ca="1">VLOOKUP($A6,'KO64'!$G$6:$H$127,2,0)</f>
        <v xml:space="preserve"> -</v>
      </c>
      <c r="BH6" s="310">
        <f ca="1">VLOOKUP($A6,'KO64'!$G$6:$I$127,3,0)</f>
        <v>0</v>
      </c>
      <c r="BI6" s="309" t="str">
        <f ca="1">VLOOKUP($A6,'KO64'!$K$10:$L$123,2,0)</f>
        <v xml:space="preserve"> -</v>
      </c>
      <c r="BJ6" s="310">
        <f ca="1">VLOOKUP($A6,'KO64'!$K$10:$M$123,3,0)</f>
        <v>0</v>
      </c>
      <c r="BK6" s="309" t="str">
        <f ca="1">VLOOKUP($A6,'KO64'!$O$18:$P$115,2,0)</f>
        <v xml:space="preserve"> -</v>
      </c>
      <c r="BL6" s="310">
        <f ca="1">VLOOKUP($A6,'KO64'!$O$18:$Q$115,3,0)</f>
        <v>0</v>
      </c>
      <c r="BM6" s="309" t="str">
        <f ca="1">VLOOKUP($A6,'KO64'!$S$34:$T$99,2,0)</f>
        <v xml:space="preserve"> -</v>
      </c>
      <c r="BN6" s="310">
        <f ca="1">VLOOKUP($A6,'KO64'!$S$34:$U$99,3,0)</f>
        <v>0</v>
      </c>
      <c r="BO6" s="309" t="str">
        <f ca="1">VLOOKUP($A6,'KO64'!$W$66:$X$107,2,0)</f>
        <v xml:space="preserve"> -</v>
      </c>
      <c r="BP6" s="310">
        <f ca="1">VLOOKUP($A6,'KO64'!$W$66:$Y$107,3,0)</f>
        <v>0</v>
      </c>
      <c r="BR6" s="309" t="str">
        <f ca="1">VLOOKUP($A6,'KO64'!$AA$106:$AB$107,2,0)</f>
        <v xml:space="preserve"> </v>
      </c>
    </row>
    <row r="7" spans="1:71">
      <c r="A7" s="176">
        <f t="shared" ca="1" si="0"/>
        <v>6</v>
      </c>
      <c r="B7" s="315" t="str">
        <f t="shared" ca="1" si="1"/>
        <v xml:space="preserve"> -</v>
      </c>
      <c r="C7" s="316" t="str">
        <f ca="1">IF(E7&gt;$G$2,"",Nasazení!B7)</f>
        <v>D2</v>
      </c>
      <c r="D7" s="315" t="str">
        <f ca="1">IF(TYPE(VLOOKUP(C7,Výsledky_skupin!$A$3:$B$130,2,0))&gt;4," -",VLOOKUP(C7,Výsledky_skupin!$A$3:$B$130,2,0))</f>
        <v xml:space="preserve"> -</v>
      </c>
      <c r="E7" s="176">
        <v>5</v>
      </c>
      <c r="F7">
        <f t="shared" ca="1" si="2"/>
        <v>1</v>
      </c>
      <c r="I7" s="309" t="str">
        <f ca="1">IF(OR(TRIM(S7)="-",TRIM(S7)="")," ",S7)</f>
        <v xml:space="preserve"> </v>
      </c>
      <c r="S7" s="309" t="str">
        <f ca="1">VLOOKUP($A7,'Dohrávka_5-8'!$K$6:$L$13,2,0)</f>
        <v xml:space="preserve"> </v>
      </c>
      <c r="AI7" s="309" t="str">
        <f ca="1">VLOOKUP($A7,'KO16'!$G$6:$H$31,2,0)</f>
        <v xml:space="preserve"> -</v>
      </c>
      <c r="AJ7" s="310">
        <f ca="1">VLOOKUP($A7,'KO16'!$G$6:$I$31,3,0)</f>
        <v>0</v>
      </c>
      <c r="AT7" s="309" t="str">
        <f ca="1">VLOOKUP($A7,'KO32'!$G$6:$H$63,2,0)</f>
        <v xml:space="preserve"> -</v>
      </c>
      <c r="AU7" s="310">
        <f ca="1">VLOOKUP($A7,'KO32'!$G$6:$I$63,3,0)</f>
        <v>0</v>
      </c>
      <c r="AV7" s="309" t="str">
        <f ca="1">VLOOKUP($A7,'KO32'!$K$10:$L$59,2,0)</f>
        <v xml:space="preserve"> -</v>
      </c>
      <c r="AW7" s="310">
        <f ca="1">VLOOKUP($A7,'KO32'!$K$10:$M$59,3,0)</f>
        <v>0</v>
      </c>
      <c r="BG7" s="309" t="str">
        <f ca="1">VLOOKUP($A7,'KO64'!$G$6:$H$127,2,0)</f>
        <v xml:space="preserve"> -</v>
      </c>
      <c r="BH7" s="310">
        <f ca="1">VLOOKUP($A7,'KO64'!$G$6:$I$127,3,0)</f>
        <v>0</v>
      </c>
      <c r="BI7" s="309" t="str">
        <f ca="1">VLOOKUP($A7,'KO64'!$K$10:$L$123,2,0)</f>
        <v xml:space="preserve"> -</v>
      </c>
      <c r="BJ7" s="310">
        <f ca="1">VLOOKUP($A7,'KO64'!$K$10:$M$123,3,0)</f>
        <v>0</v>
      </c>
      <c r="BK7" s="309" t="str">
        <f ca="1">VLOOKUP($A7,'KO64'!$O$18:$P$115,2,0)</f>
        <v xml:space="preserve"> -</v>
      </c>
      <c r="BL7" s="310">
        <f ca="1">VLOOKUP($A7,'KO64'!$O$18:$Q$115,3,0)</f>
        <v>0</v>
      </c>
    </row>
    <row r="8" spans="1:71">
      <c r="A8" s="176">
        <f t="shared" ca="1" si="0"/>
        <v>5</v>
      </c>
      <c r="B8" s="315" t="str">
        <f t="shared" ca="1" si="1"/>
        <v xml:space="preserve"> -</v>
      </c>
      <c r="C8" s="316" t="str">
        <f ca="1">IF(E8&gt;$G$2,"",Nasazení!B8)</f>
        <v>C2</v>
      </c>
      <c r="D8" s="315" t="str">
        <f ca="1">IF(TYPE(VLOOKUP(C8,Výsledky_skupin!$A$3:$B$130,2,0))&gt;4," -",VLOOKUP(C8,Výsledky_skupin!$A$3:$B$130,2,0))</f>
        <v xml:space="preserve"> -</v>
      </c>
      <c r="E8" s="176">
        <v>6</v>
      </c>
      <c r="F8">
        <f t="shared" ca="1" si="2"/>
        <v>-1</v>
      </c>
      <c r="I8" s="309" t="str">
        <f ca="1">IF(OR(TRIM(S8)="-",TRIM(S8)="")," ",S8)</f>
        <v xml:space="preserve"> </v>
      </c>
      <c r="S8" s="309" t="str">
        <f ca="1">VLOOKUP($A8,'Dohrávka_5-8'!$K$6:$L$13,2,0)</f>
        <v xml:space="preserve"> </v>
      </c>
      <c r="AI8" s="309" t="str">
        <f ca="1">VLOOKUP($A8,'KO16'!$G$6:$H$31,2,0)</f>
        <v xml:space="preserve"> - </v>
      </c>
      <c r="AJ8" s="310">
        <f ca="1">VLOOKUP($A8,'KO16'!$G$6:$I$31,3,0)</f>
        <v>0</v>
      </c>
      <c r="AT8" s="309" t="str">
        <f ca="1">VLOOKUP($A8,'KO32'!$G$6:$H$63,2,0)</f>
        <v xml:space="preserve"> - </v>
      </c>
      <c r="AU8" s="310">
        <f ca="1">VLOOKUP($A8,'KO32'!$G$6:$I$63,3,0)</f>
        <v>0</v>
      </c>
      <c r="AV8" s="309" t="str">
        <f ca="1">VLOOKUP($A8,'KO32'!$K$10:$L$59,2,0)</f>
        <v xml:space="preserve"> - </v>
      </c>
      <c r="AW8" s="310">
        <f ca="1">VLOOKUP($A8,'KO32'!$K$10:$M$59,3,0)</f>
        <v>0</v>
      </c>
      <c r="BG8" s="309" t="str">
        <f ca="1">VLOOKUP($A8,'KO64'!$G$6:$H$127,2,0)</f>
        <v xml:space="preserve"> - </v>
      </c>
      <c r="BH8" s="310">
        <f ca="1">VLOOKUP($A8,'KO64'!$G$6:$I$127,3,0)</f>
        <v>0</v>
      </c>
      <c r="BI8" s="309" t="str">
        <f ca="1">VLOOKUP($A8,'KO64'!$K$10:$L$123,2,0)</f>
        <v xml:space="preserve"> - </v>
      </c>
      <c r="BJ8" s="310">
        <f ca="1">VLOOKUP($A8,'KO64'!$K$10:$M$123,3,0)</f>
        <v>0</v>
      </c>
      <c r="BK8" s="309" t="str">
        <f ca="1">VLOOKUP($A8,'KO64'!$O$18:$P$115,2,0)</f>
        <v xml:space="preserve"> - </v>
      </c>
      <c r="BL8" s="310">
        <f ca="1">VLOOKUP($A8,'KO64'!$O$18:$Q$115,3,0)</f>
        <v>0</v>
      </c>
    </row>
    <row r="9" spans="1:71">
      <c r="A9" s="176">
        <f t="shared" ca="1" si="0"/>
        <v>8</v>
      </c>
      <c r="B9" s="315" t="str">
        <f t="shared" ca="1" si="1"/>
        <v xml:space="preserve"> -</v>
      </c>
      <c r="C9" s="316" t="str">
        <f ca="1">IF(E9&gt;$G$2,"",Nasazení!B9)</f>
        <v>B2</v>
      </c>
      <c r="D9" s="315" t="str">
        <f ca="1">IF(TYPE(VLOOKUP(C9,Výsledky_skupin!$A$3:$B$130,2,0))&gt;4," -",VLOOKUP(C9,Výsledky_skupin!$A$3:$B$130,2,0))</f>
        <v xml:space="preserve"> -</v>
      </c>
      <c r="E9" s="176">
        <v>7</v>
      </c>
      <c r="F9">
        <f t="shared" ca="1" si="2"/>
        <v>1</v>
      </c>
      <c r="I9" s="309" t="str">
        <f ca="1">IF(OR(TRIM(S9)="-",TRIM(S9)="")," ",S9)</f>
        <v xml:space="preserve"> </v>
      </c>
      <c r="S9" s="309" t="str">
        <f ca="1">VLOOKUP($A9,'Dohrávka_5-8'!$K$6:$L$13,2,0)</f>
        <v xml:space="preserve"> </v>
      </c>
      <c r="AI9" s="309" t="str">
        <f ca="1">VLOOKUP($A9,'KO16'!$G$6:$H$31,2,0)</f>
        <v xml:space="preserve"> -</v>
      </c>
      <c r="AJ9" s="310">
        <f ca="1">VLOOKUP($A9,'KO16'!$G$6:$I$31,3,0)</f>
        <v>0</v>
      </c>
      <c r="AT9" s="309" t="str">
        <f ca="1">VLOOKUP($A9,'KO32'!$G$6:$H$63,2,0)</f>
        <v xml:space="preserve"> -</v>
      </c>
      <c r="AU9" s="310">
        <f ca="1">VLOOKUP($A9,'KO32'!$G$6:$I$63,3,0)</f>
        <v>0</v>
      </c>
      <c r="AV9" s="309" t="str">
        <f ca="1">VLOOKUP($A9,'KO32'!$K$10:$L$59,2,0)</f>
        <v xml:space="preserve"> -</v>
      </c>
      <c r="AW9" s="310">
        <f ca="1">VLOOKUP($A9,'KO32'!$K$10:$M$59,3,0)</f>
        <v>0</v>
      </c>
      <c r="BG9" s="309" t="str">
        <f ca="1">VLOOKUP($A9,'KO64'!$G$6:$H$127,2,0)</f>
        <v xml:space="preserve"> -</v>
      </c>
      <c r="BH9" s="310">
        <f ca="1">VLOOKUP($A9,'KO64'!$G$6:$I$127,3,0)</f>
        <v>0</v>
      </c>
      <c r="BI9" s="309" t="str">
        <f ca="1">VLOOKUP($A9,'KO64'!$K$10:$L$123,2,0)</f>
        <v xml:space="preserve"> -</v>
      </c>
      <c r="BJ9" s="310">
        <f ca="1">VLOOKUP($A9,'KO64'!$K$10:$M$123,3,0)</f>
        <v>0</v>
      </c>
      <c r="BK9" s="309" t="str">
        <f ca="1">VLOOKUP($A9,'KO64'!$O$18:$P$115,2,0)</f>
        <v xml:space="preserve"> -</v>
      </c>
      <c r="BL9" s="310">
        <f ca="1">VLOOKUP($A9,'KO64'!$O$18:$Q$115,3,0)</f>
        <v>0</v>
      </c>
    </row>
    <row r="10" spans="1:71">
      <c r="A10" s="176">
        <f t="shared" ca="1" si="0"/>
        <v>7</v>
      </c>
      <c r="B10" s="315" t="str">
        <f t="shared" ca="1" si="1"/>
        <v xml:space="preserve"> -</v>
      </c>
      <c r="C10" s="316" t="str">
        <f ca="1">IF(E10&gt;$G$2,"",Nasazení!B10)</f>
        <v>A2</v>
      </c>
      <c r="D10" s="315" t="str">
        <f ca="1">IF(TYPE(VLOOKUP(C10,Výsledky_skupin!$A$3:$B$130,2,0))&gt;4," -",VLOOKUP(C10,Výsledky_skupin!$A$3:$B$130,2,0))</f>
        <v xml:space="preserve"> -</v>
      </c>
      <c r="E10" s="176">
        <v>8</v>
      </c>
      <c r="F10">
        <f t="shared" ca="1" si="2"/>
        <v>-1</v>
      </c>
      <c r="I10" s="309" t="str">
        <f ca="1">IF(OR(TRIM(S10)="-",TRIM(S10)="")," ",S10)</f>
        <v xml:space="preserve"> </v>
      </c>
      <c r="S10" s="309" t="str">
        <f ca="1">VLOOKUP($A10,'Dohrávka_5-8'!$K$6:$L$13,2,0)</f>
        <v xml:space="preserve"> </v>
      </c>
      <c r="AI10" s="309" t="str">
        <f ca="1">VLOOKUP($A10,'KO16'!$G$6:$H$31,2,0)</f>
        <v xml:space="preserve"> - </v>
      </c>
      <c r="AJ10" s="310">
        <f ca="1">VLOOKUP($A10,'KO16'!$G$6:$I$31,3,0)</f>
        <v>0</v>
      </c>
      <c r="AT10" s="309" t="str">
        <f ca="1">VLOOKUP($A10,'KO32'!$G$6:$H$63,2,0)</f>
        <v xml:space="preserve"> - </v>
      </c>
      <c r="AU10" s="310">
        <f ca="1">VLOOKUP($A10,'KO32'!$G$6:$I$63,3,0)</f>
        <v>0</v>
      </c>
      <c r="AV10" s="309" t="str">
        <f ca="1">VLOOKUP($A10,'KO32'!$K$10:$L$59,2,0)</f>
        <v xml:space="preserve"> - </v>
      </c>
      <c r="AW10" s="310">
        <f ca="1">VLOOKUP($A10,'KO32'!$K$10:$M$59,3,0)</f>
        <v>0</v>
      </c>
      <c r="BG10" s="309" t="str">
        <f ca="1">VLOOKUP($A10,'KO64'!$G$6:$H$127,2,0)</f>
        <v xml:space="preserve"> - </v>
      </c>
      <c r="BH10" s="310">
        <f ca="1">VLOOKUP($A10,'KO64'!$G$6:$I$127,3,0)</f>
        <v>0</v>
      </c>
      <c r="BI10" s="309" t="str">
        <f ca="1">VLOOKUP($A10,'KO64'!$K$10:$L$123,2,0)</f>
        <v xml:space="preserve"> - </v>
      </c>
      <c r="BJ10" s="310">
        <f ca="1">VLOOKUP($A10,'KO64'!$K$10:$M$123,3,0)</f>
        <v>0</v>
      </c>
      <c r="BK10" s="309" t="str">
        <f ca="1">VLOOKUP($A10,'KO64'!$O$18:$P$115,2,0)</f>
        <v xml:space="preserve"> - </v>
      </c>
      <c r="BL10" s="310">
        <f ca="1">VLOOKUP($A10,'KO64'!$O$18:$Q$115,3,0)</f>
        <v>0</v>
      </c>
    </row>
    <row r="11" spans="1:71">
      <c r="A11" s="176">
        <f t="shared" ca="1" si="0"/>
        <v>10</v>
      </c>
      <c r="B11" s="315" t="str">
        <f t="shared" ca="1" si="1"/>
        <v xml:space="preserve"> - </v>
      </c>
      <c r="C11" s="316" t="str">
        <f ca="1">IF(E11&gt;$G$2,"",Nasazení!B11)</f>
        <v/>
      </c>
      <c r="D11" s="315" t="str">
        <f ca="1">IF(TYPE(VLOOKUP(C11,Výsledky_skupin!$A$3:$B$130,2,0))&gt;4," -",VLOOKUP(C11,Výsledky_skupin!$A$3:$B$130,2,0))</f>
        <v/>
      </c>
      <c r="E11" s="176">
        <v>9</v>
      </c>
      <c r="F11">
        <f t="shared" ca="1" si="2"/>
        <v>1</v>
      </c>
      <c r="I11" s="309" t="str">
        <f t="shared" ref="I11:I18" ca="1" si="3">IF(OR(TRIM(AE11)="-",TRIM(AE11)="")," ",AE11)</f>
        <v xml:space="preserve"> </v>
      </c>
      <c r="AE11" s="309" t="str">
        <f ca="1">VLOOKUP($A11,'Dohrávka_9-16'!$O$10:$P$35,2,0)</f>
        <v xml:space="preserve"> </v>
      </c>
      <c r="AT11" s="309" t="str">
        <f ca="1">VLOOKUP($A11,'KO32'!$G$6:$H$63,2,0)</f>
        <v xml:space="preserve"> - </v>
      </c>
      <c r="AU11" s="310">
        <f ca="1">VLOOKUP($A11,'KO32'!$G$6:$I$63,3,0)</f>
        <v>0</v>
      </c>
      <c r="BG11" s="309" t="str">
        <f ca="1">VLOOKUP($A11,'KO64'!$G$6:$H$127,2,0)</f>
        <v xml:space="preserve"> - </v>
      </c>
      <c r="BH11" s="310">
        <f ca="1">VLOOKUP($A11,'KO64'!$G$6:$I$127,3,0)</f>
        <v>0</v>
      </c>
      <c r="BI11" s="309" t="str">
        <f ca="1">VLOOKUP($A11,'KO64'!$K$10:$L$123,2,0)</f>
        <v xml:space="preserve"> - </v>
      </c>
      <c r="BJ11" s="310">
        <f ca="1">VLOOKUP($A11,'KO64'!$K$10:$M$123,3,0)</f>
        <v>0</v>
      </c>
    </row>
    <row r="12" spans="1:71">
      <c r="A12" s="176">
        <f t="shared" ca="1" si="0"/>
        <v>9</v>
      </c>
      <c r="B12" s="315" t="str">
        <f t="shared" ca="1" si="1"/>
        <v xml:space="preserve"> - </v>
      </c>
      <c r="C12" s="316" t="str">
        <f ca="1">IF(E12&gt;$G$2,"",Nasazení!B12)</f>
        <v/>
      </c>
      <c r="D12" s="315" t="str">
        <f ca="1">IF(TYPE(VLOOKUP(C12,Výsledky_skupin!$A$3:$B$130,2,0))&gt;4," -",VLOOKUP(C12,Výsledky_skupin!$A$3:$B$130,2,0))</f>
        <v/>
      </c>
      <c r="E12" s="176">
        <v>10</v>
      </c>
      <c r="F12">
        <f t="shared" ca="1" si="2"/>
        <v>-1</v>
      </c>
      <c r="I12" s="309" t="str">
        <f t="shared" ca="1" si="3"/>
        <v xml:space="preserve"> </v>
      </c>
      <c r="AE12" s="309" t="str">
        <f ca="1">VLOOKUP($A12,'Dohrávka_9-16'!$O$10:$P$35,2,0)</f>
        <v xml:space="preserve"> </v>
      </c>
      <c r="AT12" s="309" t="str">
        <f ca="1">VLOOKUP($A12,'KO32'!$G$6:$H$63,2,0)</f>
        <v xml:space="preserve"> - </v>
      </c>
      <c r="AU12" s="310">
        <f ca="1">VLOOKUP($A12,'KO32'!$G$6:$I$63,3,0)</f>
        <v>0</v>
      </c>
      <c r="BG12" s="309" t="str">
        <f ca="1">VLOOKUP($A12,'KO64'!$G$6:$H$127,2,0)</f>
        <v xml:space="preserve"> - </v>
      </c>
      <c r="BH12" s="310">
        <f ca="1">VLOOKUP($A12,'KO64'!$G$6:$I$127,3,0)</f>
        <v>0</v>
      </c>
      <c r="BI12" s="309" t="str">
        <f ca="1">VLOOKUP($A12,'KO64'!$K$10:$L$123,2,0)</f>
        <v xml:space="preserve"> - </v>
      </c>
      <c r="BJ12" s="310">
        <f ca="1">VLOOKUP($A12,'KO64'!$K$10:$M$123,3,0)</f>
        <v>0</v>
      </c>
    </row>
    <row r="13" spans="1:71">
      <c r="A13" s="176">
        <f t="shared" ca="1" si="0"/>
        <v>12</v>
      </c>
      <c r="B13" s="315" t="str">
        <f t="shared" ca="1" si="1"/>
        <v xml:space="preserve"> - </v>
      </c>
      <c r="C13" s="316" t="str">
        <f ca="1">IF(E13&gt;$G$2,"",Nasazení!B13)</f>
        <v/>
      </c>
      <c r="D13" s="315" t="str">
        <f ca="1">IF(TYPE(VLOOKUP(C13,Výsledky_skupin!$A$3:$B$130,2,0))&gt;4," -",VLOOKUP(C13,Výsledky_skupin!$A$3:$B$130,2,0))</f>
        <v/>
      </c>
      <c r="E13" s="176">
        <v>11</v>
      </c>
      <c r="F13">
        <f t="shared" ca="1" si="2"/>
        <v>1</v>
      </c>
      <c r="I13" s="309" t="str">
        <f t="shared" ca="1" si="3"/>
        <v xml:space="preserve"> </v>
      </c>
      <c r="AE13" s="309" t="str">
        <f ca="1">VLOOKUP($A13,'Dohrávka_9-16'!$O$10:$P$35,2,0)</f>
        <v xml:space="preserve"> </v>
      </c>
      <c r="AT13" s="309" t="str">
        <f ca="1">VLOOKUP($A13,'KO32'!$G$6:$H$63,2,0)</f>
        <v xml:space="preserve"> - </v>
      </c>
      <c r="AU13" s="310">
        <f ca="1">VLOOKUP($A13,'KO32'!$G$6:$I$63,3,0)</f>
        <v>0</v>
      </c>
      <c r="BG13" s="309" t="str">
        <f ca="1">VLOOKUP($A13,'KO64'!$G$6:$H$127,2,0)</f>
        <v xml:space="preserve"> - </v>
      </c>
      <c r="BH13" s="310">
        <f ca="1">VLOOKUP($A13,'KO64'!$G$6:$I$127,3,0)</f>
        <v>0</v>
      </c>
      <c r="BI13" s="309" t="str">
        <f ca="1">VLOOKUP($A13,'KO64'!$K$10:$L$123,2,0)</f>
        <v xml:space="preserve"> - </v>
      </c>
      <c r="BJ13" s="310">
        <f ca="1">VLOOKUP($A13,'KO64'!$K$10:$M$123,3,0)</f>
        <v>0</v>
      </c>
    </row>
    <row r="14" spans="1:71">
      <c r="A14" s="176">
        <f t="shared" ca="1" si="0"/>
        <v>11</v>
      </c>
      <c r="B14" s="315" t="str">
        <f t="shared" ca="1" si="1"/>
        <v xml:space="preserve"> - </v>
      </c>
      <c r="C14" s="316" t="str">
        <f ca="1">IF(E14&gt;$G$2,"",Nasazení!B14)</f>
        <v/>
      </c>
      <c r="D14" s="315" t="str">
        <f ca="1">IF(TYPE(VLOOKUP(C14,Výsledky_skupin!$A$3:$B$130,2,0))&gt;4," -",VLOOKUP(C14,Výsledky_skupin!$A$3:$B$130,2,0))</f>
        <v/>
      </c>
      <c r="E14" s="176">
        <v>12</v>
      </c>
      <c r="F14">
        <f t="shared" ca="1" si="2"/>
        <v>-1</v>
      </c>
      <c r="I14" s="309" t="str">
        <f t="shared" ca="1" si="3"/>
        <v xml:space="preserve"> </v>
      </c>
      <c r="AE14" s="309" t="str">
        <f ca="1">VLOOKUP($A14,'Dohrávka_9-16'!$O$10:$P$35,2,0)</f>
        <v xml:space="preserve"> </v>
      </c>
      <c r="AT14" s="309" t="str">
        <f ca="1">VLOOKUP($A14,'KO32'!$G$6:$H$63,2,0)</f>
        <v xml:space="preserve"> - </v>
      </c>
      <c r="AU14" s="310">
        <f ca="1">VLOOKUP($A14,'KO32'!$G$6:$I$63,3,0)</f>
        <v>0</v>
      </c>
      <c r="BG14" s="309" t="str">
        <f ca="1">VLOOKUP($A14,'KO64'!$G$6:$H$127,2,0)</f>
        <v xml:space="preserve"> - </v>
      </c>
      <c r="BH14" s="310">
        <f ca="1">VLOOKUP($A14,'KO64'!$G$6:$I$127,3,0)</f>
        <v>0</v>
      </c>
      <c r="BI14" s="309" t="str">
        <f ca="1">VLOOKUP($A14,'KO64'!$K$10:$L$123,2,0)</f>
        <v xml:space="preserve"> - </v>
      </c>
      <c r="BJ14" s="310">
        <f ca="1">VLOOKUP($A14,'KO64'!$K$10:$M$123,3,0)</f>
        <v>0</v>
      </c>
    </row>
    <row r="15" spans="1:71">
      <c r="A15" s="176">
        <f t="shared" ca="1" si="0"/>
        <v>14</v>
      </c>
      <c r="B15" s="315" t="str">
        <f t="shared" ca="1" si="1"/>
        <v xml:space="preserve"> - </v>
      </c>
      <c r="C15" s="316" t="str">
        <f ca="1">IF(E15&gt;$G$2,"",Nasazení!B15)</f>
        <v/>
      </c>
      <c r="D15" s="315" t="str">
        <f ca="1">IF(TYPE(VLOOKUP(C15,Výsledky_skupin!$A$3:$B$130,2,0))&gt;4," -",VLOOKUP(C15,Výsledky_skupin!$A$3:$B$130,2,0))</f>
        <v/>
      </c>
      <c r="E15" s="176">
        <v>13</v>
      </c>
      <c r="F15">
        <f t="shared" ca="1" si="2"/>
        <v>1</v>
      </c>
      <c r="I15" s="309" t="str">
        <f t="shared" ca="1" si="3"/>
        <v xml:space="preserve"> </v>
      </c>
      <c r="AE15" s="309" t="str">
        <f ca="1">VLOOKUP($A15,'Dohrávka_9-16'!$O$10:$P$35,2,0)</f>
        <v xml:space="preserve"> </v>
      </c>
      <c r="AT15" s="309" t="str">
        <f ca="1">VLOOKUP($A15,'KO32'!$G$6:$H$63,2,0)</f>
        <v xml:space="preserve"> - </v>
      </c>
      <c r="AU15" s="310">
        <f ca="1">VLOOKUP($A15,'KO32'!$G$6:$I$63,3,0)</f>
        <v>0</v>
      </c>
      <c r="BG15" s="309" t="str">
        <f ca="1">VLOOKUP($A15,'KO64'!$G$6:$H$127,2,0)</f>
        <v xml:space="preserve"> - </v>
      </c>
      <c r="BH15" s="310">
        <f ca="1">VLOOKUP($A15,'KO64'!$G$6:$I$127,3,0)</f>
        <v>0</v>
      </c>
      <c r="BI15" s="309" t="str">
        <f ca="1">VLOOKUP($A15,'KO64'!$K$10:$L$123,2,0)</f>
        <v xml:space="preserve"> - </v>
      </c>
      <c r="BJ15" s="310">
        <f ca="1">VLOOKUP($A15,'KO64'!$K$10:$M$123,3,0)</f>
        <v>0</v>
      </c>
    </row>
    <row r="16" spans="1:71">
      <c r="A16" s="176">
        <f t="shared" ca="1" si="0"/>
        <v>13</v>
      </c>
      <c r="B16" s="315" t="str">
        <f t="shared" ca="1" si="1"/>
        <v xml:space="preserve"> - </v>
      </c>
      <c r="C16" s="316" t="str">
        <f ca="1">IF(E16&gt;$G$2,"",Nasazení!B16)</f>
        <v/>
      </c>
      <c r="D16" s="315" t="str">
        <f ca="1">IF(TYPE(VLOOKUP(C16,Výsledky_skupin!$A$3:$B$130,2,0))&gt;4," -",VLOOKUP(C16,Výsledky_skupin!$A$3:$B$130,2,0))</f>
        <v/>
      </c>
      <c r="E16" s="176">
        <v>14</v>
      </c>
      <c r="F16">
        <f t="shared" ca="1" si="2"/>
        <v>-1</v>
      </c>
      <c r="I16" s="309" t="str">
        <f t="shared" ca="1" si="3"/>
        <v xml:space="preserve"> </v>
      </c>
      <c r="AE16" s="309" t="str">
        <f ca="1">VLOOKUP($A16,'Dohrávka_9-16'!$O$10:$P$35,2,0)</f>
        <v xml:space="preserve"> </v>
      </c>
      <c r="AT16" s="309" t="str">
        <f ca="1">VLOOKUP($A16,'KO32'!$G$6:$H$63,2,0)</f>
        <v xml:space="preserve"> - </v>
      </c>
      <c r="AU16" s="310">
        <f ca="1">VLOOKUP($A16,'KO32'!$G$6:$I$63,3,0)</f>
        <v>0</v>
      </c>
      <c r="BG16" s="309" t="str">
        <f ca="1">VLOOKUP($A16,'KO64'!$G$6:$H$127,2,0)</f>
        <v xml:space="preserve"> - </v>
      </c>
      <c r="BH16" s="310">
        <f ca="1">VLOOKUP($A16,'KO64'!$G$6:$I$127,3,0)</f>
        <v>0</v>
      </c>
      <c r="BI16" s="309" t="str">
        <f ca="1">VLOOKUP($A16,'KO64'!$K$10:$L$123,2,0)</f>
        <v xml:space="preserve"> - </v>
      </c>
      <c r="BJ16" s="310">
        <f ca="1">VLOOKUP($A16,'KO64'!$K$10:$M$123,3,0)</f>
        <v>0</v>
      </c>
    </row>
    <row r="17" spans="1:62">
      <c r="A17" s="176">
        <f t="shared" ca="1" si="0"/>
        <v>16</v>
      </c>
      <c r="B17" s="315" t="str">
        <f t="shared" ca="1" si="1"/>
        <v xml:space="preserve"> - </v>
      </c>
      <c r="C17" s="316" t="str">
        <f ca="1">IF(E17&gt;$G$2,"",Nasazení!B17)</f>
        <v/>
      </c>
      <c r="D17" s="315" t="str">
        <f ca="1">IF(TYPE(VLOOKUP(C17,Výsledky_skupin!$A$3:$B$130,2,0))&gt;4," -",VLOOKUP(C17,Výsledky_skupin!$A$3:$B$130,2,0))</f>
        <v/>
      </c>
      <c r="E17" s="176">
        <v>15</v>
      </c>
      <c r="F17">
        <f t="shared" ca="1" si="2"/>
        <v>1</v>
      </c>
      <c r="I17" s="309" t="str">
        <f t="shared" ca="1" si="3"/>
        <v xml:space="preserve"> </v>
      </c>
      <c r="AE17" s="309" t="str">
        <f ca="1">VLOOKUP($A17,'Dohrávka_9-16'!$O$10:$P$35,2,0)</f>
        <v xml:space="preserve"> </v>
      </c>
      <c r="AT17" s="309" t="str">
        <f ca="1">VLOOKUP($A17,'KO32'!$G$6:$H$63,2,0)</f>
        <v xml:space="preserve"> - </v>
      </c>
      <c r="AU17" s="310">
        <f ca="1">VLOOKUP($A17,'KO32'!$G$6:$I$63,3,0)</f>
        <v>0</v>
      </c>
      <c r="BG17" s="309" t="str">
        <f ca="1">VLOOKUP($A17,'KO64'!$G$6:$H$127,2,0)</f>
        <v xml:space="preserve"> - </v>
      </c>
      <c r="BH17" s="310">
        <f ca="1">VLOOKUP($A17,'KO64'!$G$6:$I$127,3,0)</f>
        <v>0</v>
      </c>
      <c r="BI17" s="309" t="str">
        <f ca="1">VLOOKUP($A17,'KO64'!$K$10:$L$123,2,0)</f>
        <v xml:space="preserve"> - </v>
      </c>
      <c r="BJ17" s="310">
        <f ca="1">VLOOKUP($A17,'KO64'!$K$10:$M$123,3,0)</f>
        <v>0</v>
      </c>
    </row>
    <row r="18" spans="1:62">
      <c r="A18" s="176">
        <f t="shared" ca="1" si="0"/>
        <v>15</v>
      </c>
      <c r="B18" s="315" t="str">
        <f t="shared" ca="1" si="1"/>
        <v xml:space="preserve"> - </v>
      </c>
      <c r="C18" s="316" t="str">
        <f ca="1">IF(E18&gt;$G$2,"",Nasazení!B18)</f>
        <v/>
      </c>
      <c r="D18" s="315" t="str">
        <f ca="1">IF(TYPE(VLOOKUP(C18,Výsledky_skupin!$A$3:$B$130,2,0))&gt;4," -",VLOOKUP(C18,Výsledky_skupin!$A$3:$B$130,2,0))</f>
        <v/>
      </c>
      <c r="E18" s="176">
        <v>16</v>
      </c>
      <c r="F18">
        <f t="shared" ca="1" si="2"/>
        <v>-1</v>
      </c>
      <c r="I18" s="309" t="str">
        <f t="shared" ca="1" si="3"/>
        <v xml:space="preserve"> </v>
      </c>
      <c r="AE18" s="309" t="str">
        <f ca="1">VLOOKUP($A18,'Dohrávka_9-16'!$O$10:$P$35,2,0)</f>
        <v xml:space="preserve"> </v>
      </c>
      <c r="AT18" s="309" t="str">
        <f ca="1">VLOOKUP($A18,'KO32'!$G$6:$H$63,2,0)</f>
        <v xml:space="preserve"> - </v>
      </c>
      <c r="AU18" s="310">
        <f ca="1">VLOOKUP($A18,'KO32'!$G$6:$I$63,3,0)</f>
        <v>0</v>
      </c>
      <c r="BG18" s="309" t="str">
        <f ca="1">VLOOKUP($A18,'KO64'!$G$6:$H$127,2,0)</f>
        <v xml:space="preserve"> - </v>
      </c>
      <c r="BH18" s="310">
        <f ca="1">VLOOKUP($A18,'KO64'!$G$6:$I$127,3,0)</f>
        <v>0</v>
      </c>
      <c r="BI18" s="309" t="str">
        <f ca="1">VLOOKUP($A18,'KO64'!$K$10:$L$123,2,0)</f>
        <v xml:space="preserve"> - </v>
      </c>
      <c r="BJ18" s="310">
        <f ca="1">VLOOKUP($A18,'KO64'!$K$10:$M$123,3,0)</f>
        <v>0</v>
      </c>
    </row>
    <row r="19" spans="1:62">
      <c r="A19" s="176">
        <f t="shared" ca="1" si="0"/>
        <v>18</v>
      </c>
      <c r="B19" s="315" t="str">
        <f t="shared" ca="1" si="1"/>
        <v xml:space="preserve"> - </v>
      </c>
      <c r="C19" s="316" t="str">
        <f ca="1">IF(E19&gt;$G$2,"",Nasazení!B19)</f>
        <v/>
      </c>
      <c r="D19" s="315" t="str">
        <f ca="1">IF(TYPE(VLOOKUP(C19,Výsledky_skupin!$A$3:$B$130,2,0))&gt;4," -",VLOOKUP(C19,Výsledky_skupin!$A$3:$B$130,2,0))</f>
        <v/>
      </c>
      <c r="E19" s="176">
        <v>17</v>
      </c>
      <c r="F19">
        <f t="shared" ca="1" si="2"/>
        <v>1</v>
      </c>
      <c r="BG19" s="309" t="str">
        <f ca="1">VLOOKUP($A19,'KO64'!$G$6:$H$127,2,0)</f>
        <v xml:space="preserve"> - </v>
      </c>
      <c r="BH19" s="310">
        <f ca="1">VLOOKUP($A19,'KO64'!$G$6:$I$127,3,0)</f>
        <v>0</v>
      </c>
    </row>
    <row r="20" spans="1:62">
      <c r="A20" s="176">
        <f t="shared" ca="1" si="0"/>
        <v>17</v>
      </c>
      <c r="B20" s="315" t="str">
        <f t="shared" ca="1" si="1"/>
        <v xml:space="preserve"> - </v>
      </c>
      <c r="C20" s="316" t="str">
        <f ca="1">IF(E20&gt;$G$2,"",Nasazení!B20)</f>
        <v/>
      </c>
      <c r="D20" s="315" t="str">
        <f ca="1">IF(TYPE(VLOOKUP(C20,Výsledky_skupin!$A$3:$B$130,2,0))&gt;4," -",VLOOKUP(C20,Výsledky_skupin!$A$3:$B$130,2,0))</f>
        <v/>
      </c>
      <c r="E20" s="176">
        <v>18</v>
      </c>
      <c r="F20">
        <f t="shared" ca="1" si="2"/>
        <v>-1</v>
      </c>
      <c r="BG20" s="309" t="str">
        <f ca="1">VLOOKUP($A20,'KO64'!$G$6:$H$127,2,0)</f>
        <v xml:space="preserve"> - </v>
      </c>
      <c r="BH20" s="310">
        <f ca="1">VLOOKUP($A20,'KO64'!$G$6:$I$127,3,0)</f>
        <v>0</v>
      </c>
    </row>
    <row r="21" spans="1:62">
      <c r="A21" s="176">
        <f t="shared" ca="1" si="0"/>
        <v>20</v>
      </c>
      <c r="B21" s="315" t="str">
        <f t="shared" ca="1" si="1"/>
        <v xml:space="preserve"> - </v>
      </c>
      <c r="C21" s="316" t="str">
        <f ca="1">IF(E21&gt;$G$2,"",Nasazení!B21)</f>
        <v/>
      </c>
      <c r="D21" s="315" t="str">
        <f ca="1">IF(TYPE(VLOOKUP(C21,Výsledky_skupin!$A$3:$B$130,2,0))&gt;4," -",VLOOKUP(C21,Výsledky_skupin!$A$3:$B$130,2,0))</f>
        <v/>
      </c>
      <c r="E21" s="176">
        <v>19</v>
      </c>
      <c r="F21">
        <f t="shared" ca="1" si="2"/>
        <v>1</v>
      </c>
      <c r="BG21" s="309" t="str">
        <f ca="1">VLOOKUP($A21,'KO64'!$G$6:$H$127,2,0)</f>
        <v xml:space="preserve"> - </v>
      </c>
      <c r="BH21" s="310">
        <f ca="1">VLOOKUP($A21,'KO64'!$G$6:$I$127,3,0)</f>
        <v>0</v>
      </c>
    </row>
    <row r="22" spans="1:62">
      <c r="A22" s="176">
        <f t="shared" ca="1" si="0"/>
        <v>19</v>
      </c>
      <c r="B22" s="315" t="str">
        <f t="shared" ca="1" si="1"/>
        <v xml:space="preserve"> - </v>
      </c>
      <c r="C22" s="316" t="str">
        <f ca="1">IF(E22&gt;$G$2,"",Nasazení!B22)</f>
        <v/>
      </c>
      <c r="D22" s="315" t="str">
        <f ca="1">IF(TYPE(VLOOKUP(C22,Výsledky_skupin!$A$3:$B$130,2,0))&gt;4," -",VLOOKUP(C22,Výsledky_skupin!$A$3:$B$130,2,0))</f>
        <v/>
      </c>
      <c r="E22" s="176">
        <v>20</v>
      </c>
      <c r="F22">
        <f t="shared" ca="1" si="2"/>
        <v>-1</v>
      </c>
      <c r="BG22" s="309" t="str">
        <f ca="1">VLOOKUP($A22,'KO64'!$G$6:$H$127,2,0)</f>
        <v xml:space="preserve"> - </v>
      </c>
      <c r="BH22" s="310">
        <f ca="1">VLOOKUP($A22,'KO64'!$G$6:$I$127,3,0)</f>
        <v>0</v>
      </c>
    </row>
    <row r="23" spans="1:62">
      <c r="A23" s="176">
        <f t="shared" ca="1" si="0"/>
        <v>22</v>
      </c>
      <c r="B23" s="315" t="str">
        <f t="shared" ca="1" si="1"/>
        <v xml:space="preserve"> - </v>
      </c>
      <c r="C23" s="316" t="str">
        <f ca="1">IF(E23&gt;$G$2,"",Nasazení!B23)</f>
        <v/>
      </c>
      <c r="D23" s="315" t="str">
        <f ca="1">IF(TYPE(VLOOKUP(C23,Výsledky_skupin!$A$3:$B$130,2,0))&gt;4," -",VLOOKUP(C23,Výsledky_skupin!$A$3:$B$130,2,0))</f>
        <v/>
      </c>
      <c r="E23" s="176">
        <v>21</v>
      </c>
      <c r="F23">
        <f t="shared" ca="1" si="2"/>
        <v>1</v>
      </c>
      <c r="BG23" s="309" t="str">
        <f ca="1">VLOOKUP($A23,'KO64'!$G$6:$H$127,2,0)</f>
        <v xml:space="preserve"> - </v>
      </c>
      <c r="BH23" s="310">
        <f ca="1">VLOOKUP($A23,'KO64'!$G$6:$I$127,3,0)</f>
        <v>0</v>
      </c>
    </row>
    <row r="24" spans="1:62">
      <c r="A24" s="176">
        <f t="shared" ca="1" si="0"/>
        <v>21</v>
      </c>
      <c r="B24" s="315" t="str">
        <f t="shared" ca="1" si="1"/>
        <v xml:space="preserve"> - </v>
      </c>
      <c r="C24" s="316" t="str">
        <f ca="1">IF(E24&gt;$G$2,"",Nasazení!B24)</f>
        <v/>
      </c>
      <c r="D24" s="315" t="str">
        <f ca="1">IF(TYPE(VLOOKUP(C24,Výsledky_skupin!$A$3:$B$130,2,0))&gt;4," -",VLOOKUP(C24,Výsledky_skupin!$A$3:$B$130,2,0))</f>
        <v/>
      </c>
      <c r="E24" s="176">
        <v>22</v>
      </c>
      <c r="F24">
        <f t="shared" ca="1" si="2"/>
        <v>-1</v>
      </c>
      <c r="BG24" s="309" t="str">
        <f ca="1">VLOOKUP($A24,'KO64'!$G$6:$H$127,2,0)</f>
        <v xml:space="preserve"> - </v>
      </c>
      <c r="BH24" s="310">
        <f ca="1">VLOOKUP($A24,'KO64'!$G$6:$I$127,3,0)</f>
        <v>0</v>
      </c>
    </row>
    <row r="25" spans="1:62">
      <c r="A25" s="176">
        <f t="shared" ca="1" si="0"/>
        <v>24</v>
      </c>
      <c r="B25" s="315" t="str">
        <f t="shared" ca="1" si="1"/>
        <v xml:space="preserve"> - </v>
      </c>
      <c r="C25" s="316" t="str">
        <f ca="1">IF(E25&gt;$G$2,"",Nasazení!B25)</f>
        <v/>
      </c>
      <c r="D25" s="315" t="str">
        <f ca="1">IF(TYPE(VLOOKUP(C25,Výsledky_skupin!$A$3:$B$130,2,0))&gt;4," -",VLOOKUP(C25,Výsledky_skupin!$A$3:$B$130,2,0))</f>
        <v/>
      </c>
      <c r="E25" s="176">
        <v>23</v>
      </c>
      <c r="F25">
        <f t="shared" ca="1" si="2"/>
        <v>1</v>
      </c>
      <c r="BG25" s="309" t="str">
        <f ca="1">VLOOKUP($A25,'KO64'!$G$6:$H$127,2,0)</f>
        <v xml:space="preserve"> - </v>
      </c>
      <c r="BH25" s="310">
        <f ca="1">VLOOKUP($A25,'KO64'!$G$6:$I$127,3,0)</f>
        <v>0</v>
      </c>
    </row>
    <row r="26" spans="1:62">
      <c r="A26" s="176">
        <f t="shared" ca="1" si="0"/>
        <v>23</v>
      </c>
      <c r="B26" s="315" t="str">
        <f t="shared" ca="1" si="1"/>
        <v xml:space="preserve"> - </v>
      </c>
      <c r="C26" s="316" t="str">
        <f ca="1">IF(E26&gt;$G$2,"",Nasazení!B26)</f>
        <v/>
      </c>
      <c r="D26" s="315" t="str">
        <f ca="1">IF(TYPE(VLOOKUP(C26,Výsledky_skupin!$A$3:$B$130,2,0))&gt;4," -",VLOOKUP(C26,Výsledky_skupin!$A$3:$B$130,2,0))</f>
        <v/>
      </c>
      <c r="E26" s="176">
        <v>24</v>
      </c>
      <c r="F26">
        <f t="shared" ca="1" si="2"/>
        <v>-1</v>
      </c>
      <c r="BG26" s="309" t="str">
        <f ca="1">VLOOKUP($A26,'KO64'!$G$6:$H$127,2,0)</f>
        <v xml:space="preserve"> - </v>
      </c>
      <c r="BH26" s="310">
        <f ca="1">VLOOKUP($A26,'KO64'!$G$6:$I$127,3,0)</f>
        <v>0</v>
      </c>
    </row>
    <row r="27" spans="1:62">
      <c r="A27" s="176">
        <f t="shared" ca="1" si="0"/>
        <v>26</v>
      </c>
      <c r="B27" s="315" t="str">
        <f t="shared" ca="1" si="1"/>
        <v xml:space="preserve"> - </v>
      </c>
      <c r="C27" s="316" t="str">
        <f ca="1">IF(E27&gt;$G$2,"",Nasazení!B27)</f>
        <v/>
      </c>
      <c r="D27" s="315" t="str">
        <f ca="1">IF(TYPE(VLOOKUP(C27,Výsledky_skupin!$A$3:$B$130,2,0))&gt;4," -",VLOOKUP(C27,Výsledky_skupin!$A$3:$B$130,2,0))</f>
        <v/>
      </c>
      <c r="E27" s="176">
        <v>25</v>
      </c>
      <c r="F27">
        <f t="shared" ca="1" si="2"/>
        <v>1</v>
      </c>
      <c r="BG27" s="309" t="str">
        <f ca="1">VLOOKUP($A27,'KO64'!$G$6:$H$127,2,0)</f>
        <v xml:space="preserve"> - </v>
      </c>
      <c r="BH27" s="310">
        <f ca="1">VLOOKUP($A27,'KO64'!$G$6:$I$127,3,0)</f>
        <v>0</v>
      </c>
    </row>
    <row r="28" spans="1:62">
      <c r="A28" s="176">
        <f t="shared" ca="1" si="0"/>
        <v>25</v>
      </c>
      <c r="B28" s="315" t="str">
        <f t="shared" ca="1" si="1"/>
        <v xml:space="preserve"> - </v>
      </c>
      <c r="C28" s="316" t="str">
        <f ca="1">IF(E28&gt;$G$2,"",Nasazení!B28)</f>
        <v/>
      </c>
      <c r="D28" s="315" t="str">
        <f ca="1">IF(TYPE(VLOOKUP(C28,Výsledky_skupin!$A$3:$B$130,2,0))&gt;4," -",VLOOKUP(C28,Výsledky_skupin!$A$3:$B$130,2,0))</f>
        <v/>
      </c>
      <c r="E28" s="176">
        <v>26</v>
      </c>
      <c r="F28">
        <f t="shared" ca="1" si="2"/>
        <v>-1</v>
      </c>
      <c r="BG28" s="309" t="str">
        <f ca="1">VLOOKUP($A28,'KO64'!$G$6:$H$127,2,0)</f>
        <v xml:space="preserve"> - </v>
      </c>
      <c r="BH28" s="310">
        <f ca="1">VLOOKUP($A28,'KO64'!$G$6:$I$127,3,0)</f>
        <v>0</v>
      </c>
    </row>
    <row r="29" spans="1:62">
      <c r="A29" s="176">
        <f t="shared" ca="1" si="0"/>
        <v>28</v>
      </c>
      <c r="B29" s="315" t="str">
        <f t="shared" ca="1" si="1"/>
        <v xml:space="preserve"> - </v>
      </c>
      <c r="C29" s="316" t="str">
        <f ca="1">IF(E29&gt;$G$2,"",Nasazení!B29)</f>
        <v/>
      </c>
      <c r="D29" s="315" t="str">
        <f ca="1">IF(TYPE(VLOOKUP(C29,Výsledky_skupin!$A$3:$B$130,2,0))&gt;4," -",VLOOKUP(C29,Výsledky_skupin!$A$3:$B$130,2,0))</f>
        <v/>
      </c>
      <c r="E29" s="176">
        <v>27</v>
      </c>
      <c r="F29">
        <f t="shared" ca="1" si="2"/>
        <v>1</v>
      </c>
      <c r="BG29" s="309" t="str">
        <f ca="1">VLOOKUP($A29,'KO64'!$G$6:$H$127,2,0)</f>
        <v xml:space="preserve"> - </v>
      </c>
      <c r="BH29" s="310">
        <f ca="1">VLOOKUP($A29,'KO64'!$G$6:$I$127,3,0)</f>
        <v>0</v>
      </c>
    </row>
    <row r="30" spans="1:62">
      <c r="A30" s="176">
        <f t="shared" ca="1" si="0"/>
        <v>27</v>
      </c>
      <c r="B30" s="315" t="str">
        <f t="shared" ca="1" si="1"/>
        <v xml:space="preserve"> - </v>
      </c>
      <c r="C30" s="316" t="str">
        <f ca="1">IF(E30&gt;$G$2,"",Nasazení!B30)</f>
        <v/>
      </c>
      <c r="D30" s="315" t="str">
        <f ca="1">IF(TYPE(VLOOKUP(C30,Výsledky_skupin!$A$3:$B$130,2,0))&gt;4," -",VLOOKUP(C30,Výsledky_skupin!$A$3:$B$130,2,0))</f>
        <v/>
      </c>
      <c r="E30" s="176">
        <v>28</v>
      </c>
      <c r="F30">
        <f t="shared" ca="1" si="2"/>
        <v>-1</v>
      </c>
      <c r="BG30" s="309" t="str">
        <f ca="1">VLOOKUP($A30,'KO64'!$G$6:$H$127,2,0)</f>
        <v xml:space="preserve"> - </v>
      </c>
      <c r="BH30" s="310">
        <f ca="1">VLOOKUP($A30,'KO64'!$G$6:$I$127,3,0)</f>
        <v>0</v>
      </c>
    </row>
    <row r="31" spans="1:62">
      <c r="A31" s="176">
        <f t="shared" ca="1" si="0"/>
        <v>30</v>
      </c>
      <c r="B31" s="315" t="str">
        <f t="shared" ca="1" si="1"/>
        <v xml:space="preserve"> - </v>
      </c>
      <c r="C31" s="316" t="str">
        <f ca="1">IF(E31&gt;$G$2,"",Nasazení!B31)</f>
        <v/>
      </c>
      <c r="D31" s="315" t="str">
        <f ca="1">IF(TYPE(VLOOKUP(C31,Výsledky_skupin!$A$3:$B$130,2,0))&gt;4," -",VLOOKUP(C31,Výsledky_skupin!$A$3:$B$130,2,0))</f>
        <v/>
      </c>
      <c r="E31" s="176">
        <v>29</v>
      </c>
      <c r="F31">
        <f t="shared" ca="1" si="2"/>
        <v>1</v>
      </c>
      <c r="BG31" s="309" t="str">
        <f ca="1">VLOOKUP($A31,'KO64'!$G$6:$H$127,2,0)</f>
        <v xml:space="preserve"> - </v>
      </c>
      <c r="BH31" s="310">
        <f ca="1">VLOOKUP($A31,'KO64'!$G$6:$I$127,3,0)</f>
        <v>0</v>
      </c>
    </row>
    <row r="32" spans="1:62">
      <c r="A32" s="176">
        <f t="shared" ca="1" si="0"/>
        <v>29</v>
      </c>
      <c r="B32" s="315" t="str">
        <f t="shared" ca="1" si="1"/>
        <v xml:space="preserve"> - </v>
      </c>
      <c r="C32" s="316" t="str">
        <f ca="1">IF(E32&gt;$G$2,"",Nasazení!B32)</f>
        <v/>
      </c>
      <c r="D32" s="315" t="str">
        <f ca="1">IF(TYPE(VLOOKUP(C32,Výsledky_skupin!$A$3:$B$130,2,0))&gt;4," -",VLOOKUP(C32,Výsledky_skupin!$A$3:$B$130,2,0))</f>
        <v/>
      </c>
      <c r="E32" s="176">
        <v>30</v>
      </c>
      <c r="F32">
        <f t="shared" ca="1" si="2"/>
        <v>-1</v>
      </c>
      <c r="BG32" s="309" t="str">
        <f ca="1">VLOOKUP($A32,'KO64'!$G$6:$H$127,2,0)</f>
        <v xml:space="preserve"> - </v>
      </c>
      <c r="BH32" s="310">
        <f ca="1">VLOOKUP($A32,'KO64'!$G$6:$I$127,3,0)</f>
        <v>0</v>
      </c>
    </row>
    <row r="33" spans="1:60">
      <c r="A33" s="176">
        <f t="shared" ca="1" si="0"/>
        <v>32</v>
      </c>
      <c r="B33" s="315" t="str">
        <f t="shared" ca="1" si="1"/>
        <v xml:space="preserve"> - </v>
      </c>
      <c r="C33" s="316" t="str">
        <f ca="1">IF(E33&gt;$G$2,"",Nasazení!B33)</f>
        <v/>
      </c>
      <c r="D33" s="315" t="str">
        <f ca="1">IF(TYPE(VLOOKUP(C33,Výsledky_skupin!$A$3:$B$130,2,0))&gt;4," -",VLOOKUP(C33,Výsledky_skupin!$A$3:$B$130,2,0))</f>
        <v/>
      </c>
      <c r="E33" s="176">
        <v>31</v>
      </c>
      <c r="F33">
        <f t="shared" ca="1" si="2"/>
        <v>1</v>
      </c>
      <c r="BG33" s="309" t="str">
        <f ca="1">VLOOKUP($A33,'KO64'!$G$6:$H$127,2,0)</f>
        <v xml:space="preserve"> - </v>
      </c>
      <c r="BH33" s="310">
        <f ca="1">VLOOKUP($A33,'KO64'!$G$6:$I$127,3,0)</f>
        <v>0</v>
      </c>
    </row>
    <row r="34" spans="1:60">
      <c r="A34" s="176">
        <f t="shared" ca="1" si="0"/>
        <v>31</v>
      </c>
      <c r="B34" s="315" t="str">
        <f t="shared" ca="1" si="1"/>
        <v xml:space="preserve"> - </v>
      </c>
      <c r="C34" s="316" t="str">
        <f ca="1">IF(E34&gt;$G$2,"",Nasazení!B34)</f>
        <v/>
      </c>
      <c r="D34" s="315" t="str">
        <f ca="1">IF(TYPE(VLOOKUP(C34,Výsledky_skupin!$A$3:$B$130,2,0))&gt;4," -",VLOOKUP(C34,Výsledky_skupin!$A$3:$B$130,2,0))</f>
        <v/>
      </c>
      <c r="E34" s="176">
        <v>32</v>
      </c>
      <c r="F34">
        <f t="shared" ca="1" si="2"/>
        <v>-1</v>
      </c>
      <c r="BG34" s="309" t="str">
        <f ca="1">VLOOKUP($A34,'KO64'!$G$6:$H$127,2,0)</f>
        <v xml:space="preserve"> - </v>
      </c>
      <c r="BH34" s="310">
        <f ca="1">VLOOKUP($A34,'KO64'!$G$6:$I$127,3,0)</f>
        <v>0</v>
      </c>
    </row>
    <row r="35" spans="1:60">
      <c r="A35" s="176">
        <f t="shared" ref="A35:A66" ca="1" si="4">E35+F35</f>
        <v>34</v>
      </c>
      <c r="B35" s="315" t="str">
        <f t="shared" ref="B35:B66" ca="1" si="5">IF(E35&gt;$G$2," - ",D35)</f>
        <v xml:space="preserve"> - </v>
      </c>
      <c r="C35" s="316" t="str">
        <f ca="1">IF(E35&gt;$G$2,"",Nasazení!B35)</f>
        <v/>
      </c>
      <c r="D35" s="315" t="str">
        <f ca="1">IF(TYPE(VLOOKUP(C35,Výsledky_skupin!$A$3:$B$130,2,0))&gt;4," -",VLOOKUP(C35,Výsledky_skupin!$A$3:$B$130,2,0))</f>
        <v/>
      </c>
      <c r="E35" s="176">
        <v>33</v>
      </c>
      <c r="F35">
        <f t="shared" ref="F35:F66" ca="1" si="6">IF(OR($E$2=0,$H$2=0),0,IF(E35&gt;$G$2/$H$2,IF($F$2&gt;0,IF(MOD(E35,2)=0,-1,1),0),0))</f>
        <v>1</v>
      </c>
    </row>
    <row r="36" spans="1:60">
      <c r="A36" s="176">
        <f t="shared" ca="1" si="4"/>
        <v>33</v>
      </c>
      <c r="B36" s="315" t="str">
        <f t="shared" ca="1" si="5"/>
        <v xml:space="preserve"> - </v>
      </c>
      <c r="C36" s="316" t="str">
        <f ca="1">IF(E36&gt;$G$2,"",Nasazení!B36)</f>
        <v/>
      </c>
      <c r="D36" s="315" t="str">
        <f ca="1">IF(TYPE(VLOOKUP(C36,Výsledky_skupin!$A$3:$B$130,2,0))&gt;4," -",VLOOKUP(C36,Výsledky_skupin!$A$3:$B$130,2,0))</f>
        <v/>
      </c>
      <c r="E36" s="176">
        <v>34</v>
      </c>
      <c r="F36">
        <f t="shared" ca="1" si="6"/>
        <v>-1</v>
      </c>
    </row>
    <row r="37" spans="1:60">
      <c r="A37" s="176">
        <f t="shared" ca="1" si="4"/>
        <v>36</v>
      </c>
      <c r="B37" s="315" t="str">
        <f t="shared" ca="1" si="5"/>
        <v xml:space="preserve"> - </v>
      </c>
      <c r="C37" s="316" t="str">
        <f ca="1">IF(E37&gt;$G$2,"",Nasazení!B37)</f>
        <v/>
      </c>
      <c r="D37" s="315" t="str">
        <f ca="1">IF(TYPE(VLOOKUP(C37,Výsledky_skupin!$A$3:$B$130,2,0))&gt;4," -",VLOOKUP(C37,Výsledky_skupin!$A$3:$B$130,2,0))</f>
        <v/>
      </c>
      <c r="E37" s="176">
        <v>35</v>
      </c>
      <c r="F37">
        <f t="shared" ca="1" si="6"/>
        <v>1</v>
      </c>
    </row>
    <row r="38" spans="1:60">
      <c r="A38" s="176">
        <f t="shared" ca="1" si="4"/>
        <v>35</v>
      </c>
      <c r="B38" s="315" t="str">
        <f t="shared" ca="1" si="5"/>
        <v xml:space="preserve"> - </v>
      </c>
      <c r="C38" s="316" t="str">
        <f ca="1">IF(E38&gt;$G$2,"",Nasazení!B38)</f>
        <v/>
      </c>
      <c r="D38" s="315" t="str">
        <f ca="1">IF(TYPE(VLOOKUP(C38,Výsledky_skupin!$A$3:$B$130,2,0))&gt;4," -",VLOOKUP(C38,Výsledky_skupin!$A$3:$B$130,2,0))</f>
        <v/>
      </c>
      <c r="E38" s="176">
        <v>36</v>
      </c>
      <c r="F38">
        <f t="shared" ca="1" si="6"/>
        <v>-1</v>
      </c>
    </row>
    <row r="39" spans="1:60">
      <c r="A39" s="176">
        <f t="shared" ca="1" si="4"/>
        <v>38</v>
      </c>
      <c r="B39" s="315" t="str">
        <f t="shared" ca="1" si="5"/>
        <v xml:space="preserve"> - </v>
      </c>
      <c r="C39" s="316" t="str">
        <f ca="1">IF(E39&gt;$G$2,"",Nasazení!B39)</f>
        <v/>
      </c>
      <c r="D39" s="315" t="str">
        <f ca="1">IF(TYPE(VLOOKUP(C39,Výsledky_skupin!$A$3:$B$130,2,0))&gt;4," -",VLOOKUP(C39,Výsledky_skupin!$A$3:$B$130,2,0))</f>
        <v/>
      </c>
      <c r="E39" s="176">
        <v>37</v>
      </c>
      <c r="F39">
        <f t="shared" ca="1" si="6"/>
        <v>1</v>
      </c>
    </row>
    <row r="40" spans="1:60">
      <c r="A40" s="176">
        <f t="shared" ca="1" si="4"/>
        <v>37</v>
      </c>
      <c r="B40" s="315" t="str">
        <f t="shared" ca="1" si="5"/>
        <v xml:space="preserve"> - </v>
      </c>
      <c r="C40" s="316" t="str">
        <f ca="1">IF(E40&gt;$G$2,"",Nasazení!B40)</f>
        <v/>
      </c>
      <c r="D40" s="315" t="str">
        <f ca="1">IF(TYPE(VLOOKUP(C40,Výsledky_skupin!$A$3:$B$130,2,0))&gt;4," -",VLOOKUP(C40,Výsledky_skupin!$A$3:$B$130,2,0))</f>
        <v/>
      </c>
      <c r="E40" s="176">
        <v>38</v>
      </c>
      <c r="F40">
        <f t="shared" ca="1" si="6"/>
        <v>-1</v>
      </c>
    </row>
    <row r="41" spans="1:60">
      <c r="A41" s="176">
        <f t="shared" ca="1" si="4"/>
        <v>40</v>
      </c>
      <c r="B41" s="315" t="str">
        <f t="shared" ca="1" si="5"/>
        <v xml:space="preserve"> - </v>
      </c>
      <c r="C41" s="316" t="str">
        <f ca="1">IF(E41&gt;$G$2,"",Nasazení!B41)</f>
        <v/>
      </c>
      <c r="D41" s="315" t="str">
        <f ca="1">IF(TYPE(VLOOKUP(C41,Výsledky_skupin!$A$3:$B$130,2,0))&gt;4," -",VLOOKUP(C41,Výsledky_skupin!$A$3:$B$130,2,0))</f>
        <v/>
      </c>
      <c r="E41" s="176">
        <v>39</v>
      </c>
      <c r="F41">
        <f t="shared" ca="1" si="6"/>
        <v>1</v>
      </c>
    </row>
    <row r="42" spans="1:60">
      <c r="A42" s="176">
        <f t="shared" ca="1" si="4"/>
        <v>39</v>
      </c>
      <c r="B42" s="315" t="str">
        <f t="shared" ca="1" si="5"/>
        <v xml:space="preserve"> - </v>
      </c>
      <c r="C42" s="316" t="str">
        <f ca="1">IF(E42&gt;$G$2,"",Nasazení!B42)</f>
        <v/>
      </c>
      <c r="D42" s="315" t="str">
        <f ca="1">IF(TYPE(VLOOKUP(C42,Výsledky_skupin!$A$3:$B$130,2,0))&gt;4," -",VLOOKUP(C42,Výsledky_skupin!$A$3:$B$130,2,0))</f>
        <v/>
      </c>
      <c r="E42" s="176">
        <v>40</v>
      </c>
      <c r="F42">
        <f t="shared" ca="1" si="6"/>
        <v>-1</v>
      </c>
    </row>
    <row r="43" spans="1:60">
      <c r="A43" s="176">
        <f t="shared" ca="1" si="4"/>
        <v>42</v>
      </c>
      <c r="B43" s="315" t="str">
        <f t="shared" ca="1" si="5"/>
        <v xml:space="preserve"> - </v>
      </c>
      <c r="C43" s="316" t="str">
        <f ca="1">IF(E43&gt;$G$2,"",Nasazení!B43)</f>
        <v/>
      </c>
      <c r="D43" s="315" t="str">
        <f ca="1">IF(TYPE(VLOOKUP(C43,Výsledky_skupin!$A$3:$B$130,2,0))&gt;4," -",VLOOKUP(C43,Výsledky_skupin!$A$3:$B$130,2,0))</f>
        <v/>
      </c>
      <c r="E43" s="176">
        <v>41</v>
      </c>
      <c r="F43">
        <f t="shared" ca="1" si="6"/>
        <v>1</v>
      </c>
    </row>
    <row r="44" spans="1:60">
      <c r="A44" s="176">
        <f t="shared" ca="1" si="4"/>
        <v>41</v>
      </c>
      <c r="B44" s="315" t="str">
        <f t="shared" ca="1" si="5"/>
        <v xml:space="preserve"> - </v>
      </c>
      <c r="C44" s="316" t="str">
        <f ca="1">IF(E44&gt;$G$2,"",Nasazení!B44)</f>
        <v/>
      </c>
      <c r="D44" s="315" t="str">
        <f ca="1">IF(TYPE(VLOOKUP(C44,Výsledky_skupin!$A$3:$B$130,2,0))&gt;4," -",VLOOKUP(C44,Výsledky_skupin!$A$3:$B$130,2,0))</f>
        <v/>
      </c>
      <c r="E44" s="176">
        <v>42</v>
      </c>
      <c r="F44">
        <f t="shared" ca="1" si="6"/>
        <v>-1</v>
      </c>
    </row>
    <row r="45" spans="1:60">
      <c r="A45" s="176">
        <f t="shared" ca="1" si="4"/>
        <v>44</v>
      </c>
      <c r="B45" s="315" t="str">
        <f t="shared" ca="1" si="5"/>
        <v xml:space="preserve"> - </v>
      </c>
      <c r="C45" s="316" t="str">
        <f ca="1">IF(E45&gt;$G$2,"",Nasazení!B45)</f>
        <v/>
      </c>
      <c r="D45" s="315" t="str">
        <f ca="1">IF(TYPE(VLOOKUP(C45,Výsledky_skupin!$A$3:$B$130,2,0))&gt;4," -",VLOOKUP(C45,Výsledky_skupin!$A$3:$B$130,2,0))</f>
        <v/>
      </c>
      <c r="E45" s="176">
        <v>43</v>
      </c>
      <c r="F45">
        <f t="shared" ca="1" si="6"/>
        <v>1</v>
      </c>
    </row>
    <row r="46" spans="1:60">
      <c r="A46" s="176">
        <f t="shared" ca="1" si="4"/>
        <v>43</v>
      </c>
      <c r="B46" s="315" t="str">
        <f t="shared" ca="1" si="5"/>
        <v xml:space="preserve"> - </v>
      </c>
      <c r="C46" s="316" t="str">
        <f ca="1">IF(E46&gt;$G$2,"",Nasazení!B46)</f>
        <v/>
      </c>
      <c r="D46" s="315" t="str">
        <f ca="1">IF(TYPE(VLOOKUP(C46,Výsledky_skupin!$A$3:$B$130,2,0))&gt;4," -",VLOOKUP(C46,Výsledky_skupin!$A$3:$B$130,2,0))</f>
        <v/>
      </c>
      <c r="E46" s="176">
        <v>44</v>
      </c>
      <c r="F46">
        <f t="shared" ca="1" si="6"/>
        <v>-1</v>
      </c>
    </row>
    <row r="47" spans="1:60">
      <c r="A47" s="176">
        <f t="shared" ca="1" si="4"/>
        <v>46</v>
      </c>
      <c r="B47" s="315" t="str">
        <f t="shared" ca="1" si="5"/>
        <v xml:space="preserve"> - </v>
      </c>
      <c r="C47" s="316" t="str">
        <f ca="1">IF(E47&gt;$G$2,"",Nasazení!B47)</f>
        <v/>
      </c>
      <c r="D47" s="315" t="str">
        <f ca="1">IF(TYPE(VLOOKUP(C47,Výsledky_skupin!$A$3:$B$130,2,0))&gt;4," -",VLOOKUP(C47,Výsledky_skupin!$A$3:$B$130,2,0))</f>
        <v/>
      </c>
      <c r="E47" s="176">
        <v>45</v>
      </c>
      <c r="F47">
        <f t="shared" ca="1" si="6"/>
        <v>1</v>
      </c>
    </row>
    <row r="48" spans="1:60">
      <c r="A48" s="176">
        <f t="shared" ca="1" si="4"/>
        <v>45</v>
      </c>
      <c r="B48" s="315" t="str">
        <f t="shared" ca="1" si="5"/>
        <v xml:space="preserve"> - </v>
      </c>
      <c r="C48" s="316" t="str">
        <f ca="1">IF(E48&gt;$G$2,"",Nasazení!B48)</f>
        <v/>
      </c>
      <c r="D48" s="315" t="str">
        <f ca="1">IF(TYPE(VLOOKUP(C48,Výsledky_skupin!$A$3:$B$130,2,0))&gt;4," -",VLOOKUP(C48,Výsledky_skupin!$A$3:$B$130,2,0))</f>
        <v/>
      </c>
      <c r="E48" s="176">
        <v>46</v>
      </c>
      <c r="F48">
        <f t="shared" ca="1" si="6"/>
        <v>-1</v>
      </c>
    </row>
    <row r="49" spans="1:6">
      <c r="A49" s="176">
        <f t="shared" ca="1" si="4"/>
        <v>48</v>
      </c>
      <c r="B49" s="315" t="str">
        <f t="shared" ca="1" si="5"/>
        <v xml:space="preserve"> - </v>
      </c>
      <c r="C49" s="316" t="str">
        <f ca="1">IF(E49&gt;$G$2,"",Nasazení!B49)</f>
        <v/>
      </c>
      <c r="D49" s="315" t="str">
        <f ca="1">IF(TYPE(VLOOKUP(C49,Výsledky_skupin!$A$3:$B$130,2,0))&gt;4," -",VLOOKUP(C49,Výsledky_skupin!$A$3:$B$130,2,0))</f>
        <v/>
      </c>
      <c r="E49" s="176">
        <v>47</v>
      </c>
      <c r="F49">
        <f t="shared" ca="1" si="6"/>
        <v>1</v>
      </c>
    </row>
    <row r="50" spans="1:6">
      <c r="A50" s="176">
        <f t="shared" ca="1" si="4"/>
        <v>47</v>
      </c>
      <c r="B50" s="315" t="str">
        <f t="shared" ca="1" si="5"/>
        <v xml:space="preserve"> - </v>
      </c>
      <c r="C50" s="316" t="str">
        <f ca="1">IF(E50&gt;$G$2,"",Nasazení!B50)</f>
        <v/>
      </c>
      <c r="D50" s="315" t="str">
        <f ca="1">IF(TYPE(VLOOKUP(C50,Výsledky_skupin!$A$3:$B$130,2,0))&gt;4," -",VLOOKUP(C50,Výsledky_skupin!$A$3:$B$130,2,0))</f>
        <v/>
      </c>
      <c r="E50" s="176">
        <v>48</v>
      </c>
      <c r="F50">
        <f t="shared" ca="1" si="6"/>
        <v>-1</v>
      </c>
    </row>
    <row r="51" spans="1:6">
      <c r="A51" s="176">
        <f t="shared" ca="1" si="4"/>
        <v>50</v>
      </c>
      <c r="B51" s="315" t="str">
        <f t="shared" ca="1" si="5"/>
        <v xml:space="preserve"> - </v>
      </c>
      <c r="C51" s="316" t="str">
        <f ca="1">IF(E51&gt;$G$2,"",Nasazení!B51)</f>
        <v/>
      </c>
      <c r="D51" s="315" t="str">
        <f ca="1">IF(TYPE(VLOOKUP(C51,Výsledky_skupin!$A$3:$B$130,2,0))&gt;4," -",VLOOKUP(C51,Výsledky_skupin!$A$3:$B$130,2,0))</f>
        <v/>
      </c>
      <c r="E51" s="176">
        <v>49</v>
      </c>
      <c r="F51">
        <f t="shared" ca="1" si="6"/>
        <v>1</v>
      </c>
    </row>
    <row r="52" spans="1:6">
      <c r="A52" s="176">
        <f t="shared" ca="1" si="4"/>
        <v>49</v>
      </c>
      <c r="B52" s="315" t="str">
        <f t="shared" ca="1" si="5"/>
        <v xml:space="preserve"> - </v>
      </c>
      <c r="C52" s="316" t="str">
        <f ca="1">IF(E52&gt;$G$2,"",Nasazení!B52)</f>
        <v/>
      </c>
      <c r="D52" s="315" t="str">
        <f ca="1">IF(TYPE(VLOOKUP(C52,Výsledky_skupin!$A$3:$B$130,2,0))&gt;4," -",VLOOKUP(C52,Výsledky_skupin!$A$3:$B$130,2,0))</f>
        <v/>
      </c>
      <c r="E52" s="176">
        <v>50</v>
      </c>
      <c r="F52">
        <f t="shared" ca="1" si="6"/>
        <v>-1</v>
      </c>
    </row>
    <row r="53" spans="1:6">
      <c r="A53" s="176">
        <f t="shared" ca="1" si="4"/>
        <v>52</v>
      </c>
      <c r="B53" s="315" t="str">
        <f t="shared" ca="1" si="5"/>
        <v xml:space="preserve"> - </v>
      </c>
      <c r="C53" s="316" t="str">
        <f ca="1">IF(E53&gt;$G$2,"",Nasazení!B53)</f>
        <v/>
      </c>
      <c r="D53" s="315" t="str">
        <f ca="1">IF(TYPE(VLOOKUP(C53,Výsledky_skupin!$A$3:$B$130,2,0))&gt;4," -",VLOOKUP(C53,Výsledky_skupin!$A$3:$B$130,2,0))</f>
        <v/>
      </c>
      <c r="E53" s="176">
        <v>51</v>
      </c>
      <c r="F53">
        <f t="shared" ca="1" si="6"/>
        <v>1</v>
      </c>
    </row>
    <row r="54" spans="1:6">
      <c r="A54" s="176">
        <f t="shared" ca="1" si="4"/>
        <v>51</v>
      </c>
      <c r="B54" s="315" t="str">
        <f t="shared" ca="1" si="5"/>
        <v xml:space="preserve"> - </v>
      </c>
      <c r="C54" s="316" t="str">
        <f ca="1">IF(E54&gt;$G$2,"",Nasazení!B54)</f>
        <v/>
      </c>
      <c r="D54" s="315" t="str">
        <f ca="1">IF(TYPE(VLOOKUP(C54,Výsledky_skupin!$A$3:$B$130,2,0))&gt;4," -",VLOOKUP(C54,Výsledky_skupin!$A$3:$B$130,2,0))</f>
        <v/>
      </c>
      <c r="E54" s="176">
        <v>52</v>
      </c>
      <c r="F54">
        <f t="shared" ca="1" si="6"/>
        <v>-1</v>
      </c>
    </row>
    <row r="55" spans="1:6">
      <c r="A55" s="176">
        <f t="shared" ca="1" si="4"/>
        <v>54</v>
      </c>
      <c r="B55" s="315" t="str">
        <f t="shared" ca="1" si="5"/>
        <v xml:space="preserve"> - </v>
      </c>
      <c r="C55" s="316" t="str">
        <f ca="1">IF(E55&gt;$G$2,"",Nasazení!B55)</f>
        <v/>
      </c>
      <c r="D55" s="315" t="str">
        <f ca="1">IF(TYPE(VLOOKUP(C55,Výsledky_skupin!$A$3:$B$130,2,0))&gt;4," -",VLOOKUP(C55,Výsledky_skupin!$A$3:$B$130,2,0))</f>
        <v/>
      </c>
      <c r="E55" s="176">
        <v>53</v>
      </c>
      <c r="F55">
        <f t="shared" ca="1" si="6"/>
        <v>1</v>
      </c>
    </row>
    <row r="56" spans="1:6">
      <c r="A56" s="176">
        <f t="shared" ca="1" si="4"/>
        <v>53</v>
      </c>
      <c r="B56" s="315" t="str">
        <f t="shared" ca="1" si="5"/>
        <v xml:space="preserve"> - </v>
      </c>
      <c r="C56" s="316" t="str">
        <f ca="1">IF(E56&gt;$G$2,"",Nasazení!B56)</f>
        <v/>
      </c>
      <c r="D56" s="315" t="str">
        <f ca="1">IF(TYPE(VLOOKUP(C56,Výsledky_skupin!$A$3:$B$130,2,0))&gt;4," -",VLOOKUP(C56,Výsledky_skupin!$A$3:$B$130,2,0))</f>
        <v/>
      </c>
      <c r="E56" s="176">
        <v>54</v>
      </c>
      <c r="F56">
        <f t="shared" ca="1" si="6"/>
        <v>-1</v>
      </c>
    </row>
    <row r="57" spans="1:6">
      <c r="A57" s="176">
        <f t="shared" ca="1" si="4"/>
        <v>56</v>
      </c>
      <c r="B57" s="315" t="str">
        <f t="shared" ca="1" si="5"/>
        <v xml:space="preserve"> - </v>
      </c>
      <c r="C57" s="316" t="str">
        <f ca="1">IF(E57&gt;$G$2,"",Nasazení!B57)</f>
        <v/>
      </c>
      <c r="D57" s="315" t="str">
        <f ca="1">IF(TYPE(VLOOKUP(C57,Výsledky_skupin!$A$3:$B$130,2,0))&gt;4," -",VLOOKUP(C57,Výsledky_skupin!$A$3:$B$130,2,0))</f>
        <v/>
      </c>
      <c r="E57" s="176">
        <v>55</v>
      </c>
      <c r="F57">
        <f t="shared" ca="1" si="6"/>
        <v>1</v>
      </c>
    </row>
    <row r="58" spans="1:6">
      <c r="A58" s="176">
        <f t="shared" ca="1" si="4"/>
        <v>55</v>
      </c>
      <c r="B58" s="315" t="str">
        <f t="shared" ca="1" si="5"/>
        <v xml:space="preserve"> - </v>
      </c>
      <c r="C58" s="316" t="str">
        <f ca="1">IF(E58&gt;$G$2,"",Nasazení!B58)</f>
        <v/>
      </c>
      <c r="D58" s="315" t="str">
        <f ca="1">IF(TYPE(VLOOKUP(C58,Výsledky_skupin!$A$3:$B$130,2,0))&gt;4," -",VLOOKUP(C58,Výsledky_skupin!$A$3:$B$130,2,0))</f>
        <v/>
      </c>
      <c r="E58" s="176">
        <v>56</v>
      </c>
      <c r="F58">
        <f t="shared" ca="1" si="6"/>
        <v>-1</v>
      </c>
    </row>
    <row r="59" spans="1:6">
      <c r="A59" s="176">
        <f t="shared" ca="1" si="4"/>
        <v>58</v>
      </c>
      <c r="B59" s="315" t="str">
        <f t="shared" ca="1" si="5"/>
        <v xml:space="preserve"> - </v>
      </c>
      <c r="C59" s="316" t="str">
        <f ca="1">IF(E59&gt;$G$2,"",Nasazení!B59)</f>
        <v/>
      </c>
      <c r="D59" s="315" t="str">
        <f ca="1">IF(TYPE(VLOOKUP(C59,Výsledky_skupin!$A$3:$B$130,2,0))&gt;4," -",VLOOKUP(C59,Výsledky_skupin!$A$3:$B$130,2,0))</f>
        <v/>
      </c>
      <c r="E59" s="176">
        <v>57</v>
      </c>
      <c r="F59">
        <f t="shared" ca="1" si="6"/>
        <v>1</v>
      </c>
    </row>
    <row r="60" spans="1:6">
      <c r="A60" s="176">
        <f t="shared" ca="1" si="4"/>
        <v>57</v>
      </c>
      <c r="B60" s="315" t="str">
        <f t="shared" ca="1" si="5"/>
        <v xml:space="preserve"> - </v>
      </c>
      <c r="C60" s="316" t="str">
        <f ca="1">IF(E60&gt;$G$2,"",Nasazení!B60)</f>
        <v/>
      </c>
      <c r="D60" s="315" t="str">
        <f ca="1">IF(TYPE(VLOOKUP(C60,Výsledky_skupin!$A$3:$B$130,2,0))&gt;4," -",VLOOKUP(C60,Výsledky_skupin!$A$3:$B$130,2,0))</f>
        <v/>
      </c>
      <c r="E60" s="176">
        <v>58</v>
      </c>
      <c r="F60">
        <f t="shared" ca="1" si="6"/>
        <v>-1</v>
      </c>
    </row>
    <row r="61" spans="1:6">
      <c r="A61" s="176">
        <f t="shared" ca="1" si="4"/>
        <v>60</v>
      </c>
      <c r="B61" s="315" t="str">
        <f t="shared" ca="1" si="5"/>
        <v xml:space="preserve"> - </v>
      </c>
      <c r="C61" s="316" t="str">
        <f ca="1">IF(E61&gt;$G$2,"",Nasazení!B61)</f>
        <v/>
      </c>
      <c r="D61" s="315" t="str">
        <f ca="1">IF(TYPE(VLOOKUP(C61,Výsledky_skupin!$A$3:$B$130,2,0))&gt;4," -",VLOOKUP(C61,Výsledky_skupin!$A$3:$B$130,2,0))</f>
        <v/>
      </c>
      <c r="E61" s="176">
        <v>59</v>
      </c>
      <c r="F61">
        <f t="shared" ca="1" si="6"/>
        <v>1</v>
      </c>
    </row>
    <row r="62" spans="1:6">
      <c r="A62" s="176">
        <f t="shared" ca="1" si="4"/>
        <v>59</v>
      </c>
      <c r="B62" s="315" t="str">
        <f t="shared" ca="1" si="5"/>
        <v xml:space="preserve"> - </v>
      </c>
      <c r="C62" s="316" t="str">
        <f ca="1">IF(E62&gt;$G$2,"",Nasazení!B62)</f>
        <v/>
      </c>
      <c r="D62" s="315" t="str">
        <f ca="1">IF(TYPE(VLOOKUP(C62,Výsledky_skupin!$A$3:$B$130,2,0))&gt;4," -",VLOOKUP(C62,Výsledky_skupin!$A$3:$B$130,2,0))</f>
        <v/>
      </c>
      <c r="E62" s="176">
        <v>60</v>
      </c>
      <c r="F62">
        <f t="shared" ca="1" si="6"/>
        <v>-1</v>
      </c>
    </row>
    <row r="63" spans="1:6">
      <c r="A63" s="176">
        <f t="shared" ca="1" si="4"/>
        <v>62</v>
      </c>
      <c r="B63" s="315" t="str">
        <f t="shared" ca="1" si="5"/>
        <v xml:space="preserve"> - </v>
      </c>
      <c r="C63" s="316" t="str">
        <f ca="1">IF(E63&gt;$G$2,"",Nasazení!B63)</f>
        <v/>
      </c>
      <c r="D63" s="315" t="str">
        <f ca="1">IF(TYPE(VLOOKUP(C63,Výsledky_skupin!$A$3:$B$130,2,0))&gt;4," -",VLOOKUP(C63,Výsledky_skupin!$A$3:$B$130,2,0))</f>
        <v/>
      </c>
      <c r="E63" s="176">
        <v>61</v>
      </c>
      <c r="F63">
        <f t="shared" ca="1" si="6"/>
        <v>1</v>
      </c>
    </row>
    <row r="64" spans="1:6">
      <c r="A64" s="176">
        <f t="shared" ca="1" si="4"/>
        <v>61</v>
      </c>
      <c r="B64" s="315" t="str">
        <f t="shared" ca="1" si="5"/>
        <v xml:space="preserve"> - </v>
      </c>
      <c r="C64" s="316" t="str">
        <f ca="1">IF(E64&gt;$G$2,"",Nasazení!B64)</f>
        <v/>
      </c>
      <c r="D64" s="315" t="str">
        <f ca="1">IF(TYPE(VLOOKUP(C64,Výsledky_skupin!$A$3:$B$130,2,0))&gt;4," -",VLOOKUP(C64,Výsledky_skupin!$A$3:$B$130,2,0))</f>
        <v/>
      </c>
      <c r="E64" s="176">
        <v>62</v>
      </c>
      <c r="F64">
        <f t="shared" ca="1" si="6"/>
        <v>-1</v>
      </c>
    </row>
    <row r="65" spans="1:6">
      <c r="A65" s="176">
        <f t="shared" ca="1" si="4"/>
        <v>64</v>
      </c>
      <c r="B65" s="315" t="str">
        <f t="shared" ca="1" si="5"/>
        <v xml:space="preserve"> - </v>
      </c>
      <c r="C65" s="316" t="str">
        <f ca="1">IF(E65&gt;$G$2,"",Nasazení!B65)</f>
        <v/>
      </c>
      <c r="D65" s="315" t="str">
        <f ca="1">IF(TYPE(VLOOKUP(C65,Výsledky_skupin!$A$3:$B$130,2,0))&gt;4," -",VLOOKUP(C65,Výsledky_skupin!$A$3:$B$130,2,0))</f>
        <v/>
      </c>
      <c r="E65" s="176">
        <v>63</v>
      </c>
      <c r="F65">
        <f t="shared" ca="1" si="6"/>
        <v>1</v>
      </c>
    </row>
    <row r="66" spans="1:6">
      <c r="A66" s="176">
        <f t="shared" ca="1" si="4"/>
        <v>63</v>
      </c>
      <c r="B66" s="315" t="str">
        <f t="shared" ca="1" si="5"/>
        <v xml:space="preserve"> - </v>
      </c>
      <c r="C66" s="316" t="str">
        <f ca="1">IF(E66&gt;$G$2,"",Nasazení!B66)</f>
        <v/>
      </c>
      <c r="D66" s="315" t="str">
        <f ca="1">IF(TYPE(VLOOKUP(C66,Výsledky_skupin!$A$3:$B$130,2,0))&gt;4," -",VLOOKUP(C66,Výsledky_skupin!$A$3:$B$130,2,0))</f>
        <v/>
      </c>
      <c r="E66" s="176">
        <v>64</v>
      </c>
      <c r="F66">
        <f t="shared" ca="1" si="6"/>
        <v>-1</v>
      </c>
    </row>
  </sheetData>
  <pageMargins left="0.78749999999999998" right="0.78749999999999998" top="0.98402777777777795" bottom="0.98402777777777795" header="0.51180555555555496" footer="0.51180555555555496"/>
  <pageSetup paperSize="9" firstPageNumber="0" orientation="portrait" horizontalDpi="300" verticalDpi="300"/>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2"/>
  <sheetViews>
    <sheetView topLeftCell="B8" zoomScaleNormal="100" workbookViewId="0">
      <selection activeCell="A3" sqref="A3"/>
    </sheetView>
  </sheetViews>
  <sheetFormatPr defaultColWidth="8.7109375" defaultRowHeight="12.75"/>
  <cols>
    <col min="1" max="1" width="9" hidden="1" customWidth="1"/>
    <col min="2" max="2" width="11" customWidth="1"/>
  </cols>
  <sheetData>
    <row r="1" spans="1:32" hidden="1">
      <c r="A1" s="176" t="str">
        <f t="shared" ref="A1:AF1" ca="1" si="0">CONCATENATE("Sk.",INDIRECT(ADDRESS(10+COLUMN(),1,1,1)))</f>
        <v>Sk.A</v>
      </c>
      <c r="B1" s="176" t="str">
        <f t="shared" ca="1" si="0"/>
        <v>Sk.B</v>
      </c>
      <c r="C1" s="176" t="str">
        <f t="shared" ca="1" si="0"/>
        <v>Sk.C</v>
      </c>
      <c r="D1" s="176" t="str">
        <f t="shared" ca="1" si="0"/>
        <v>Sk.D</v>
      </c>
      <c r="E1" s="176" t="str">
        <f t="shared" ca="1" si="0"/>
        <v>Sk.E</v>
      </c>
      <c r="F1" s="176" t="str">
        <f t="shared" ca="1" si="0"/>
        <v>Sk.F</v>
      </c>
      <c r="G1" s="176" t="str">
        <f t="shared" ca="1" si="0"/>
        <v>Sk.G</v>
      </c>
      <c r="H1" s="176" t="str">
        <f t="shared" ca="1" si="0"/>
        <v>Sk.H</v>
      </c>
      <c r="I1" s="176" t="str">
        <f t="shared" ca="1" si="0"/>
        <v>Sk.I</v>
      </c>
      <c r="J1" s="176" t="str">
        <f t="shared" ca="1" si="0"/>
        <v>Sk.J</v>
      </c>
      <c r="K1" s="176" t="str">
        <f t="shared" ca="1" si="0"/>
        <v>Sk.K</v>
      </c>
      <c r="L1" s="176" t="str">
        <f t="shared" ca="1" si="0"/>
        <v>Sk.L</v>
      </c>
      <c r="M1" s="176" t="str">
        <f t="shared" ca="1" si="0"/>
        <v>Sk.M</v>
      </c>
      <c r="N1" s="176" t="str">
        <f t="shared" ca="1" si="0"/>
        <v>Sk.N</v>
      </c>
      <c r="O1" s="176" t="str">
        <f t="shared" ca="1" si="0"/>
        <v>Sk.O</v>
      </c>
      <c r="P1" s="176" t="str">
        <f t="shared" ca="1" si="0"/>
        <v>Sk.P</v>
      </c>
      <c r="Q1" s="176" t="str">
        <f t="shared" ca="1" si="0"/>
        <v>Sk.Q</v>
      </c>
      <c r="R1" s="176" t="str">
        <f t="shared" ca="1" si="0"/>
        <v>Sk.R</v>
      </c>
      <c r="S1" s="176" t="str">
        <f t="shared" ca="1" si="0"/>
        <v>Sk.S</v>
      </c>
      <c r="T1" s="176" t="str">
        <f t="shared" ca="1" si="0"/>
        <v>Sk.T</v>
      </c>
      <c r="U1" s="176" t="str">
        <f t="shared" ca="1" si="0"/>
        <v>Sk.U</v>
      </c>
      <c r="V1" s="176" t="str">
        <f t="shared" ca="1" si="0"/>
        <v>Sk.V</v>
      </c>
      <c r="W1" s="176" t="str">
        <f t="shared" ca="1" si="0"/>
        <v>Sk.W</v>
      </c>
      <c r="X1" s="176" t="str">
        <f t="shared" ca="1" si="0"/>
        <v>Sk.X</v>
      </c>
      <c r="Y1" s="176" t="str">
        <f t="shared" ca="1" si="0"/>
        <v>Sk.Y</v>
      </c>
      <c r="Z1" s="176" t="str">
        <f t="shared" ca="1" si="0"/>
        <v>Sk.Z</v>
      </c>
      <c r="AA1" s="176" t="str">
        <f t="shared" ca="1" si="0"/>
        <v>Sk.AA</v>
      </c>
      <c r="AB1" s="176" t="str">
        <f t="shared" ca="1" si="0"/>
        <v>Sk.AB</v>
      </c>
      <c r="AC1" s="176" t="str">
        <f t="shared" ca="1" si="0"/>
        <v>Sk.AC</v>
      </c>
      <c r="AD1" s="176" t="str">
        <f t="shared" ca="1" si="0"/>
        <v>Sk.AD</v>
      </c>
      <c r="AE1" s="176" t="str">
        <f t="shared" ca="1" si="0"/>
        <v>Sk.AE</v>
      </c>
      <c r="AF1" s="176" t="str">
        <f t="shared" ca="1" si="0"/>
        <v>Sk.AF</v>
      </c>
    </row>
    <row r="2" spans="1:32" hidden="1">
      <c r="A2">
        <f t="shared" ref="A2:AF2" ca="1" si="1">INDIRECT(ADDRESS(1,7,1,1,A1))</f>
        <v>4</v>
      </c>
      <c r="B2">
        <f t="shared" ca="1" si="1"/>
        <v>4</v>
      </c>
      <c r="C2">
        <f t="shared" ca="1" si="1"/>
        <v>4</v>
      </c>
      <c r="D2">
        <f t="shared" ca="1" si="1"/>
        <v>4</v>
      </c>
      <c r="E2">
        <f t="shared" ca="1" si="1"/>
        <v>0</v>
      </c>
      <c r="F2">
        <f t="shared" ca="1" si="1"/>
        <v>0</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t="shared" ref="A3:AF3" ca="1" si="2">IF(A2=0,0,CHOOSE(A2,0,1,1,2,2,3))</f>
        <v>2</v>
      </c>
      <c r="B3">
        <f t="shared" ca="1" si="2"/>
        <v>2</v>
      </c>
      <c r="C3">
        <f t="shared" ca="1" si="2"/>
        <v>2</v>
      </c>
      <c r="D3">
        <f t="shared" ca="1" si="2"/>
        <v>2</v>
      </c>
      <c r="E3">
        <f t="shared" ca="1" si="2"/>
        <v>0</v>
      </c>
      <c r="F3">
        <f t="shared" ca="1" si="2"/>
        <v>0</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t="shared" ref="B4:AF4" ca="1" si="3">IF(OR(B2=0,A5=0),0,A5+1)</f>
        <v>3</v>
      </c>
      <c r="C4">
        <f t="shared" ca="1" si="3"/>
        <v>5</v>
      </c>
      <c r="D4">
        <f t="shared" ca="1" si="3"/>
        <v>7</v>
      </c>
      <c r="E4">
        <f t="shared" ca="1" si="3"/>
        <v>0</v>
      </c>
      <c r="F4">
        <f t="shared" ca="1" si="3"/>
        <v>0</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0</v>
      </c>
      <c r="F5">
        <f t="shared" ca="1" si="4"/>
        <v>0</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8" spans="1:32">
      <c r="D8" s="5" t="s">
        <v>1740</v>
      </c>
      <c r="E8" s="317">
        <f>Start.listina!U6</f>
        <v>1</v>
      </c>
    </row>
    <row r="9" spans="1:32">
      <c r="C9" s="549" t="s">
        <v>1741</v>
      </c>
      <c r="D9" s="549"/>
      <c r="E9" s="549"/>
    </row>
    <row r="10" spans="1:32">
      <c r="A10" s="176" t="s">
        <v>1742</v>
      </c>
      <c r="B10" s="176" t="s">
        <v>1743</v>
      </c>
    </row>
    <row r="11" spans="1:32">
      <c r="A11" s="176" t="s">
        <v>1692</v>
      </c>
      <c r="B11" s="176">
        <v>1</v>
      </c>
      <c r="C11" s="318">
        <f t="shared" ref="C11:C42" ca="1" si="5">999999*RAND()</f>
        <v>680967.53444554319</v>
      </c>
      <c r="D11" s="176"/>
      <c r="E11" s="319" t="str">
        <f t="shared" ref="E11:E42" si="6">IF(D11+$E$8-1=0,"",D11+$E$8-1)</f>
        <v/>
      </c>
    </row>
    <row r="12" spans="1:32">
      <c r="A12" s="176" t="s">
        <v>1693</v>
      </c>
      <c r="B12" s="176">
        <v>2</v>
      </c>
      <c r="C12" s="318">
        <f t="shared" ca="1" si="5"/>
        <v>63806.6418934986</v>
      </c>
      <c r="D12" s="176"/>
      <c r="E12" s="319" t="str">
        <f t="shared" si="6"/>
        <v/>
      </c>
    </row>
    <row r="13" spans="1:32">
      <c r="A13" s="176" t="s">
        <v>1694</v>
      </c>
      <c r="B13" s="176">
        <v>3</v>
      </c>
      <c r="C13" s="318">
        <f t="shared" ca="1" si="5"/>
        <v>116116.9590133701</v>
      </c>
      <c r="D13" s="176"/>
      <c r="E13" s="319" t="str">
        <f t="shared" si="6"/>
        <v/>
      </c>
    </row>
    <row r="14" spans="1:32">
      <c r="A14" s="176" t="s">
        <v>1695</v>
      </c>
      <c r="B14" s="176">
        <v>4</v>
      </c>
      <c r="C14" s="318">
        <f t="shared" ca="1" si="5"/>
        <v>472914.33075061085</v>
      </c>
      <c r="D14" s="176"/>
      <c r="E14" s="319" t="str">
        <f t="shared" si="6"/>
        <v/>
      </c>
    </row>
    <row r="15" spans="1:32">
      <c r="A15" s="176" t="s">
        <v>1696</v>
      </c>
      <c r="B15" s="176">
        <v>5</v>
      </c>
      <c r="C15" s="318">
        <f t="shared" ca="1" si="5"/>
        <v>661894.0413866922</v>
      </c>
      <c r="D15" s="176"/>
      <c r="E15" s="319" t="str">
        <f t="shared" si="6"/>
        <v/>
      </c>
    </row>
    <row r="16" spans="1:32">
      <c r="A16" s="176" t="s">
        <v>1697</v>
      </c>
      <c r="B16" s="176">
        <v>6</v>
      </c>
      <c r="C16" s="318">
        <f t="shared" ca="1" si="5"/>
        <v>51471.762213023314</v>
      </c>
      <c r="D16" s="176"/>
      <c r="E16" s="319" t="str">
        <f t="shared" si="6"/>
        <v/>
      </c>
    </row>
    <row r="17" spans="1:5">
      <c r="A17" s="176" t="s">
        <v>1698</v>
      </c>
      <c r="B17" s="176">
        <v>7</v>
      </c>
      <c r="C17" s="318">
        <f t="shared" ca="1" si="5"/>
        <v>308612.18563794479</v>
      </c>
      <c r="D17" s="176"/>
      <c r="E17" s="319" t="str">
        <f t="shared" si="6"/>
        <v/>
      </c>
    </row>
    <row r="18" spans="1:5">
      <c r="A18" s="176" t="s">
        <v>1699</v>
      </c>
      <c r="B18" s="176">
        <v>8</v>
      </c>
      <c r="C18" s="318">
        <f t="shared" ca="1" si="5"/>
        <v>185895.95548097449</v>
      </c>
      <c r="D18" s="176"/>
      <c r="E18" s="319" t="str">
        <f t="shared" si="6"/>
        <v/>
      </c>
    </row>
    <row r="19" spans="1:5">
      <c r="A19" s="176" t="s">
        <v>1700</v>
      </c>
      <c r="B19" s="176">
        <v>9</v>
      </c>
      <c r="C19" s="318">
        <f t="shared" ca="1" si="5"/>
        <v>593248.78358860046</v>
      </c>
      <c r="D19" s="176"/>
      <c r="E19" s="319" t="str">
        <f t="shared" si="6"/>
        <v/>
      </c>
    </row>
    <row r="20" spans="1:5">
      <c r="A20" s="176" t="s">
        <v>397</v>
      </c>
      <c r="B20" s="176">
        <v>10</v>
      </c>
      <c r="C20" s="318">
        <f t="shared" ca="1" si="5"/>
        <v>176366.7574194661</v>
      </c>
      <c r="D20" s="176"/>
      <c r="E20" s="319" t="str">
        <f t="shared" si="6"/>
        <v/>
      </c>
    </row>
    <row r="21" spans="1:5">
      <c r="A21" s="176" t="s">
        <v>1701</v>
      </c>
      <c r="B21" s="176">
        <v>11</v>
      </c>
      <c r="C21" s="318">
        <f t="shared" ca="1" si="5"/>
        <v>179798.02048211827</v>
      </c>
      <c r="D21" s="176"/>
      <c r="E21" s="319" t="str">
        <f t="shared" si="6"/>
        <v/>
      </c>
    </row>
    <row r="22" spans="1:5">
      <c r="A22" s="176" t="s">
        <v>1702</v>
      </c>
      <c r="B22" s="176">
        <v>12</v>
      </c>
      <c r="C22" s="318">
        <f t="shared" ca="1" si="5"/>
        <v>144945.53997346523</v>
      </c>
      <c r="D22" s="176"/>
      <c r="E22" s="319" t="str">
        <f t="shared" si="6"/>
        <v/>
      </c>
    </row>
    <row r="23" spans="1:5">
      <c r="A23" s="176" t="s">
        <v>1703</v>
      </c>
      <c r="B23" s="176">
        <v>13</v>
      </c>
      <c r="C23" s="318">
        <f t="shared" ca="1" si="5"/>
        <v>385570.55804349703</v>
      </c>
      <c r="D23" s="176"/>
      <c r="E23" s="319" t="str">
        <f t="shared" si="6"/>
        <v/>
      </c>
    </row>
    <row r="24" spans="1:5">
      <c r="A24" s="176" t="s">
        <v>1704</v>
      </c>
      <c r="B24" s="176">
        <v>14</v>
      </c>
      <c r="C24" s="318">
        <f t="shared" ca="1" si="5"/>
        <v>237318.96490072765</v>
      </c>
      <c r="D24" s="176"/>
      <c r="E24" s="319" t="str">
        <f t="shared" si="6"/>
        <v/>
      </c>
    </row>
    <row r="25" spans="1:5">
      <c r="A25" s="176" t="s">
        <v>1705</v>
      </c>
      <c r="B25" s="176">
        <v>15</v>
      </c>
      <c r="C25" s="318">
        <f t="shared" ca="1" si="5"/>
        <v>381035.44443545031</v>
      </c>
      <c r="D25" s="176"/>
      <c r="E25" s="319" t="str">
        <f t="shared" si="6"/>
        <v/>
      </c>
    </row>
    <row r="26" spans="1:5">
      <c r="A26" s="176" t="s">
        <v>1706</v>
      </c>
      <c r="B26" s="176">
        <v>16</v>
      </c>
      <c r="C26" s="318">
        <f t="shared" ca="1" si="5"/>
        <v>585614.30127670104</v>
      </c>
      <c r="D26" s="176"/>
      <c r="E26" s="319" t="str">
        <f t="shared" si="6"/>
        <v/>
      </c>
    </row>
    <row r="27" spans="1:5">
      <c r="A27" s="176" t="s">
        <v>1707</v>
      </c>
      <c r="B27" s="176">
        <v>17</v>
      </c>
      <c r="C27" s="318">
        <f t="shared" ca="1" si="5"/>
        <v>94245.260185704756</v>
      </c>
      <c r="D27" s="176"/>
      <c r="E27" s="319" t="str">
        <f t="shared" si="6"/>
        <v/>
      </c>
    </row>
    <row r="28" spans="1:5">
      <c r="A28" s="176" t="s">
        <v>1708</v>
      </c>
      <c r="B28" s="176">
        <v>18</v>
      </c>
      <c r="C28" s="318">
        <f t="shared" ca="1" si="5"/>
        <v>733255.23238889175</v>
      </c>
      <c r="D28" s="176"/>
      <c r="E28" s="319" t="str">
        <f t="shared" si="6"/>
        <v/>
      </c>
    </row>
    <row r="29" spans="1:5">
      <c r="A29" s="176" t="s">
        <v>257</v>
      </c>
      <c r="B29" s="176">
        <v>19</v>
      </c>
      <c r="C29" s="318">
        <f t="shared" ca="1" si="5"/>
        <v>159906.29786345796</v>
      </c>
      <c r="D29" s="176"/>
      <c r="E29" s="319" t="str">
        <f t="shared" si="6"/>
        <v/>
      </c>
    </row>
    <row r="30" spans="1:5">
      <c r="A30" s="176" t="s">
        <v>1709</v>
      </c>
      <c r="B30" s="176">
        <v>20</v>
      </c>
      <c r="C30" s="318">
        <f t="shared" ca="1" si="5"/>
        <v>332992.02529917919</v>
      </c>
      <c r="D30" s="176"/>
      <c r="E30" s="319" t="str">
        <f t="shared" si="6"/>
        <v/>
      </c>
    </row>
    <row r="31" spans="1:5">
      <c r="A31" s="176" t="s">
        <v>1710</v>
      </c>
      <c r="B31" s="176">
        <v>21</v>
      </c>
      <c r="C31" s="318">
        <f t="shared" ca="1" si="5"/>
        <v>574368.98693662323</v>
      </c>
      <c r="D31" s="176"/>
      <c r="E31" s="319" t="str">
        <f t="shared" si="6"/>
        <v/>
      </c>
    </row>
    <row r="32" spans="1:5">
      <c r="A32" s="176" t="s">
        <v>260</v>
      </c>
      <c r="B32" s="176">
        <v>22</v>
      </c>
      <c r="C32" s="318">
        <f t="shared" ca="1" si="5"/>
        <v>127504.5459938735</v>
      </c>
      <c r="D32" s="176"/>
      <c r="E32" s="319" t="str">
        <f t="shared" si="6"/>
        <v/>
      </c>
    </row>
    <row r="33" spans="1:5">
      <c r="A33" s="176" t="s">
        <v>1711</v>
      </c>
      <c r="B33" s="176">
        <v>23</v>
      </c>
      <c r="C33" s="318">
        <f t="shared" ca="1" si="5"/>
        <v>373946.88932776399</v>
      </c>
      <c r="D33" s="176"/>
      <c r="E33" s="319" t="str">
        <f t="shared" si="6"/>
        <v/>
      </c>
    </row>
    <row r="34" spans="1:5">
      <c r="A34" s="176" t="s">
        <v>1712</v>
      </c>
      <c r="B34" s="176">
        <v>24</v>
      </c>
      <c r="C34" s="318">
        <f t="shared" ca="1" si="5"/>
        <v>351189.7976843795</v>
      </c>
      <c r="D34" s="176"/>
      <c r="E34" s="319" t="str">
        <f t="shared" si="6"/>
        <v/>
      </c>
    </row>
    <row r="35" spans="1:5">
      <c r="A35" s="176" t="s">
        <v>1713</v>
      </c>
      <c r="B35" s="176">
        <v>25</v>
      </c>
      <c r="C35" s="318">
        <f t="shared" ca="1" si="5"/>
        <v>55302.351116533377</v>
      </c>
      <c r="D35" s="176"/>
      <c r="E35" s="319" t="str">
        <f t="shared" si="6"/>
        <v/>
      </c>
    </row>
    <row r="36" spans="1:5">
      <c r="A36" s="176" t="s">
        <v>262</v>
      </c>
      <c r="B36" s="176">
        <v>26</v>
      </c>
      <c r="C36" s="318">
        <f t="shared" ca="1" si="5"/>
        <v>105090.13630928977</v>
      </c>
      <c r="D36" s="176"/>
      <c r="E36" s="319" t="str">
        <f t="shared" si="6"/>
        <v/>
      </c>
    </row>
    <row r="37" spans="1:5">
      <c r="A37" s="176" t="s">
        <v>1714</v>
      </c>
      <c r="B37" s="176">
        <v>27</v>
      </c>
      <c r="C37" s="318">
        <f t="shared" ca="1" si="5"/>
        <v>366828.47952839453</v>
      </c>
      <c r="D37" s="176"/>
      <c r="E37" s="319" t="str">
        <f t="shared" si="6"/>
        <v/>
      </c>
    </row>
    <row r="38" spans="1:5">
      <c r="A38" s="176" t="s">
        <v>1715</v>
      </c>
      <c r="B38" s="176">
        <v>28</v>
      </c>
      <c r="C38" s="318">
        <f t="shared" ca="1" si="5"/>
        <v>909427.4324625188</v>
      </c>
      <c r="D38" s="176"/>
      <c r="E38" s="319" t="str">
        <f t="shared" si="6"/>
        <v/>
      </c>
    </row>
    <row r="39" spans="1:5">
      <c r="A39" s="176" t="s">
        <v>1716</v>
      </c>
      <c r="B39" s="176">
        <v>29</v>
      </c>
      <c r="C39" s="318">
        <f t="shared" ca="1" si="5"/>
        <v>717556.92364367563</v>
      </c>
      <c r="D39" s="176"/>
      <c r="E39" s="319" t="str">
        <f t="shared" si="6"/>
        <v/>
      </c>
    </row>
    <row r="40" spans="1:5">
      <c r="A40" s="176" t="s">
        <v>1717</v>
      </c>
      <c r="B40" s="176">
        <v>30</v>
      </c>
      <c r="C40" s="318">
        <f t="shared" ca="1" si="5"/>
        <v>437552.18201159651</v>
      </c>
      <c r="D40" s="176"/>
      <c r="E40" s="319" t="str">
        <f t="shared" si="6"/>
        <v/>
      </c>
    </row>
    <row r="41" spans="1:5">
      <c r="A41" s="176" t="s">
        <v>1718</v>
      </c>
      <c r="B41" s="176">
        <v>31</v>
      </c>
      <c r="C41" s="318">
        <f t="shared" ca="1" si="5"/>
        <v>934017.82622556714</v>
      </c>
      <c r="D41" s="176"/>
      <c r="E41" s="319" t="str">
        <f t="shared" si="6"/>
        <v/>
      </c>
    </row>
    <row r="42" spans="1:5">
      <c r="A42" s="176" t="s">
        <v>1719</v>
      </c>
      <c r="B42" s="176">
        <v>32</v>
      </c>
      <c r="C42" s="318">
        <f t="shared" ca="1" si="5"/>
        <v>597354.359536067</v>
      </c>
      <c r="D42" s="176"/>
      <c r="E42" s="319" t="str">
        <f t="shared" si="6"/>
        <v/>
      </c>
    </row>
  </sheetData>
  <sheetProtection sheet="1" objects="1" scenarios="1"/>
  <mergeCells count="1">
    <mergeCell ref="C9:E9"/>
  </mergeCells>
  <pageMargins left="0.78749999999999998" right="0.78749999999999998" top="0.98402777777777795" bottom="0.98402777777777795" header="0.51180555555555496" footer="0.51180555555555496"/>
  <pageSetup paperSize="9" firstPageNumber="0"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33"/>
  <sheetViews>
    <sheetView zoomScaleNormal="100" workbookViewId="0">
      <pane xSplit="4" ySplit="3" topLeftCell="E4" activePane="bottomRight" state="frozen"/>
      <selection pane="topRight" activeCell="E1" sqref="E1"/>
      <selection pane="bottomLeft" activeCell="A4" sqref="A4"/>
      <selection pane="bottomRight" activeCell="E4" sqref="E4"/>
    </sheetView>
  </sheetViews>
  <sheetFormatPr defaultColWidth="8.7109375"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c r="B1" s="293"/>
      <c r="C1" s="320"/>
      <c r="D1" s="320"/>
      <c r="E1" s="320"/>
      <c r="F1" s="320"/>
      <c r="G1" s="320"/>
      <c r="H1" s="320"/>
      <c r="I1" s="320"/>
      <c r="J1" s="320"/>
      <c r="K1" s="320"/>
      <c r="L1" s="320"/>
      <c r="M1" s="320"/>
      <c r="N1" s="320"/>
      <c r="O1" s="320"/>
      <c r="P1" s="320"/>
      <c r="Q1" s="320"/>
      <c r="R1" s="320"/>
      <c r="S1" s="320"/>
      <c r="T1" s="320"/>
      <c r="U1" s="320"/>
      <c r="V1" s="320"/>
      <c r="W1" s="320"/>
      <c r="Y1" s="320"/>
      <c r="Z1" s="320"/>
      <c r="AA1" s="320"/>
      <c r="AB1" s="320"/>
      <c r="AC1" s="320"/>
      <c r="AD1" s="320"/>
      <c r="AE1" s="320"/>
      <c r="AF1" s="320"/>
      <c r="AG1" s="320"/>
      <c r="AH1" s="320"/>
      <c r="AI1" s="320"/>
      <c r="AJ1" s="320"/>
    </row>
    <row r="2" spans="1:36" ht="32.450000000000003" customHeight="1">
      <c r="A2" s="321"/>
      <c r="B2" s="322"/>
      <c r="C2" s="323">
        <v>64</v>
      </c>
      <c r="D2" s="324" t="s">
        <v>1744</v>
      </c>
      <c r="E2" s="325"/>
      <c r="F2" s="325"/>
      <c r="G2" s="326">
        <v>32</v>
      </c>
      <c r="H2" s="324" t="s">
        <v>1744</v>
      </c>
      <c r="I2" s="325"/>
      <c r="J2" s="279"/>
      <c r="K2" s="326">
        <v>16</v>
      </c>
      <c r="L2" s="324" t="s">
        <v>1744</v>
      </c>
      <c r="M2" s="279"/>
      <c r="N2" s="279"/>
      <c r="O2" s="326">
        <v>8</v>
      </c>
      <c r="P2" s="324" t="s">
        <v>1744</v>
      </c>
      <c r="Q2" s="325"/>
      <c r="R2" s="279"/>
      <c r="S2" s="326">
        <v>4</v>
      </c>
      <c r="T2" s="324" t="s">
        <v>1745</v>
      </c>
      <c r="U2" s="279"/>
      <c r="V2" s="279"/>
      <c r="W2" s="326">
        <v>2</v>
      </c>
      <c r="X2" s="324" t="s">
        <v>1746</v>
      </c>
      <c r="Y2" s="279"/>
      <c r="Z2" s="279"/>
      <c r="AA2" s="326">
        <v>1</v>
      </c>
      <c r="AB2" s="327" t="s">
        <v>1747</v>
      </c>
      <c r="AC2" s="279"/>
      <c r="AD2" s="279"/>
      <c r="AE2" s="279"/>
      <c r="AF2" s="279"/>
      <c r="AG2" s="279"/>
      <c r="AH2" s="279"/>
      <c r="AI2" s="279"/>
      <c r="AJ2" s="279"/>
    </row>
    <row r="3" spans="1:36" ht="28.9" customHeight="1">
      <c r="A3" s="294"/>
      <c r="B3" s="328"/>
      <c r="C3" s="329"/>
      <c r="D3" s="330" t="s">
        <v>1748</v>
      </c>
      <c r="E3" s="331" t="str">
        <f ca="1">IF(OR(TRIM(D4)="-",TRIM(D5)="-"),"",VLOOKUP(MIN(C4,C5),Hřiště!$B$11:$E$42,4,0))</f>
        <v/>
      </c>
      <c r="F3" s="332"/>
      <c r="G3" s="333"/>
      <c r="H3" s="334"/>
      <c r="I3" s="335"/>
      <c r="J3" s="332"/>
      <c r="K3" s="332"/>
      <c r="L3" s="334"/>
      <c r="M3" s="335"/>
      <c r="N3" s="332"/>
      <c r="O3" s="332"/>
      <c r="P3" s="334"/>
      <c r="Q3" s="335"/>
      <c r="R3" s="332"/>
      <c r="S3" s="332"/>
      <c r="T3" s="334"/>
      <c r="U3" s="335"/>
      <c r="V3" s="332"/>
      <c r="W3" s="332"/>
      <c r="X3" s="336"/>
      <c r="Y3" s="335"/>
      <c r="Z3" s="332"/>
      <c r="AA3" s="332"/>
      <c r="AB3" s="335"/>
      <c r="AC3" s="335"/>
      <c r="AD3" s="332"/>
      <c r="AE3" s="332"/>
      <c r="AF3" s="332"/>
      <c r="AG3" s="335"/>
      <c r="AH3" s="335"/>
      <c r="AI3" s="335"/>
      <c r="AJ3" s="332"/>
    </row>
    <row r="4" spans="1:36" ht="18">
      <c r="A4" s="337" t="str">
        <f ca="1">VLOOKUP(C4,Postupy!$A$3:$C$66,3,0)</f>
        <v>A1</v>
      </c>
      <c r="B4" s="338"/>
      <c r="C4" s="339">
        <v>1</v>
      </c>
      <c r="D4" s="340" t="str">
        <f ca="1">VLOOKUP(C4,Postupy!$A$3:$B$66,2,0)</f>
        <v xml:space="preserve"> -</v>
      </c>
      <c r="E4" s="341"/>
      <c r="F4" s="342"/>
      <c r="G4" s="343"/>
      <c r="H4" s="344"/>
      <c r="I4" s="345"/>
      <c r="J4" s="343"/>
      <c r="K4" s="343"/>
      <c r="L4" s="343"/>
      <c r="M4" s="345"/>
      <c r="N4" s="343"/>
      <c r="O4" s="343"/>
      <c r="P4" s="343"/>
      <c r="Q4" s="345"/>
      <c r="R4" s="343"/>
      <c r="S4" s="343"/>
      <c r="T4" s="343"/>
      <c r="U4" s="343"/>
      <c r="V4" s="343"/>
      <c r="W4" s="343"/>
      <c r="X4" s="346"/>
      <c r="Y4" s="279"/>
      <c r="Z4" s="279"/>
      <c r="AA4" s="279"/>
      <c r="AB4" s="279"/>
      <c r="AC4" s="279"/>
      <c r="AD4" s="279"/>
      <c r="AE4" s="279"/>
      <c r="AF4" s="279"/>
      <c r="AG4" s="279"/>
      <c r="AH4" s="279"/>
      <c r="AI4" s="279"/>
      <c r="AJ4" s="279"/>
    </row>
    <row r="5" spans="1:36" ht="18.75">
      <c r="A5" s="337" t="str">
        <f ca="1">VLOOKUP(C5,Postupy!$A$3:$C$66,3,0)</f>
        <v/>
      </c>
      <c r="B5" s="338"/>
      <c r="C5" s="347">
        <v>64</v>
      </c>
      <c r="D5" s="348" t="str">
        <f ca="1">VLOOKUP(C5,Postupy!$A$3:$B$66,2,0)</f>
        <v xml:space="preserve"> - </v>
      </c>
      <c r="E5" s="349"/>
      <c r="F5" s="350"/>
      <c r="G5" s="351"/>
      <c r="H5" s="330" t="s">
        <v>1748</v>
      </c>
      <c r="I5" s="331" t="str">
        <f ca="1">IF(OR(TRIM(H6)="-",TRIM(H7)="-"),"",VLOOKUP(MIN(G6,G7),Hřiště!$B$11:$E$42,4,0))</f>
        <v/>
      </c>
      <c r="J5" s="343"/>
      <c r="K5" s="343"/>
      <c r="L5" s="343"/>
      <c r="M5" s="345"/>
      <c r="N5" s="343"/>
      <c r="O5" s="343"/>
      <c r="P5" s="352"/>
      <c r="Q5" s="345"/>
      <c r="R5" s="343"/>
      <c r="S5" s="343"/>
      <c r="T5" s="343"/>
      <c r="U5" s="343"/>
      <c r="V5" s="343"/>
      <c r="W5" s="343"/>
      <c r="X5" s="346"/>
      <c r="Y5" s="279"/>
      <c r="Z5" s="279"/>
      <c r="AA5" s="279"/>
      <c r="AB5" s="279"/>
      <c r="AC5" s="279"/>
      <c r="AD5" s="279"/>
      <c r="AE5" s="279"/>
      <c r="AF5" s="279"/>
      <c r="AG5" s="279"/>
      <c r="AH5" s="279"/>
      <c r="AI5" s="279"/>
      <c r="AJ5" s="279"/>
    </row>
    <row r="6" spans="1:36" ht="18">
      <c r="A6" s="353"/>
      <c r="B6" s="354"/>
      <c r="C6" s="354">
        <f>C4+C5</f>
        <v>65</v>
      </c>
      <c r="D6" s="355"/>
      <c r="E6" s="356"/>
      <c r="F6" s="357"/>
      <c r="G6" s="339">
        <v>1</v>
      </c>
      <c r="H6" s="340" t="str">
        <f ca="1">IF(OR(TRIM(D4)="-",TRIM(D5)="-"), IF(TRIM(D4)="-",D5,D4),IF(AND(E4="",E5="")," ",IF(N(E4)=N(E5)," ",IF(N(E4)&gt;N(E5),D4,D5))))</f>
        <v xml:space="preserve"> - </v>
      </c>
      <c r="I6" s="341"/>
      <c r="J6" s="342"/>
      <c r="K6" s="343"/>
      <c r="L6" s="352"/>
      <c r="M6" s="345"/>
      <c r="N6" s="343"/>
      <c r="O6" s="343"/>
      <c r="P6" s="352"/>
      <c r="Q6" s="345"/>
      <c r="R6" s="343"/>
      <c r="S6" s="343"/>
      <c r="T6" s="343"/>
      <c r="U6" s="343"/>
      <c r="V6" s="343"/>
      <c r="W6" s="358"/>
      <c r="X6" s="279"/>
      <c r="Y6" s="279"/>
      <c r="Z6" s="279"/>
      <c r="AA6" s="279"/>
      <c r="AB6" s="279"/>
      <c r="AC6" s="279"/>
      <c r="AD6" s="279"/>
      <c r="AE6" s="279"/>
      <c r="AF6" s="279"/>
      <c r="AG6" s="279"/>
      <c r="AH6" s="279"/>
      <c r="AI6" s="279"/>
      <c r="AJ6" s="279"/>
    </row>
    <row r="7" spans="1:36" ht="18.75">
      <c r="A7" s="359"/>
      <c r="B7" s="360"/>
      <c r="C7" s="361"/>
      <c r="D7" s="330" t="s">
        <v>1748</v>
      </c>
      <c r="E7" s="331" t="str">
        <f ca="1">IF(OR(TRIM(D8)="-",TRIM(D9)="-"),"",VLOOKUP(MIN(C8,C9),Hřiště!$B$11:$E$42,4,0))</f>
        <v/>
      </c>
      <c r="F7" s="357"/>
      <c r="G7" s="347">
        <v>32</v>
      </c>
      <c r="H7" s="348" t="str">
        <f ca="1">IF(OR(TRIM(D8)="-",TRIM(D9)="-"), IF(TRIM(D8)="-",D9,D8),IF(AND(E8="",E9="")," ",IF(N(E8)=N(E9)," ",IF(N(E8)&gt;N(E9),D8,D9))))</f>
        <v xml:space="preserve"> - </v>
      </c>
      <c r="I7" s="349"/>
      <c r="J7" s="350"/>
      <c r="K7" s="362"/>
      <c r="L7" s="363"/>
      <c r="M7" s="364"/>
      <c r="N7" s="343"/>
      <c r="O7" s="343"/>
      <c r="P7" s="352"/>
      <c r="Q7" s="345"/>
      <c r="R7" s="343"/>
      <c r="S7" s="343"/>
      <c r="T7" s="343"/>
      <c r="U7" s="343"/>
      <c r="V7" s="343"/>
      <c r="W7" s="358"/>
      <c r="X7" s="279"/>
      <c r="Y7" s="279"/>
      <c r="Z7" s="279"/>
      <c r="AA7" s="279"/>
      <c r="AB7" s="279"/>
      <c r="AC7" s="279"/>
      <c r="AD7" s="279"/>
      <c r="AE7" s="279"/>
      <c r="AF7" s="279"/>
      <c r="AG7" s="279"/>
      <c r="AH7" s="279"/>
      <c r="AI7" s="279"/>
      <c r="AJ7" s="279"/>
    </row>
    <row r="8" spans="1:36" ht="18">
      <c r="A8" s="337" t="str">
        <f ca="1">VLOOKUP(C8,Postupy!$A$3:$C$66,3,0)</f>
        <v/>
      </c>
      <c r="B8" s="338"/>
      <c r="C8" s="339">
        <v>33</v>
      </c>
      <c r="D8" s="340" t="str">
        <f ca="1">VLOOKUP(C8,Postupy!$A$3:$B$66,2,0)</f>
        <v xml:space="preserve"> - </v>
      </c>
      <c r="E8" s="341"/>
      <c r="F8" s="365"/>
      <c r="G8" s="366"/>
      <c r="H8" s="367"/>
      <c r="I8" s="368"/>
      <c r="J8" s="358"/>
      <c r="K8" s="362"/>
      <c r="L8" s="363"/>
      <c r="M8" s="364"/>
      <c r="N8" s="343"/>
      <c r="O8" s="343"/>
      <c r="P8" s="352"/>
      <c r="Q8" s="345"/>
      <c r="R8" s="343"/>
      <c r="S8" s="343"/>
      <c r="T8" s="343"/>
      <c r="U8" s="343"/>
      <c r="V8" s="343"/>
      <c r="W8" s="358"/>
      <c r="X8" s="279"/>
      <c r="Y8" s="279"/>
      <c r="Z8" s="279"/>
      <c r="AA8" s="279"/>
      <c r="AB8" s="279"/>
      <c r="AC8" s="279"/>
      <c r="AD8" s="279"/>
      <c r="AE8" s="279"/>
      <c r="AF8" s="279"/>
      <c r="AG8" s="279"/>
      <c r="AH8" s="279"/>
      <c r="AI8" s="279"/>
      <c r="AJ8" s="279"/>
    </row>
    <row r="9" spans="1:36" ht="18.75">
      <c r="A9" s="337" t="str">
        <f ca="1">VLOOKUP(C9,Postupy!$A$3:$C$66,3,0)</f>
        <v/>
      </c>
      <c r="B9" s="338"/>
      <c r="C9" s="347">
        <v>32</v>
      </c>
      <c r="D9" s="348" t="str">
        <f ca="1">VLOOKUP(C9,Postupy!$A$3:$B$66,2,0)</f>
        <v xml:space="preserve"> - </v>
      </c>
      <c r="E9" s="349"/>
      <c r="F9" s="344"/>
      <c r="G9" s="343"/>
      <c r="H9" s="369"/>
      <c r="I9" s="368"/>
      <c r="J9" s="358"/>
      <c r="K9" s="351"/>
      <c r="L9" s="330" t="s">
        <v>1748</v>
      </c>
      <c r="M9" s="331" t="str">
        <f ca="1">IF(OR(TRIM(L10)="-",TRIM(L11)="-"),"",VLOOKUP(MIN(K10,K11),Hřiště!$B$11:$E$42,4,0))</f>
        <v/>
      </c>
      <c r="N9" s="370"/>
      <c r="O9" s="343"/>
      <c r="P9" s="352"/>
      <c r="Q9" s="345"/>
      <c r="R9" s="343"/>
      <c r="S9" s="343"/>
      <c r="T9" s="343"/>
      <c r="U9" s="343"/>
      <c r="V9" s="343"/>
      <c r="W9" s="358"/>
      <c r="X9" s="279"/>
      <c r="Y9" s="279"/>
      <c r="Z9" s="279"/>
      <c r="AA9" s="279"/>
      <c r="AB9" s="279"/>
      <c r="AC9" s="279"/>
      <c r="AD9" s="279"/>
      <c r="AE9" s="279"/>
      <c r="AF9" s="279"/>
      <c r="AG9" s="279"/>
      <c r="AH9" s="279"/>
      <c r="AI9" s="279"/>
      <c r="AJ9" s="279"/>
    </row>
    <row r="10" spans="1:36" ht="18">
      <c r="A10" s="353"/>
      <c r="B10" s="354"/>
      <c r="C10" s="354">
        <f>C8+C9</f>
        <v>65</v>
      </c>
      <c r="D10" s="355"/>
      <c r="E10" s="356"/>
      <c r="F10" s="371">
        <f>C6+C10</f>
        <v>130</v>
      </c>
      <c r="G10" s="343"/>
      <c r="H10" s="372"/>
      <c r="I10" s="345"/>
      <c r="J10" s="343"/>
      <c r="K10" s="339">
        <v>1</v>
      </c>
      <c r="L10" s="340" t="str">
        <f ca="1">IF(OR(TRIM(H6)="-",TRIM(H7)="-"), IF(TRIM(H6)="-",H7,H6),IF(AND(I6="",I7="")," ",IF(N(I6)=N(I7)," ",IF(N(I6)&gt;N(I7),H6,H7))))</f>
        <v xml:space="preserve"> - </v>
      </c>
      <c r="M10" s="341"/>
      <c r="N10" s="342"/>
      <c r="O10" s="373"/>
      <c r="P10" s="363"/>
      <c r="Q10" s="364"/>
      <c r="R10" s="343"/>
      <c r="S10" s="343"/>
      <c r="T10" s="343"/>
      <c r="U10" s="343"/>
      <c r="V10" s="343"/>
      <c r="W10" s="358"/>
      <c r="X10" s="279"/>
      <c r="Y10" s="279"/>
      <c r="Z10" s="279"/>
      <c r="AA10" s="279"/>
      <c r="AB10" s="279"/>
      <c r="AC10" s="279"/>
      <c r="AD10" s="325"/>
      <c r="AE10" s="279"/>
      <c r="AF10" s="279"/>
      <c r="AG10" s="279"/>
      <c r="AH10" s="279"/>
      <c r="AI10" s="279"/>
      <c r="AJ10" s="325"/>
    </row>
    <row r="11" spans="1:36" ht="18.75">
      <c r="A11" s="359"/>
      <c r="B11" s="360"/>
      <c r="C11" s="361"/>
      <c r="D11" s="330" t="s">
        <v>1748</v>
      </c>
      <c r="E11" s="331" t="str">
        <f ca="1">IF(OR(TRIM(D12)="-",TRIM(D13)="-"),"",VLOOKUP(MIN(C12,C13),Hřiště!$B$11:$E$42,4,0))</f>
        <v/>
      </c>
      <c r="F11" s="343"/>
      <c r="G11" s="343"/>
      <c r="H11" s="372"/>
      <c r="I11" s="345"/>
      <c r="J11" s="343"/>
      <c r="K11" s="347">
        <v>16</v>
      </c>
      <c r="L11" s="348" t="str">
        <f ca="1">IF(OR(TRIM(H14)="-",TRIM(H15)="-"), IF(TRIM(H14)="-",H15,H14),IF(AND(I14="",I15="")," ",IF(N(I14)=N(I15)," ",IF(N(I14)&gt;N(I15),H14,H15))))</f>
        <v xml:space="preserve"> - </v>
      </c>
      <c r="M11" s="349"/>
      <c r="N11" s="350"/>
      <c r="O11" s="362"/>
      <c r="P11" s="363"/>
      <c r="Q11" s="364"/>
      <c r="R11" s="343"/>
      <c r="S11" s="343"/>
      <c r="T11" s="343"/>
      <c r="U11" s="343"/>
      <c r="V11" s="343"/>
      <c r="W11" s="358"/>
      <c r="X11" s="279"/>
      <c r="Y11" s="279"/>
      <c r="Z11" s="279"/>
      <c r="AA11" s="279"/>
      <c r="AB11" s="279"/>
      <c r="AC11" s="279"/>
      <c r="AD11" s="325"/>
      <c r="AE11" s="279"/>
      <c r="AF11" s="279"/>
      <c r="AG11" s="279"/>
      <c r="AH11" s="279"/>
      <c r="AI11" s="279"/>
      <c r="AJ11" s="325"/>
    </row>
    <row r="12" spans="1:36" ht="18">
      <c r="A12" s="337" t="str">
        <f ca="1">VLOOKUP(C12,Postupy!$A$3:$C$66,3,0)</f>
        <v/>
      </c>
      <c r="B12" s="338"/>
      <c r="C12" s="339">
        <v>17</v>
      </c>
      <c r="D12" s="340" t="str">
        <f ca="1">VLOOKUP(C12,Postupy!$A$3:$B$66,2,0)</f>
        <v xml:space="preserve"> - </v>
      </c>
      <c r="E12" s="341"/>
      <c r="F12" s="351"/>
      <c r="G12" s="343"/>
      <c r="H12" s="369"/>
      <c r="I12" s="368"/>
      <c r="J12" s="358"/>
      <c r="K12" s="374"/>
      <c r="L12" s="375"/>
      <c r="M12" s="376"/>
      <c r="N12" s="343"/>
      <c r="O12" s="362"/>
      <c r="P12" s="363"/>
      <c r="Q12" s="364"/>
      <c r="R12" s="343"/>
      <c r="S12" s="343"/>
      <c r="T12" s="343"/>
      <c r="U12" s="343"/>
      <c r="V12" s="343"/>
      <c r="W12" s="358"/>
      <c r="X12" s="279"/>
      <c r="Y12" s="279"/>
      <c r="Z12" s="279"/>
      <c r="AA12" s="279"/>
      <c r="AB12" s="279"/>
      <c r="AC12" s="279"/>
      <c r="AD12" s="325"/>
      <c r="AE12" s="279"/>
      <c r="AF12" s="279"/>
      <c r="AG12" s="279"/>
      <c r="AH12" s="279"/>
      <c r="AI12" s="279"/>
      <c r="AJ12" s="325"/>
    </row>
    <row r="13" spans="1:36" ht="18.75">
      <c r="A13" s="337" t="str">
        <f ca="1">VLOOKUP(C13,Postupy!$A$3:$C$66,3,0)</f>
        <v/>
      </c>
      <c r="B13" s="338"/>
      <c r="C13" s="347">
        <v>48</v>
      </c>
      <c r="D13" s="348" t="str">
        <f ca="1">VLOOKUP(C13,Postupy!$A$3:$B$66,2,0)</f>
        <v xml:space="preserve"> - </v>
      </c>
      <c r="E13" s="349"/>
      <c r="F13" s="377" t="s">
        <v>1749</v>
      </c>
      <c r="G13" s="351"/>
      <c r="H13" s="330" t="s">
        <v>1748</v>
      </c>
      <c r="I13" s="331" t="str">
        <f ca="1">IF(OR(TRIM(H14)="-",TRIM(H15)="-"),"",VLOOKUP(MIN(G14,G15),Hřiště!$B$11:$E$42,4,0))</f>
        <v/>
      </c>
      <c r="J13" s="358"/>
      <c r="K13" s="362"/>
      <c r="L13" s="372"/>
      <c r="M13" s="364"/>
      <c r="N13" s="343"/>
      <c r="O13" s="362"/>
      <c r="P13" s="363"/>
      <c r="Q13" s="364"/>
      <c r="R13" s="343"/>
      <c r="S13" s="343"/>
      <c r="T13" s="343"/>
      <c r="U13" s="343"/>
      <c r="V13" s="343"/>
      <c r="W13" s="358"/>
      <c r="X13" s="279"/>
      <c r="Y13" s="279"/>
      <c r="Z13" s="279"/>
      <c r="AA13" s="279"/>
      <c r="AB13" s="279"/>
      <c r="AC13" s="279"/>
      <c r="AD13" s="325"/>
      <c r="AE13" s="279"/>
      <c r="AF13" s="279"/>
      <c r="AG13" s="279"/>
      <c r="AH13" s="279"/>
      <c r="AI13" s="279"/>
      <c r="AJ13" s="325"/>
    </row>
    <row r="14" spans="1:36" ht="18">
      <c r="A14" s="353"/>
      <c r="B14" s="354"/>
      <c r="C14" s="354">
        <f>C12+C13</f>
        <v>65</v>
      </c>
      <c r="D14" s="355"/>
      <c r="E14" s="356"/>
      <c r="F14" s="357"/>
      <c r="G14" s="339">
        <v>17</v>
      </c>
      <c r="H14" s="340" t="str">
        <f ca="1">IF(OR(TRIM(D12)="-",TRIM(D13)="-"), IF(TRIM(D12)="-",D13,D12),IF(AND(E12="",E13="")," ",IF(N(E12)=N(E13)," ",IF(N(E12)&gt;N(E13),D12,D13))))</f>
        <v xml:space="preserve"> - </v>
      </c>
      <c r="I14" s="341"/>
      <c r="J14" s="365"/>
      <c r="K14" s="362"/>
      <c r="L14" s="372"/>
      <c r="M14" s="364"/>
      <c r="N14" s="343"/>
      <c r="O14" s="362"/>
      <c r="P14" s="363"/>
      <c r="Q14" s="364"/>
      <c r="R14" s="343"/>
      <c r="S14" s="343"/>
      <c r="T14" s="343"/>
      <c r="U14" s="343"/>
      <c r="V14" s="343"/>
      <c r="W14" s="358"/>
      <c r="X14" s="279"/>
      <c r="Y14" s="279"/>
      <c r="Z14" s="279"/>
      <c r="AA14" s="279"/>
      <c r="AB14" s="279"/>
      <c r="AC14" s="279"/>
      <c r="AD14" s="325"/>
      <c r="AE14" s="279"/>
      <c r="AF14" s="279"/>
      <c r="AG14" s="279"/>
      <c r="AH14" s="279"/>
      <c r="AI14" s="279"/>
      <c r="AJ14" s="325"/>
    </row>
    <row r="15" spans="1:36" ht="18.75">
      <c r="A15" s="359"/>
      <c r="B15" s="360"/>
      <c r="C15" s="361"/>
      <c r="D15" s="330" t="s">
        <v>1748</v>
      </c>
      <c r="E15" s="331" t="str">
        <f ca="1">IF(OR(TRIM(D16)="-",TRIM(D17)="-"),"",VLOOKUP(MIN(C16,C17),Hřiště!$B$11:$E$42,4,0))</f>
        <v/>
      </c>
      <c r="F15" s="370"/>
      <c r="G15" s="347">
        <v>16</v>
      </c>
      <c r="H15" s="348" t="str">
        <f ca="1">IF(OR(TRIM(D16)="-",TRIM(D17)="-"), IF(TRIM(D16)="-",D17,D16),IF(AND(E16="",E17="")," ",IF(N(E16)=N(E17)," ",IF(N(E16)&gt;N(E17),D16,D17))))</f>
        <v xml:space="preserve"> - </v>
      </c>
      <c r="I15" s="349"/>
      <c r="J15" s="344"/>
      <c r="K15" s="343"/>
      <c r="L15" s="372"/>
      <c r="M15" s="345"/>
      <c r="N15" s="343"/>
      <c r="O15" s="362"/>
      <c r="P15" s="363"/>
      <c r="Q15" s="364"/>
      <c r="R15" s="343"/>
      <c r="S15" s="343"/>
      <c r="T15" s="343"/>
      <c r="U15" s="343"/>
      <c r="V15" s="343"/>
      <c r="W15" s="358"/>
      <c r="X15" s="279"/>
      <c r="Y15" s="279"/>
      <c r="Z15" s="279"/>
      <c r="AA15" s="279"/>
      <c r="AB15" s="279"/>
      <c r="AC15" s="279"/>
      <c r="AD15" s="279"/>
      <c r="AE15" s="279"/>
      <c r="AF15" s="279"/>
      <c r="AG15" s="279"/>
      <c r="AH15" s="279"/>
      <c r="AI15" s="279"/>
      <c r="AJ15" s="279"/>
    </row>
    <row r="16" spans="1:36" ht="18">
      <c r="A16" s="337" t="str">
        <f ca="1">VLOOKUP(C16,Postupy!$A$3:$C$66,3,0)</f>
        <v/>
      </c>
      <c r="B16" s="338"/>
      <c r="C16" s="339">
        <v>49</v>
      </c>
      <c r="D16" s="340" t="str">
        <f ca="1">VLOOKUP(C16,Postupy!$A$3:$B$66,2,0)</f>
        <v xml:space="preserve"> - </v>
      </c>
      <c r="E16" s="341"/>
      <c r="F16" s="378"/>
      <c r="G16" s="374"/>
      <c r="H16" s="375"/>
      <c r="I16" s="376"/>
      <c r="J16" s="343"/>
      <c r="K16" s="343"/>
      <c r="L16" s="369"/>
      <c r="M16" s="345"/>
      <c r="N16" s="343"/>
      <c r="O16" s="362"/>
      <c r="P16" s="363"/>
      <c r="Q16" s="364"/>
      <c r="R16" s="343"/>
      <c r="S16" s="343"/>
      <c r="T16" s="343"/>
      <c r="U16" s="343"/>
      <c r="V16" s="343"/>
      <c r="W16" s="358"/>
      <c r="X16" s="279"/>
      <c r="Y16" s="279"/>
      <c r="Z16" s="279"/>
      <c r="AA16" s="279"/>
      <c r="AB16" s="279"/>
      <c r="AC16" s="279"/>
      <c r="AD16" s="279"/>
      <c r="AE16" s="279"/>
      <c r="AF16" s="279"/>
      <c r="AG16" s="279"/>
      <c r="AH16" s="279"/>
      <c r="AI16" s="279"/>
      <c r="AJ16" s="279"/>
    </row>
    <row r="17" spans="1:36" ht="18.75">
      <c r="A17" s="337" t="str">
        <f ca="1">VLOOKUP(C17,Postupy!$A$3:$C$66,3,0)</f>
        <v/>
      </c>
      <c r="B17" s="338"/>
      <c r="C17" s="347">
        <v>16</v>
      </c>
      <c r="D17" s="348" t="str">
        <f ca="1">VLOOKUP(C17,Postupy!$A$3:$B$66,2,0)</f>
        <v xml:space="preserve"> - </v>
      </c>
      <c r="E17" s="349"/>
      <c r="F17" s="379"/>
      <c r="G17" s="343"/>
      <c r="H17" s="369"/>
      <c r="I17" s="345"/>
      <c r="J17" s="343"/>
      <c r="K17" s="343"/>
      <c r="L17" s="380"/>
      <c r="M17" s="368"/>
      <c r="N17" s="358"/>
      <c r="O17" s="351"/>
      <c r="P17" s="330" t="s">
        <v>1748</v>
      </c>
      <c r="Q17" s="331" t="str">
        <f ca="1">IF(OR(TRIM(P18)="-",TRIM(P19)="-"),"",VLOOKUP(MIN(O18,O19),Hřiště!$B$11:$E$42,4,0))</f>
        <v/>
      </c>
      <c r="S17" s="370"/>
      <c r="T17" s="370"/>
      <c r="U17" s="370"/>
      <c r="V17" s="343"/>
      <c r="W17" s="358"/>
      <c r="X17" s="279"/>
      <c r="Y17" s="279"/>
      <c r="Z17" s="279"/>
      <c r="AA17" s="279"/>
      <c r="AB17" s="279"/>
      <c r="AC17" s="279"/>
      <c r="AD17" s="279"/>
      <c r="AE17" s="279"/>
      <c r="AF17" s="279"/>
      <c r="AG17" s="279"/>
      <c r="AH17" s="279"/>
      <c r="AI17" s="279"/>
      <c r="AJ17" s="279"/>
    </row>
    <row r="18" spans="1:36" ht="18">
      <c r="A18" s="353"/>
      <c r="B18" s="354"/>
      <c r="C18" s="354">
        <f>C16+C17</f>
        <v>65</v>
      </c>
      <c r="D18" s="355"/>
      <c r="E18" s="356"/>
      <c r="F18" s="371">
        <f>C14+C18</f>
        <v>130</v>
      </c>
      <c r="G18" s="343"/>
      <c r="H18" s="372"/>
      <c r="I18" s="345"/>
      <c r="J18" s="343"/>
      <c r="K18" s="343"/>
      <c r="L18" s="381"/>
      <c r="M18" s="368"/>
      <c r="N18" s="358"/>
      <c r="O18" s="339">
        <v>1</v>
      </c>
      <c r="P18" s="340" t="str">
        <f ca="1">IF(OR(TRIM(L10)="-",TRIM(L11)="-"), IF(TRIM(L10)="-",L11,L10),IF(AND(M10="",M11="")," ",IF(N(M10)=N(M11)," ",IF(N(M10)&gt;N(M11),L10,L11))))</f>
        <v xml:space="preserve"> - </v>
      </c>
      <c r="Q18" s="341"/>
      <c r="R18" s="358"/>
      <c r="S18" s="343"/>
      <c r="T18" s="343"/>
      <c r="U18" s="343"/>
      <c r="V18" s="343"/>
      <c r="W18" s="358"/>
      <c r="X18" s="279"/>
      <c r="Y18" s="279"/>
      <c r="Z18" s="279"/>
      <c r="AA18" s="279"/>
      <c r="AB18" s="279"/>
      <c r="AC18" s="279"/>
      <c r="AD18" s="279"/>
      <c r="AE18" s="279"/>
      <c r="AF18" s="279"/>
      <c r="AG18" s="279"/>
      <c r="AH18" s="279"/>
      <c r="AI18" s="279"/>
      <c r="AJ18" s="279"/>
    </row>
    <row r="19" spans="1:36" ht="18.75">
      <c r="A19" s="359"/>
      <c r="B19" s="360"/>
      <c r="C19" s="361"/>
      <c r="D19" s="330" t="s">
        <v>1748</v>
      </c>
      <c r="E19" s="331" t="str">
        <f ca="1">IF(OR(TRIM(D20)="-",TRIM(D21)="-"),"",VLOOKUP(MIN(C20,C21),Hřiště!$B$11:$E$42,4,0))</f>
        <v/>
      </c>
      <c r="F19" s="343"/>
      <c r="G19" s="343"/>
      <c r="H19" s="372"/>
      <c r="I19" s="345"/>
      <c r="J19" s="343"/>
      <c r="K19" s="343"/>
      <c r="L19" s="381"/>
      <c r="M19" s="368"/>
      <c r="N19" s="357"/>
      <c r="O19" s="347">
        <v>8</v>
      </c>
      <c r="P19" s="348" t="str">
        <f ca="1">IF(OR(TRIM(L26)="-",TRIM(L27)="-"),IF(TRIM(L26)="-",L27,L26),IF(AND(M26="",M27="")," ",IF(N(M26)=N(M27)," ",IF(N(M26)&gt;N(M27),L26,L27))))</f>
        <v xml:space="preserve"> -</v>
      </c>
      <c r="Q19" s="349"/>
      <c r="R19" s="350"/>
      <c r="S19" s="382"/>
      <c r="T19" s="343"/>
      <c r="U19" s="343"/>
      <c r="V19" s="343"/>
      <c r="W19" s="358"/>
      <c r="X19" s="279"/>
      <c r="Y19" s="279"/>
      <c r="Z19" s="279"/>
      <c r="AA19" s="279"/>
      <c r="AB19" s="279"/>
      <c r="AC19" s="279"/>
      <c r="AD19" s="279"/>
      <c r="AE19" s="279"/>
      <c r="AF19" s="279"/>
      <c r="AG19" s="279"/>
      <c r="AH19" s="279"/>
      <c r="AI19" s="279"/>
      <c r="AJ19" s="279"/>
    </row>
    <row r="20" spans="1:36" ht="18">
      <c r="A20" s="337" t="str">
        <f ca="1">VLOOKUP(C20,Postupy!$A$3:$C$66,3,0)</f>
        <v/>
      </c>
      <c r="B20" s="338"/>
      <c r="C20" s="339">
        <v>9</v>
      </c>
      <c r="D20" s="340" t="str">
        <f ca="1">VLOOKUP(C20,Postupy!$A$3:$B$66,2,0)</f>
        <v xml:space="preserve"> - </v>
      </c>
      <c r="E20" s="341"/>
      <c r="F20" s="351"/>
      <c r="G20" s="343"/>
      <c r="H20" s="369"/>
      <c r="I20" s="345"/>
      <c r="J20" s="343"/>
      <c r="K20" s="343"/>
      <c r="L20" s="381"/>
      <c r="M20" s="368"/>
      <c r="N20" s="357"/>
      <c r="O20" s="374"/>
      <c r="P20" s="375"/>
      <c r="Q20" s="364"/>
      <c r="R20" s="358"/>
      <c r="S20" s="382"/>
      <c r="T20" s="383"/>
      <c r="U20" s="358"/>
      <c r="V20" s="343"/>
      <c r="W20" s="358"/>
      <c r="X20" s="279"/>
      <c r="Y20" s="279"/>
      <c r="Z20" s="279"/>
      <c r="AA20" s="279"/>
      <c r="AB20" s="279"/>
      <c r="AC20" s="325"/>
      <c r="AD20" s="279"/>
      <c r="AE20" s="279"/>
      <c r="AF20" s="279"/>
      <c r="AG20" s="279"/>
      <c r="AH20" s="279"/>
      <c r="AI20" s="325"/>
      <c r="AJ20" s="279"/>
    </row>
    <row r="21" spans="1:36" ht="18.75">
      <c r="A21" s="337" t="str">
        <f ca="1">VLOOKUP(C21,Postupy!$A$3:$C$66,3,0)</f>
        <v/>
      </c>
      <c r="B21" s="338"/>
      <c r="C21" s="347">
        <v>56</v>
      </c>
      <c r="D21" s="348" t="str">
        <f ca="1">VLOOKUP(C21,Postupy!$A$3:$B$66,2,0)</f>
        <v xml:space="preserve"> - </v>
      </c>
      <c r="E21" s="349"/>
      <c r="F21" s="384"/>
      <c r="G21" s="351"/>
      <c r="H21" s="330" t="s">
        <v>1748</v>
      </c>
      <c r="I21" s="331" t="str">
        <f ca="1">IF(OR(TRIM(H22)="-",TRIM(H23)="-"),"",VLOOKUP(MIN(G22,G23),Hřiště!$B$11:$E$42,4,0))</f>
        <v/>
      </c>
      <c r="J21" s="343"/>
      <c r="K21" s="343"/>
      <c r="L21" s="381"/>
      <c r="M21" s="368"/>
      <c r="N21" s="357"/>
      <c r="O21" s="373"/>
      <c r="P21" s="372"/>
      <c r="Q21" s="368"/>
      <c r="R21" s="358"/>
      <c r="S21" s="382"/>
      <c r="T21" s="383"/>
      <c r="U21" s="358"/>
      <c r="V21" s="343"/>
      <c r="W21" s="358"/>
      <c r="X21" s="279"/>
      <c r="Y21" s="279"/>
      <c r="Z21" s="279"/>
      <c r="AA21" s="279"/>
      <c r="AB21" s="279"/>
      <c r="AC21" s="325"/>
      <c r="AD21" s="279"/>
      <c r="AE21" s="279"/>
      <c r="AF21" s="279"/>
      <c r="AG21" s="279"/>
      <c r="AH21" s="279"/>
      <c r="AI21" s="325"/>
      <c r="AJ21" s="279"/>
    </row>
    <row r="22" spans="1:36" ht="18">
      <c r="A22" s="353"/>
      <c r="B22" s="354"/>
      <c r="C22" s="354">
        <f>C20+C21</f>
        <v>65</v>
      </c>
      <c r="D22" s="355"/>
      <c r="E22" s="356"/>
      <c r="F22" s="357"/>
      <c r="G22" s="339">
        <v>9</v>
      </c>
      <c r="H22" s="340" t="str">
        <f ca="1">IF(OR(TRIM(D20)="-",TRIM(D21)="-"), IF(TRIM(D20)="-",D21,D20),IF(AND(E20="",E21="")," ",IF(N(E20)=N(E21)," ",IF(N(E20)&gt;N(E21),D20,D21))))</f>
        <v xml:space="preserve"> - </v>
      </c>
      <c r="I22" s="341"/>
      <c r="J22" s="342"/>
      <c r="K22" s="343"/>
      <c r="L22" s="381"/>
      <c r="M22" s="368"/>
      <c r="N22" s="357"/>
      <c r="O22" s="373"/>
      <c r="P22" s="372"/>
      <c r="Q22" s="368"/>
      <c r="R22" s="358"/>
      <c r="S22" s="382"/>
      <c r="T22" s="383"/>
      <c r="U22" s="358"/>
      <c r="V22" s="343"/>
      <c r="W22" s="358"/>
      <c r="X22" s="279"/>
      <c r="Y22" s="279"/>
      <c r="Z22" s="279"/>
      <c r="AA22" s="279"/>
      <c r="AB22" s="279"/>
      <c r="AC22" s="325"/>
      <c r="AD22" s="279"/>
      <c r="AE22" s="279"/>
      <c r="AF22" s="279"/>
      <c r="AG22" s="279"/>
      <c r="AH22" s="279"/>
      <c r="AI22" s="325"/>
      <c r="AJ22" s="279"/>
    </row>
    <row r="23" spans="1:36" ht="18.75">
      <c r="A23" s="359"/>
      <c r="B23" s="360"/>
      <c r="C23" s="361"/>
      <c r="D23" s="330" t="s">
        <v>1748</v>
      </c>
      <c r="E23" s="331" t="str">
        <f ca="1">IF(OR(TRIM(D24)="-",TRIM(D25)="-"),"",VLOOKUP(MIN(C24,C25),Hřiště!$B$11:$E$42,4,0))</f>
        <v/>
      </c>
      <c r="F23" s="357"/>
      <c r="G23" s="347">
        <v>24</v>
      </c>
      <c r="H23" s="348" t="str">
        <f ca="1">IF(OR(TRIM(D24)="-",TRIM(D25)="-"), IF(TRIM(D24)="-",D25,D24),IF(AND(E24="",E25="")," ",IF(N(E24)=N(E25)," ",IF(N(E24)&gt;N(E25),D24,D25))))</f>
        <v xml:space="preserve"> - </v>
      </c>
      <c r="I23" s="349"/>
      <c r="J23" s="350"/>
      <c r="K23" s="362"/>
      <c r="L23" s="385"/>
      <c r="M23" s="368"/>
      <c r="N23" s="357"/>
      <c r="O23" s="373"/>
      <c r="P23" s="369"/>
      <c r="Q23" s="368"/>
      <c r="R23" s="358"/>
      <c r="S23" s="382"/>
      <c r="T23" s="383"/>
      <c r="U23" s="358"/>
      <c r="V23" s="343"/>
      <c r="W23" s="358"/>
      <c r="X23" s="279"/>
      <c r="Y23" s="279"/>
      <c r="Z23" s="279"/>
      <c r="AA23" s="279"/>
      <c r="AB23" s="279"/>
      <c r="AC23" s="279"/>
      <c r="AD23" s="279"/>
      <c r="AE23" s="279"/>
      <c r="AF23" s="279"/>
      <c r="AG23" s="279"/>
      <c r="AH23" s="279"/>
      <c r="AI23" s="279"/>
      <c r="AJ23" s="279"/>
    </row>
    <row r="24" spans="1:36" ht="18">
      <c r="A24" s="337" t="str">
        <f ca="1">VLOOKUP(C24,Postupy!$A$3:$C$66,3,0)</f>
        <v/>
      </c>
      <c r="B24" s="338"/>
      <c r="C24" s="339">
        <v>41</v>
      </c>
      <c r="D24" s="340" t="str">
        <f ca="1">VLOOKUP(C24,Postupy!$A$3:$B$66,2,0)</f>
        <v xml:space="preserve"> - </v>
      </c>
      <c r="E24" s="341"/>
      <c r="F24" s="365"/>
      <c r="G24" s="366"/>
      <c r="H24" s="375"/>
      <c r="I24" s="386"/>
      <c r="J24" s="358"/>
      <c r="K24" s="362"/>
      <c r="L24" s="387"/>
      <c r="M24" s="368"/>
      <c r="N24" s="357"/>
      <c r="O24" s="373"/>
      <c r="P24" s="380"/>
      <c r="Q24" s="368"/>
      <c r="R24" s="358"/>
      <c r="S24" s="382"/>
      <c r="T24" s="383"/>
      <c r="U24" s="358"/>
      <c r="V24" s="343"/>
      <c r="W24" s="358"/>
      <c r="X24" s="279"/>
      <c r="Y24" s="279"/>
      <c r="Z24" s="279"/>
      <c r="AA24" s="279"/>
      <c r="AB24" s="279"/>
      <c r="AC24" s="279"/>
      <c r="AD24" s="279"/>
      <c r="AE24" s="279"/>
      <c r="AF24" s="279"/>
      <c r="AG24" s="279"/>
      <c r="AH24" s="279"/>
      <c r="AI24" s="279"/>
      <c r="AJ24" s="279"/>
    </row>
    <row r="25" spans="1:36" ht="18.75">
      <c r="A25" s="337" t="str">
        <f ca="1">VLOOKUP(C25,Postupy!$A$3:$C$66,3,0)</f>
        <v/>
      </c>
      <c r="B25" s="338"/>
      <c r="C25" s="347">
        <v>24</v>
      </c>
      <c r="D25" s="348" t="str">
        <f ca="1">VLOOKUP(C25,Postupy!$A$3:$B$66,2,0)</f>
        <v xml:space="preserve"> - </v>
      </c>
      <c r="E25" s="349"/>
      <c r="F25" s="344"/>
      <c r="G25" s="343"/>
      <c r="H25" s="369"/>
      <c r="I25" s="368"/>
      <c r="J25" s="358"/>
      <c r="K25" s="351"/>
      <c r="L25" s="330" t="s">
        <v>1748</v>
      </c>
      <c r="M25" s="331" t="str">
        <f ca="1">IF(OR(TRIM(L26)="-",TRIM(L27)="-"),"",VLOOKUP(MIN(K26,K27),Hřiště!$B$11:$E$42,4,0))</f>
        <v/>
      </c>
      <c r="N25" s="388"/>
      <c r="O25" s="373"/>
      <c r="P25" s="385"/>
      <c r="Q25" s="368"/>
      <c r="R25" s="358"/>
      <c r="S25" s="382"/>
      <c r="T25" s="383"/>
      <c r="U25" s="358"/>
      <c r="V25" s="343"/>
      <c r="W25" s="358"/>
      <c r="X25" s="279"/>
      <c r="Y25" s="279"/>
      <c r="Z25" s="279"/>
      <c r="AA25" s="279"/>
      <c r="AB25" s="279"/>
      <c r="AC25" s="279"/>
      <c r="AD25" s="279"/>
      <c r="AE25" s="279"/>
      <c r="AF25" s="279"/>
      <c r="AG25" s="279"/>
      <c r="AH25" s="279"/>
      <c r="AI25" s="279"/>
      <c r="AJ25" s="279"/>
    </row>
    <row r="26" spans="1:36" ht="18">
      <c r="A26" s="353"/>
      <c r="B26" s="354"/>
      <c r="C26" s="354">
        <f>C24+C25</f>
        <v>65</v>
      </c>
      <c r="D26" s="355"/>
      <c r="E26" s="356"/>
      <c r="F26" s="371">
        <f>C22+C26</f>
        <v>130</v>
      </c>
      <c r="G26" s="343"/>
      <c r="H26" s="372"/>
      <c r="I26" s="345"/>
      <c r="J26" s="343"/>
      <c r="K26" s="339">
        <v>9</v>
      </c>
      <c r="L26" s="340" t="str">
        <f ca="1">IF(OR(TRIM(H22)="-",TRIM(H23)="-"), IF(TRIM(H22)="-",H23,H22),IF(AND(I22="",I23="")," ",IF(N(I22)=N(I23)," ",IF(N(I22)&gt;N(I23),H22,H23))))</f>
        <v xml:space="preserve"> - </v>
      </c>
      <c r="M26" s="341"/>
      <c r="N26" s="365"/>
      <c r="O26" s="343"/>
      <c r="P26" s="381"/>
      <c r="Q26" s="368"/>
      <c r="R26" s="358"/>
      <c r="S26" s="382"/>
      <c r="T26" s="383"/>
      <c r="U26" s="343"/>
      <c r="V26" s="343"/>
      <c r="W26" s="343"/>
      <c r="X26" s="279"/>
      <c r="Y26" s="346"/>
      <c r="Z26" s="279"/>
      <c r="AA26" s="279"/>
      <c r="AB26" s="279"/>
      <c r="AC26" s="346"/>
      <c r="AD26" s="279"/>
      <c r="AE26" s="279"/>
      <c r="AF26" s="279"/>
      <c r="AG26" s="279"/>
      <c r="AH26" s="279"/>
      <c r="AI26" s="346"/>
      <c r="AJ26" s="279"/>
    </row>
    <row r="27" spans="1:36" ht="18.75">
      <c r="A27" s="359"/>
      <c r="B27" s="360"/>
      <c r="C27" s="361"/>
      <c r="D27" s="330" t="s">
        <v>1748</v>
      </c>
      <c r="E27" s="331" t="str">
        <f ca="1">IF(OR(TRIM(D28)="-",TRIM(D29)="-"),"",VLOOKUP(MIN(C28,C29),Hřiště!$B$11:$E$42,4,0))</f>
        <v/>
      </c>
      <c r="F27" s="343"/>
      <c r="G27" s="343"/>
      <c r="H27" s="372"/>
      <c r="I27" s="345"/>
      <c r="J27" s="343"/>
      <c r="K27" s="347">
        <v>8</v>
      </c>
      <c r="L27" s="348" t="str">
        <f ca="1">IF(OR(TRIM(H30)="-",TRIM(H31)="-"), IF(TRIM(H30)="-",H31,H30),IF(AND(I30="",I31="")," ",IF(N(I30)=N(I31)," ",IF(N(I30)&gt;N(I31),H30,H31))))</f>
        <v xml:space="preserve"> -</v>
      </c>
      <c r="M27" s="349"/>
      <c r="N27" s="344"/>
      <c r="O27" s="343"/>
      <c r="P27" s="381"/>
      <c r="Q27" s="368"/>
      <c r="R27" s="358"/>
      <c r="S27" s="382"/>
      <c r="T27" s="383"/>
      <c r="U27" s="343"/>
      <c r="V27" s="343"/>
      <c r="W27" s="343"/>
      <c r="X27" s="279"/>
      <c r="Y27" s="346"/>
      <c r="Z27" s="279"/>
      <c r="AA27" s="279"/>
      <c r="AB27" s="279"/>
      <c r="AC27" s="346"/>
      <c r="AD27" s="279"/>
      <c r="AE27" s="279"/>
      <c r="AF27" s="279"/>
      <c r="AG27" s="279"/>
      <c r="AH27" s="279"/>
      <c r="AI27" s="346"/>
      <c r="AJ27" s="279"/>
    </row>
    <row r="28" spans="1:36" ht="18">
      <c r="A28" s="337" t="str">
        <f ca="1">VLOOKUP(C28,Postupy!$A$3:$C$66,3,0)</f>
        <v/>
      </c>
      <c r="B28" s="338"/>
      <c r="C28" s="339">
        <v>25</v>
      </c>
      <c r="D28" s="340" t="str">
        <f ca="1">VLOOKUP(C28,Postupy!$A$3:$B$66,2,0)</f>
        <v xml:space="preserve"> - </v>
      </c>
      <c r="E28" s="341"/>
      <c r="F28" s="351"/>
      <c r="G28" s="343"/>
      <c r="H28" s="369"/>
      <c r="I28" s="345"/>
      <c r="J28" s="358"/>
      <c r="K28" s="374"/>
      <c r="L28" s="375"/>
      <c r="M28" s="376"/>
      <c r="N28" s="343"/>
      <c r="O28" s="343"/>
      <c r="P28" s="381"/>
      <c r="Q28" s="368"/>
      <c r="R28" s="358"/>
      <c r="S28" s="382"/>
      <c r="T28" s="389"/>
      <c r="U28" s="358"/>
      <c r="V28" s="343"/>
      <c r="W28" s="358"/>
      <c r="X28" s="279"/>
      <c r="Y28" s="279"/>
      <c r="Z28" s="279"/>
      <c r="AA28" s="279"/>
      <c r="AB28" s="279"/>
      <c r="AC28" s="279"/>
      <c r="AD28" s="279"/>
      <c r="AE28" s="279"/>
      <c r="AF28" s="279"/>
      <c r="AG28" s="279"/>
      <c r="AH28" s="279"/>
      <c r="AI28" s="279"/>
      <c r="AJ28" s="279"/>
    </row>
    <row r="29" spans="1:36" ht="18.75">
      <c r="A29" s="337" t="str">
        <f ca="1">VLOOKUP(C29,Postupy!$A$3:$C$66,3,0)</f>
        <v/>
      </c>
      <c r="B29" s="338"/>
      <c r="C29" s="347">
        <v>40</v>
      </c>
      <c r="D29" s="348" t="str">
        <f ca="1">VLOOKUP(C29,Postupy!$A$3:$B$66,2,0)</f>
        <v xml:space="preserve"> - </v>
      </c>
      <c r="E29" s="349"/>
      <c r="F29" s="377" t="s">
        <v>1749</v>
      </c>
      <c r="G29" s="351"/>
      <c r="H29" s="330" t="s">
        <v>1748</v>
      </c>
      <c r="I29" s="331" t="str">
        <f ca="1">IF(OR(TRIM(H30)="-",TRIM(H31)="-"),"",VLOOKUP(MIN(G30,G31),Hřiště!$B$11:$E$42,4,0))</f>
        <v/>
      </c>
      <c r="J29" s="358"/>
      <c r="K29" s="362"/>
      <c r="L29" s="372"/>
      <c r="M29" s="364"/>
      <c r="N29" s="343"/>
      <c r="O29" s="343"/>
      <c r="P29" s="381"/>
      <c r="Q29" s="368"/>
      <c r="R29" s="358"/>
      <c r="S29" s="382"/>
      <c r="T29" s="389"/>
      <c r="U29" s="358"/>
      <c r="V29" s="343"/>
      <c r="W29" s="358"/>
      <c r="X29" s="390"/>
      <c r="Y29" s="279"/>
      <c r="Z29" s="279"/>
      <c r="AA29" s="279"/>
      <c r="AB29" s="279"/>
      <c r="AC29" s="279"/>
      <c r="AD29" s="279"/>
      <c r="AE29" s="279"/>
      <c r="AF29" s="279"/>
      <c r="AG29" s="279"/>
      <c r="AH29" s="279"/>
      <c r="AI29" s="279"/>
      <c r="AJ29" s="279"/>
    </row>
    <row r="30" spans="1:36" ht="18">
      <c r="A30" s="353"/>
      <c r="B30" s="354"/>
      <c r="C30" s="354">
        <f>C28+C29</f>
        <v>65</v>
      </c>
      <c r="D30" s="355"/>
      <c r="E30" s="356"/>
      <c r="F30" s="391"/>
      <c r="G30" s="339">
        <v>25</v>
      </c>
      <c r="H30" s="340" t="str">
        <f ca="1">IF(OR(TRIM(D28)="-",TRIM(D29)="-"), IF(TRIM(D28)="-",D29,D28),IF(AND(E28="",E29="")," ",IF(N(E28)=N(E29)," ",IF(N(E28)&gt;N(E29),D28,D29))))</f>
        <v xml:space="preserve"> - </v>
      </c>
      <c r="I30" s="341"/>
      <c r="J30" s="365"/>
      <c r="K30" s="362"/>
      <c r="L30" s="372"/>
      <c r="M30" s="364"/>
      <c r="N30" s="343"/>
      <c r="O30" s="343"/>
      <c r="P30" s="381"/>
      <c r="Q30" s="368"/>
      <c r="R30" s="358"/>
      <c r="S30" s="382"/>
      <c r="T30" s="389"/>
      <c r="U30" s="358"/>
      <c r="V30" s="343"/>
      <c r="W30" s="358"/>
      <c r="X30" s="390"/>
      <c r="Y30" s="279"/>
      <c r="Z30" s="279"/>
      <c r="AA30" s="279"/>
      <c r="AB30" s="279"/>
      <c r="AC30" s="279"/>
      <c r="AD30" s="279"/>
      <c r="AE30" s="279"/>
      <c r="AF30" s="279"/>
      <c r="AG30" s="279"/>
      <c r="AH30" s="279"/>
      <c r="AI30" s="279"/>
      <c r="AJ30" s="279"/>
    </row>
    <row r="31" spans="1:36" ht="18.75">
      <c r="A31" s="359"/>
      <c r="B31" s="360"/>
      <c r="C31" s="361"/>
      <c r="D31" s="330" t="s">
        <v>1748</v>
      </c>
      <c r="E31" s="331" t="str">
        <f ca="1">IF(OR(TRIM(D32)="-",TRIM(D33)="-"),"",VLOOKUP(MIN(C32,C33),Hřiště!$B$11:$E$42,4,0))</f>
        <v/>
      </c>
      <c r="F31" s="370"/>
      <c r="G31" s="347">
        <v>8</v>
      </c>
      <c r="H31" s="348" t="str">
        <f ca="1">IF(OR(TRIM(D32)="-",TRIM(D33)="-"), IF(TRIM(D32)="-",D33,D32),IF(AND(E32="",E33="")," ",IF(N(E32)=N(E33)," ",IF(N(E32)&gt;N(E33),D32,D33))))</f>
        <v xml:space="preserve"> -</v>
      </c>
      <c r="I31" s="349"/>
      <c r="J31" s="344"/>
      <c r="K31" s="343"/>
      <c r="L31" s="372"/>
      <c r="M31" s="345"/>
      <c r="N31" s="343"/>
      <c r="O31" s="343"/>
      <c r="P31" s="381"/>
      <c r="Q31" s="368"/>
      <c r="R31" s="358"/>
      <c r="S31" s="382"/>
      <c r="T31" s="389"/>
      <c r="U31" s="358"/>
      <c r="V31" s="343"/>
      <c r="W31" s="358"/>
      <c r="X31" s="390"/>
      <c r="Y31" s="279"/>
      <c r="Z31" s="279"/>
      <c r="AA31" s="279"/>
      <c r="AB31" s="279"/>
      <c r="AC31" s="279"/>
      <c r="AD31" s="279"/>
      <c r="AE31" s="279"/>
      <c r="AF31" s="279"/>
      <c r="AG31" s="279"/>
      <c r="AH31" s="279"/>
      <c r="AI31" s="279"/>
      <c r="AJ31" s="279"/>
    </row>
    <row r="32" spans="1:36" ht="18">
      <c r="A32" s="337" t="str">
        <f ca="1">VLOOKUP(C32,Postupy!$A$3:$C$66,3,0)</f>
        <v/>
      </c>
      <c r="B32" s="338"/>
      <c r="C32" s="339">
        <v>57</v>
      </c>
      <c r="D32" s="340" t="str">
        <f ca="1">VLOOKUP(C32,Postupy!$A$3:$B$66,2,0)</f>
        <v xml:space="preserve"> - </v>
      </c>
      <c r="E32" s="341"/>
      <c r="F32" s="365"/>
      <c r="G32" s="374"/>
      <c r="H32" s="375"/>
      <c r="I32" s="376"/>
      <c r="J32" s="343"/>
      <c r="K32" s="343"/>
      <c r="L32" s="369"/>
      <c r="M32" s="345"/>
      <c r="N32" s="343"/>
      <c r="O32" s="343"/>
      <c r="P32" s="381"/>
      <c r="Q32" s="368"/>
      <c r="R32" s="358"/>
      <c r="S32" s="382"/>
      <c r="T32" s="389"/>
      <c r="U32" s="358"/>
      <c r="V32" s="343"/>
      <c r="W32" s="358"/>
      <c r="X32" s="390"/>
      <c r="Y32" s="279"/>
      <c r="Z32" s="279"/>
      <c r="AA32" s="279"/>
      <c r="AB32" s="279"/>
      <c r="AC32" s="279"/>
      <c r="AD32" s="279"/>
      <c r="AE32" s="279"/>
      <c r="AF32" s="279"/>
      <c r="AG32" s="279"/>
      <c r="AH32" s="279"/>
      <c r="AI32" s="279"/>
      <c r="AJ32" s="279"/>
    </row>
    <row r="33" spans="1:36" ht="18.75">
      <c r="A33" s="337" t="str">
        <f ca="1">VLOOKUP(C33,Postupy!$A$3:$C$66,3,0)</f>
        <v>B2</v>
      </c>
      <c r="B33" s="338"/>
      <c r="C33" s="347">
        <v>8</v>
      </c>
      <c r="D33" s="348" t="str">
        <f ca="1">VLOOKUP(C33,Postupy!$A$3:$B$66,2,0)</f>
        <v xml:space="preserve"> -</v>
      </c>
      <c r="E33" s="349"/>
      <c r="F33" s="379"/>
      <c r="G33" s="343"/>
      <c r="H33" s="369"/>
      <c r="I33" s="345"/>
      <c r="J33" s="343"/>
      <c r="K33" s="343"/>
      <c r="L33" s="380"/>
      <c r="M33" s="345"/>
      <c r="N33" s="343"/>
      <c r="O33" s="343"/>
      <c r="P33" s="381"/>
      <c r="Q33" s="368"/>
      <c r="R33" s="358"/>
      <c r="S33" s="382"/>
      <c r="T33" s="330" t="s">
        <v>1748</v>
      </c>
      <c r="U33" s="331" t="str">
        <f ca="1">IF(OR(TRIM(T34)="-",TRIM(T35)="-"),"",VLOOKUP(MIN(S34,S35),Hřiště!$B$11:$E$42,4,0))</f>
        <v/>
      </c>
      <c r="V33" s="343"/>
      <c r="W33" s="343"/>
      <c r="X33" s="279"/>
      <c r="Y33" s="279"/>
      <c r="Z33" s="279"/>
      <c r="AA33" s="279"/>
      <c r="AB33" s="279"/>
      <c r="AC33" s="279"/>
      <c r="AD33" s="279"/>
      <c r="AE33" s="279"/>
      <c r="AF33" s="279"/>
      <c r="AG33" s="279"/>
      <c r="AH33" s="279"/>
      <c r="AI33" s="279"/>
      <c r="AJ33" s="279"/>
    </row>
    <row r="34" spans="1:36" ht="18">
      <c r="A34" s="353"/>
      <c r="B34" s="354"/>
      <c r="C34" s="354">
        <f>C32+C33</f>
        <v>65</v>
      </c>
      <c r="D34" s="355"/>
      <c r="E34" s="356"/>
      <c r="F34" s="371">
        <f>C30+C34</f>
        <v>130</v>
      </c>
      <c r="G34" s="343"/>
      <c r="H34" s="372"/>
      <c r="I34" s="345"/>
      <c r="J34" s="343"/>
      <c r="K34" s="343"/>
      <c r="L34" s="392"/>
      <c r="M34" s="345"/>
      <c r="N34" s="343"/>
      <c r="O34" s="343"/>
      <c r="P34" s="392"/>
      <c r="Q34" s="345"/>
      <c r="R34" s="343"/>
      <c r="S34" s="393">
        <v>1</v>
      </c>
      <c r="T34" s="340" t="str">
        <f ca="1">IF(OR(TRIM(P18)="-",TRIM(P19)="-"), IF(TRIM(P18)="-",P19,P18),IF(AND(Q18="",Q19="")," ",IF(N(Q18)=N(Q19)," ",IF(N(Q18)&gt;N(Q19),P18,P19))))</f>
        <v xml:space="preserve"> -</v>
      </c>
      <c r="U34" s="341"/>
      <c r="V34" s="358"/>
      <c r="W34" s="343"/>
      <c r="X34" s="279"/>
      <c r="Y34" s="279"/>
      <c r="Z34" s="279"/>
      <c r="AA34" s="279"/>
      <c r="AB34" s="279"/>
      <c r="AC34" s="279"/>
      <c r="AD34" s="279"/>
      <c r="AE34" s="279"/>
      <c r="AF34" s="279"/>
      <c r="AG34" s="279"/>
      <c r="AH34" s="279"/>
      <c r="AI34" s="279"/>
      <c r="AJ34" s="279"/>
    </row>
    <row r="35" spans="1:36" ht="18.75">
      <c r="A35" s="359"/>
      <c r="B35" s="360"/>
      <c r="C35" s="361"/>
      <c r="D35" s="330" t="s">
        <v>1748</v>
      </c>
      <c r="E35" s="331" t="str">
        <f ca="1">IF(OR(TRIM(D36)="-",TRIM(D37)="-"),"",VLOOKUP(MIN(C36,C37),Hřiště!$B$11:$E$42,4,0))</f>
        <v/>
      </c>
      <c r="F35" s="391"/>
      <c r="G35" s="343"/>
      <c r="H35" s="372"/>
      <c r="I35" s="345"/>
      <c r="J35" s="343"/>
      <c r="K35" s="343"/>
      <c r="L35" s="392"/>
      <c r="M35" s="345"/>
      <c r="N35" s="343"/>
      <c r="O35" s="343"/>
      <c r="P35" s="392"/>
      <c r="Q35" s="345"/>
      <c r="R35" s="343"/>
      <c r="S35" s="347">
        <v>4</v>
      </c>
      <c r="T35" s="348" t="str">
        <f ca="1">IF(OR(TRIM(P50)="-",TRIM(P51)="-"), IF(TRIM(P50)="-",P51,P50),IF(AND(Q50="",Q51="")," ",IF(N(Q50)=N(Q51)," ",IF(N(Q50)&gt;N(Q51),P50,P51))))</f>
        <v xml:space="preserve"> -</v>
      </c>
      <c r="U35" s="349"/>
      <c r="V35" s="350"/>
      <c r="W35" s="382"/>
      <c r="X35" s="279"/>
      <c r="Y35" s="279"/>
      <c r="Z35" s="279"/>
      <c r="AA35" s="279"/>
      <c r="AB35" s="279"/>
      <c r="AC35" s="279"/>
      <c r="AD35" s="279"/>
      <c r="AE35" s="279"/>
      <c r="AF35" s="279"/>
      <c r="AG35" s="279"/>
      <c r="AH35" s="279"/>
      <c r="AI35" s="279"/>
      <c r="AJ35" s="279"/>
    </row>
    <row r="36" spans="1:36" ht="18">
      <c r="A36" s="337" t="str">
        <f ca="1">VLOOKUP(C36,Postupy!$A$3:$C$66,3,0)</f>
        <v>C2</v>
      </c>
      <c r="B36" s="338"/>
      <c r="C36" s="339">
        <v>5</v>
      </c>
      <c r="D36" s="340" t="str">
        <f ca="1">VLOOKUP(C36,Postupy!$A$3:$B$66,2,0)</f>
        <v xml:space="preserve"> -</v>
      </c>
      <c r="E36" s="341"/>
      <c r="F36" s="351"/>
      <c r="G36" s="343"/>
      <c r="H36" s="369"/>
      <c r="I36" s="345"/>
      <c r="J36" s="343"/>
      <c r="K36" s="343"/>
      <c r="L36" s="392"/>
      <c r="M36" s="345"/>
      <c r="N36" s="343"/>
      <c r="O36" s="343"/>
      <c r="P36" s="381"/>
      <c r="Q36" s="368"/>
      <c r="R36" s="358"/>
      <c r="S36" s="374"/>
      <c r="T36" s="394"/>
      <c r="U36" s="373"/>
      <c r="V36" s="358"/>
      <c r="W36" s="382"/>
      <c r="X36" s="279"/>
      <c r="Y36" s="279"/>
      <c r="Z36" s="279"/>
      <c r="AA36" s="279"/>
      <c r="AB36" s="279"/>
      <c r="AC36" s="279"/>
      <c r="AD36" s="279"/>
      <c r="AE36" s="279"/>
      <c r="AF36" s="279"/>
      <c r="AG36" s="279"/>
      <c r="AH36" s="279"/>
      <c r="AI36" s="279"/>
      <c r="AJ36" s="279"/>
    </row>
    <row r="37" spans="1:36" ht="18.75">
      <c r="A37" s="337" t="str">
        <f ca="1">VLOOKUP(C37,Postupy!$A$3:$C$66,3,0)</f>
        <v/>
      </c>
      <c r="B37" s="338"/>
      <c r="C37" s="347">
        <v>60</v>
      </c>
      <c r="D37" s="348" t="str">
        <f ca="1">VLOOKUP(C37,Postupy!$A$3:$B$66,2,0)</f>
        <v xml:space="preserve"> - </v>
      </c>
      <c r="E37" s="349"/>
      <c r="F37" s="384"/>
      <c r="G37" s="351"/>
      <c r="H37" s="330" t="s">
        <v>1748</v>
      </c>
      <c r="I37" s="331" t="str">
        <f ca="1">IF(OR(TRIM(H38)="-",TRIM(H39)="-"),"",VLOOKUP(MIN(G38,G39),Hřiště!$B$11:$E$42,4,0))</f>
        <v/>
      </c>
      <c r="J37" s="343"/>
      <c r="K37" s="343"/>
      <c r="L37" s="392"/>
      <c r="M37" s="345"/>
      <c r="N37" s="343"/>
      <c r="O37" s="343"/>
      <c r="P37" s="381"/>
      <c r="Q37" s="368"/>
      <c r="R37" s="358"/>
      <c r="S37" s="362"/>
      <c r="T37" s="352"/>
      <c r="U37" s="373"/>
      <c r="V37" s="358"/>
      <c r="W37" s="382"/>
      <c r="X37" s="390"/>
      <c r="Y37" s="279"/>
      <c r="Z37" s="279"/>
      <c r="AA37" s="279"/>
      <c r="AB37" s="279"/>
      <c r="AC37" s="279"/>
      <c r="AD37" s="279"/>
      <c r="AE37" s="279"/>
      <c r="AF37" s="279"/>
      <c r="AG37" s="279"/>
      <c r="AH37" s="279"/>
      <c r="AI37" s="279"/>
      <c r="AJ37" s="279"/>
    </row>
    <row r="38" spans="1:36" ht="18">
      <c r="A38" s="353"/>
      <c r="B38" s="354"/>
      <c r="C38" s="354">
        <f>C36+C37</f>
        <v>65</v>
      </c>
      <c r="D38" s="355"/>
      <c r="E38" s="356"/>
      <c r="F38" s="357"/>
      <c r="G38" s="339">
        <v>5</v>
      </c>
      <c r="H38" s="340" t="str">
        <f ca="1">IF(OR(TRIM(D36)="-",TRIM(D37)="-"), IF(TRIM(D36)="-",D37,D36),IF(AND(E36="",E37="")," ",IF(N(E36)=N(E37)," ",IF(N(E36)&gt;N(E37),D36,D37))))</f>
        <v xml:space="preserve"> - </v>
      </c>
      <c r="I38" s="341"/>
      <c r="J38" s="342"/>
      <c r="K38" s="343"/>
      <c r="L38" s="392"/>
      <c r="M38" s="345"/>
      <c r="N38" s="343"/>
      <c r="O38" s="343"/>
      <c r="P38" s="381"/>
      <c r="Q38" s="368"/>
      <c r="R38" s="358"/>
      <c r="S38" s="362"/>
      <c r="T38" s="352"/>
      <c r="U38" s="373"/>
      <c r="V38" s="358"/>
      <c r="W38" s="382"/>
      <c r="X38" s="279"/>
      <c r="Y38" s="279"/>
      <c r="Z38" s="279"/>
      <c r="AA38" s="279"/>
      <c r="AB38" s="279"/>
      <c r="AC38" s="279"/>
      <c r="AD38" s="279"/>
      <c r="AE38" s="279"/>
      <c r="AF38" s="279"/>
      <c r="AG38" s="279"/>
      <c r="AH38" s="279"/>
      <c r="AI38" s="279"/>
      <c r="AJ38" s="279"/>
    </row>
    <row r="39" spans="1:36" ht="18.75">
      <c r="A39" s="359"/>
      <c r="B39" s="360"/>
      <c r="C39" s="361"/>
      <c r="D39" s="330" t="s">
        <v>1748</v>
      </c>
      <c r="E39" s="331" t="str">
        <f ca="1">IF(OR(TRIM(D40)="-",TRIM(D41)="-"),"",VLOOKUP(MIN(C40,C41),Hřiště!$B$11:$E$42,4,0))</f>
        <v/>
      </c>
      <c r="F39" s="357"/>
      <c r="G39" s="347">
        <v>28</v>
      </c>
      <c r="H39" s="348" t="str">
        <f ca="1">IF(OR(TRIM(D40)="-",TRIM(D41)="-"), IF(TRIM(D40)="-",D41,D40),IF(AND(E40="",E41="")," ",IF(N(E40)=N(E41)," ",IF(N(E40)&gt;N(E41),D40,D41))))</f>
        <v xml:space="preserve"> - </v>
      </c>
      <c r="I39" s="349"/>
      <c r="J39" s="350"/>
      <c r="K39" s="362"/>
      <c r="L39" s="355"/>
      <c r="M39" s="364"/>
      <c r="N39" s="343"/>
      <c r="O39" s="343"/>
      <c r="P39" s="381"/>
      <c r="Q39" s="368"/>
      <c r="R39" s="358"/>
      <c r="S39" s="362"/>
      <c r="T39" s="352"/>
      <c r="U39" s="373"/>
      <c r="V39" s="358"/>
      <c r="W39" s="382"/>
      <c r="X39" s="279"/>
      <c r="Y39" s="279"/>
      <c r="Z39" s="279"/>
      <c r="AA39" s="279"/>
      <c r="AB39" s="279"/>
      <c r="AC39" s="279"/>
      <c r="AD39" s="279"/>
      <c r="AE39" s="279"/>
      <c r="AF39" s="279"/>
      <c r="AG39" s="279"/>
      <c r="AH39" s="279"/>
      <c r="AI39" s="279"/>
      <c r="AJ39" s="279"/>
    </row>
    <row r="40" spans="1:36" ht="18">
      <c r="A40" s="337" t="str">
        <f ca="1">VLOOKUP(C40,Postupy!$A$3:$C$66,3,0)</f>
        <v/>
      </c>
      <c r="B40" s="338"/>
      <c r="C40" s="339">
        <v>37</v>
      </c>
      <c r="D40" s="340" t="str">
        <f ca="1">VLOOKUP(C40,Postupy!$A$3:$B$66,2,0)</f>
        <v xml:space="preserve"> - </v>
      </c>
      <c r="E40" s="341"/>
      <c r="F40" s="365"/>
      <c r="G40" s="374"/>
      <c r="H40" s="375"/>
      <c r="I40" s="376"/>
      <c r="J40" s="358"/>
      <c r="K40" s="362"/>
      <c r="L40" s="387"/>
      <c r="M40" s="364"/>
      <c r="N40" s="343"/>
      <c r="O40" s="343"/>
      <c r="P40" s="381"/>
      <c r="Q40" s="368"/>
      <c r="R40" s="358"/>
      <c r="S40" s="362"/>
      <c r="T40" s="343"/>
      <c r="U40" s="373"/>
      <c r="V40" s="358"/>
      <c r="W40" s="382"/>
      <c r="X40" s="279"/>
      <c r="Y40" s="279"/>
      <c r="Z40" s="279"/>
      <c r="AA40" s="279"/>
      <c r="AB40" s="279"/>
      <c r="AC40" s="279"/>
      <c r="AD40" s="279"/>
      <c r="AE40" s="279"/>
      <c r="AF40" s="279"/>
      <c r="AG40" s="279"/>
      <c r="AH40" s="279"/>
      <c r="AI40" s="279"/>
      <c r="AJ40" s="279"/>
    </row>
    <row r="41" spans="1:36" ht="18.75">
      <c r="A41" s="337" t="str">
        <f ca="1">VLOOKUP(C41,Postupy!$A$3:$C$66,3,0)</f>
        <v/>
      </c>
      <c r="B41" s="338"/>
      <c r="C41" s="347">
        <v>28</v>
      </c>
      <c r="D41" s="348" t="str">
        <f ca="1">VLOOKUP(C41,Postupy!$A$3:$B$66,2,0)</f>
        <v xml:space="preserve"> - </v>
      </c>
      <c r="E41" s="349"/>
      <c r="F41" s="344"/>
      <c r="G41" s="343"/>
      <c r="H41" s="369"/>
      <c r="I41" s="368"/>
      <c r="J41" s="358"/>
      <c r="K41" s="351"/>
      <c r="L41" s="330" t="s">
        <v>1748</v>
      </c>
      <c r="M41" s="331" t="str">
        <f ca="1">IF(OR(TRIM(L42)="-",TRIM(L43)="-"),"",VLOOKUP(MIN(K42,K43),Hřiště!$B$11:$E$42,4,0))</f>
        <v/>
      </c>
      <c r="N41" s="370"/>
      <c r="O41" s="343"/>
      <c r="P41" s="381"/>
      <c r="Q41" s="368"/>
      <c r="R41" s="358"/>
      <c r="S41" s="362"/>
      <c r="T41" s="343"/>
      <c r="U41" s="373"/>
      <c r="V41" s="358"/>
      <c r="W41" s="382"/>
      <c r="X41" s="279"/>
      <c r="Y41" s="279"/>
      <c r="Z41" s="279"/>
      <c r="AA41" s="279"/>
      <c r="AB41" s="279"/>
      <c r="AC41" s="279"/>
      <c r="AD41" s="279"/>
      <c r="AE41" s="279"/>
      <c r="AF41" s="279"/>
      <c r="AG41" s="279"/>
      <c r="AH41" s="279"/>
      <c r="AI41" s="279"/>
      <c r="AJ41" s="279"/>
    </row>
    <row r="42" spans="1:36" ht="18">
      <c r="A42" s="353"/>
      <c r="B42" s="354"/>
      <c r="C42" s="354">
        <f>C40+C41</f>
        <v>65</v>
      </c>
      <c r="D42" s="355"/>
      <c r="E42" s="356"/>
      <c r="F42" s="371">
        <f>C38+C42</f>
        <v>130</v>
      </c>
      <c r="G42" s="343"/>
      <c r="H42" s="372"/>
      <c r="I42" s="345"/>
      <c r="J42" s="343"/>
      <c r="K42" s="339">
        <v>5</v>
      </c>
      <c r="L42" s="340" t="str">
        <f ca="1">IF(OR(TRIM(H38)="-",TRIM(H39)="-"), IF(TRIM(H38)="-",H39,H38),IF(AND(I38="",I39="")," ",IF(N(I38)=N(I39)," ",IF(N(I38)&gt;N(I39),H38,H39))))</f>
        <v xml:space="preserve"> - </v>
      </c>
      <c r="M42" s="341"/>
      <c r="N42" s="342"/>
      <c r="O42" s="373"/>
      <c r="P42" s="381"/>
      <c r="Q42" s="368"/>
      <c r="R42" s="358"/>
      <c r="S42" s="362"/>
      <c r="T42" s="373"/>
      <c r="U42" s="373"/>
      <c r="V42" s="358"/>
      <c r="W42" s="382"/>
      <c r="X42" s="279"/>
      <c r="Y42" s="279"/>
      <c r="Z42" s="279"/>
      <c r="AA42" s="279"/>
      <c r="AB42" s="346"/>
      <c r="AC42" s="279"/>
      <c r="AD42" s="279"/>
      <c r="AE42" s="279"/>
      <c r="AF42" s="279"/>
      <c r="AG42" s="346"/>
      <c r="AH42" s="346"/>
      <c r="AI42" s="279"/>
      <c r="AJ42" s="279"/>
    </row>
    <row r="43" spans="1:36" ht="18.75">
      <c r="A43" s="359"/>
      <c r="B43" s="360"/>
      <c r="C43" s="361"/>
      <c r="D43" s="330" t="s">
        <v>1748</v>
      </c>
      <c r="E43" s="331" t="str">
        <f ca="1">IF(OR(TRIM(D44)="-",TRIM(D45)="-"),"",VLOOKUP(MIN(C44,C45),Hřiště!$B$11:$E$42,4,0))</f>
        <v/>
      </c>
      <c r="F43" s="343"/>
      <c r="G43" s="343"/>
      <c r="H43" s="372"/>
      <c r="I43" s="345"/>
      <c r="J43" s="343"/>
      <c r="K43" s="347">
        <v>12</v>
      </c>
      <c r="L43" s="348" t="str">
        <f ca="1">IF(OR(TRIM(H46)="-",TRIM(H47)="-"), IF(TRIM(H46)="-",H47,H46),IF(AND(I46="",I47="")," ",IF(N(I46)=N(I47)," ",IF(N(I46)&gt;N(I47),H46,H47))))</f>
        <v xml:space="preserve"> - </v>
      </c>
      <c r="M43" s="349"/>
      <c r="N43" s="350"/>
      <c r="O43" s="362"/>
      <c r="P43" s="381"/>
      <c r="Q43" s="368"/>
      <c r="R43" s="358"/>
      <c r="S43" s="362"/>
      <c r="T43" s="373"/>
      <c r="U43" s="373"/>
      <c r="V43" s="358"/>
      <c r="W43" s="382"/>
      <c r="X43" s="279"/>
      <c r="Y43" s="346"/>
      <c r="Z43" s="279"/>
      <c r="AA43" s="279"/>
      <c r="AB43" s="346"/>
      <c r="AC43" s="279"/>
      <c r="AD43" s="279"/>
      <c r="AE43" s="346"/>
      <c r="AF43" s="346"/>
      <c r="AG43" s="346"/>
      <c r="AH43" s="346"/>
      <c r="AI43" s="279"/>
      <c r="AJ43" s="279"/>
    </row>
    <row r="44" spans="1:36" ht="18">
      <c r="A44" s="337" t="str">
        <f ca="1">VLOOKUP(C44,Postupy!$A$3:$C$66,3,0)</f>
        <v/>
      </c>
      <c r="B44" s="338"/>
      <c r="C44" s="339">
        <v>21</v>
      </c>
      <c r="D44" s="340" t="str">
        <f ca="1">VLOOKUP(C44,Postupy!$A$3:$B$66,2,0)</f>
        <v xml:space="preserve"> - </v>
      </c>
      <c r="E44" s="341"/>
      <c r="F44" s="351"/>
      <c r="G44" s="343"/>
      <c r="H44" s="369"/>
      <c r="I44" s="345"/>
      <c r="J44" s="358"/>
      <c r="K44" s="374"/>
      <c r="L44" s="375"/>
      <c r="M44" s="376"/>
      <c r="N44" s="343"/>
      <c r="O44" s="362"/>
      <c r="P44" s="381"/>
      <c r="Q44" s="368"/>
      <c r="R44" s="358"/>
      <c r="S44" s="362"/>
      <c r="T44" s="373"/>
      <c r="U44" s="373"/>
      <c r="V44" s="358"/>
      <c r="W44" s="382"/>
      <c r="X44" s="279"/>
      <c r="Y44" s="279"/>
      <c r="Z44" s="279"/>
      <c r="AA44" s="279"/>
      <c r="AB44" s="279"/>
      <c r="AC44" s="279"/>
      <c r="AD44" s="279"/>
      <c r="AE44" s="279"/>
      <c r="AF44" s="279"/>
      <c r="AG44" s="279"/>
      <c r="AH44" s="279"/>
      <c r="AI44" s="279"/>
      <c r="AJ44" s="279"/>
    </row>
    <row r="45" spans="1:36" ht="18.75">
      <c r="A45" s="337" t="str">
        <f ca="1">VLOOKUP(C45,Postupy!$A$3:$C$66,3,0)</f>
        <v/>
      </c>
      <c r="B45" s="338"/>
      <c r="C45" s="347">
        <v>44</v>
      </c>
      <c r="D45" s="348" t="str">
        <f ca="1">VLOOKUP(C45,Postupy!$A$3:$B$66,2,0)</f>
        <v xml:space="preserve"> - </v>
      </c>
      <c r="E45" s="349"/>
      <c r="F45" s="377" t="s">
        <v>1749</v>
      </c>
      <c r="G45" s="351"/>
      <c r="H45" s="330" t="s">
        <v>1748</v>
      </c>
      <c r="I45" s="331" t="str">
        <f ca="1">IF(OR(TRIM(H46)="-",TRIM(H47)="-"),"",VLOOKUP(MIN(G46,G47),Hřiště!$B$11:$E$42,4,0))</f>
        <v/>
      </c>
      <c r="J45" s="358"/>
      <c r="K45" s="362"/>
      <c r="L45" s="372"/>
      <c r="M45" s="364"/>
      <c r="N45" s="343"/>
      <c r="O45" s="362"/>
      <c r="P45" s="381"/>
      <c r="Q45" s="368"/>
      <c r="R45" s="358"/>
      <c r="S45" s="362"/>
      <c r="T45" s="373"/>
      <c r="U45" s="373"/>
      <c r="V45" s="358"/>
      <c r="W45" s="382"/>
      <c r="X45" s="279"/>
      <c r="Y45" s="279"/>
      <c r="Z45" s="279"/>
      <c r="AA45" s="279"/>
      <c r="AB45" s="279"/>
      <c r="AC45" s="279"/>
      <c r="AD45" s="279"/>
      <c r="AE45" s="279"/>
      <c r="AF45" s="279"/>
      <c r="AG45" s="279"/>
      <c r="AH45" s="279"/>
      <c r="AI45" s="279"/>
      <c r="AJ45" s="279"/>
    </row>
    <row r="46" spans="1:36" ht="18">
      <c r="A46" s="353"/>
      <c r="B46" s="354"/>
      <c r="C46" s="354">
        <f>C44+C45</f>
        <v>65</v>
      </c>
      <c r="D46" s="355"/>
      <c r="E46" s="356"/>
      <c r="F46" s="357"/>
      <c r="G46" s="339">
        <v>21</v>
      </c>
      <c r="H46" s="340" t="str">
        <f ca="1">IF(OR(TRIM(D44)="-",TRIM(D45)="-"), IF(TRIM(D44)="-",D45,D44),IF(AND(E44="",E45="")," ",IF(N(E44)=N(E45)," ",IF(N(E44)&gt;N(E45),D44,D45))))</f>
        <v xml:space="preserve"> - </v>
      </c>
      <c r="I46" s="341"/>
      <c r="J46" s="365"/>
      <c r="K46" s="362"/>
      <c r="L46" s="372"/>
      <c r="M46" s="364"/>
      <c r="N46" s="343"/>
      <c r="O46" s="362"/>
      <c r="P46" s="381"/>
      <c r="Q46" s="368"/>
      <c r="R46" s="358"/>
      <c r="S46" s="362"/>
      <c r="T46" s="373"/>
      <c r="U46" s="373"/>
      <c r="V46" s="358"/>
      <c r="W46" s="382"/>
      <c r="X46" s="279"/>
      <c r="Y46" s="279"/>
      <c r="Z46" s="279"/>
      <c r="AA46" s="279"/>
      <c r="AB46" s="279"/>
      <c r="AC46" s="279"/>
      <c r="AD46" s="279"/>
      <c r="AE46" s="279"/>
      <c r="AF46" s="279"/>
      <c r="AG46" s="279"/>
      <c r="AH46" s="279"/>
      <c r="AI46" s="279"/>
      <c r="AJ46" s="279"/>
    </row>
    <row r="47" spans="1:36" ht="18.75">
      <c r="A47" s="359"/>
      <c r="B47" s="360"/>
      <c r="C47" s="361"/>
      <c r="D47" s="330" t="s">
        <v>1748</v>
      </c>
      <c r="E47" s="331" t="str">
        <f ca="1">IF(OR(TRIM(D48)="-",TRIM(D49)="-"),"",VLOOKUP(MIN(C48,C49),Hřiště!$B$11:$E$42,4,0))</f>
        <v/>
      </c>
      <c r="F47" s="370"/>
      <c r="G47" s="347">
        <v>12</v>
      </c>
      <c r="H47" s="348" t="str">
        <f ca="1">IF(OR(TRIM(D48)="-",TRIM(D49)="-"), IF(TRIM(D48)="-",D49,D48),IF(AND(E48="",E49="")," ",IF(N(E48)=N(E49)," ",IF(N(E48)&gt;N(E49),D48,D49))))</f>
        <v xml:space="preserve"> - </v>
      </c>
      <c r="I47" s="349"/>
      <c r="J47" s="344"/>
      <c r="K47" s="343"/>
      <c r="L47" s="372"/>
      <c r="M47" s="345"/>
      <c r="N47" s="343"/>
      <c r="O47" s="362"/>
      <c r="P47" s="381"/>
      <c r="Q47" s="368"/>
      <c r="R47" s="358"/>
      <c r="S47" s="362"/>
      <c r="T47" s="373"/>
      <c r="U47" s="373"/>
      <c r="V47" s="358"/>
      <c r="W47" s="382"/>
      <c r="X47" s="279"/>
      <c r="Y47" s="279"/>
      <c r="Z47" s="279"/>
      <c r="AA47" s="279"/>
      <c r="AB47" s="279"/>
      <c r="AC47" s="279"/>
      <c r="AD47" s="279"/>
      <c r="AE47" s="279"/>
      <c r="AF47" s="279"/>
      <c r="AG47" s="279"/>
      <c r="AH47" s="279"/>
      <c r="AI47" s="279"/>
      <c r="AJ47" s="279"/>
    </row>
    <row r="48" spans="1:36" ht="18">
      <c r="A48" s="337" t="str">
        <f ca="1">VLOOKUP(C48,Postupy!$A$3:$C$66,3,0)</f>
        <v/>
      </c>
      <c r="B48" s="338"/>
      <c r="C48" s="339">
        <v>53</v>
      </c>
      <c r="D48" s="340" t="str">
        <f ca="1">VLOOKUP(C48,Postupy!$A$3:$B$66,2,0)</f>
        <v xml:space="preserve"> - </v>
      </c>
      <c r="E48" s="341"/>
      <c r="F48" s="378"/>
      <c r="G48" s="374"/>
      <c r="H48" s="375"/>
      <c r="I48" s="376"/>
      <c r="J48" s="343"/>
      <c r="K48" s="343"/>
      <c r="L48" s="369"/>
      <c r="M48" s="345"/>
      <c r="N48" s="343"/>
      <c r="O48" s="362"/>
      <c r="P48" s="387"/>
      <c r="Q48" s="368"/>
      <c r="R48" s="358"/>
      <c r="S48" s="362"/>
      <c r="T48" s="373"/>
      <c r="U48" s="373"/>
      <c r="V48" s="358"/>
      <c r="W48" s="382"/>
      <c r="X48" s="279"/>
      <c r="Y48" s="279"/>
      <c r="Z48" s="279"/>
      <c r="AA48" s="279"/>
      <c r="AB48" s="279"/>
      <c r="AC48" s="279"/>
      <c r="AD48" s="279"/>
      <c r="AE48" s="279"/>
      <c r="AF48" s="279"/>
      <c r="AG48" s="279"/>
      <c r="AH48" s="279"/>
      <c r="AI48" s="279"/>
      <c r="AJ48" s="279"/>
    </row>
    <row r="49" spans="1:36" ht="18.75">
      <c r="A49" s="337" t="str">
        <f ca="1">VLOOKUP(C49,Postupy!$A$3:$C$66,3,0)</f>
        <v/>
      </c>
      <c r="B49" s="338"/>
      <c r="C49" s="347">
        <v>12</v>
      </c>
      <c r="D49" s="348" t="str">
        <f ca="1">VLOOKUP(C49,Postupy!$A$3:$B$66,2,0)</f>
        <v xml:space="preserve"> - </v>
      </c>
      <c r="E49" s="349"/>
      <c r="F49" s="379"/>
      <c r="G49" s="343"/>
      <c r="H49" s="369"/>
      <c r="I49" s="345"/>
      <c r="J49" s="343"/>
      <c r="K49" s="343"/>
      <c r="L49" s="380"/>
      <c r="M49" s="368"/>
      <c r="N49" s="358"/>
      <c r="O49" s="362"/>
      <c r="P49" s="330" t="s">
        <v>1748</v>
      </c>
      <c r="Q49" s="331" t="str">
        <f ca="1">IF(OR(TRIM(P50)="-",TRIM(P51)="-"),"",VLOOKUP(MIN(O50,O51),Hřiště!$B$11:$E$42,4,0))</f>
        <v/>
      </c>
      <c r="R49" s="358"/>
      <c r="S49" s="362"/>
      <c r="T49" s="373"/>
      <c r="U49" s="373"/>
      <c r="V49" s="358"/>
      <c r="W49" s="382"/>
      <c r="X49" s="279"/>
      <c r="Y49" s="279"/>
      <c r="Z49" s="279"/>
      <c r="AA49" s="279"/>
      <c r="AB49" s="279"/>
      <c r="AC49" s="279"/>
      <c r="AD49" s="279"/>
      <c r="AE49" s="279"/>
      <c r="AF49" s="279"/>
      <c r="AG49" s="279"/>
      <c r="AH49" s="279"/>
      <c r="AI49" s="279"/>
      <c r="AJ49" s="279"/>
    </row>
    <row r="50" spans="1:36" ht="18">
      <c r="A50" s="353"/>
      <c r="B50" s="354"/>
      <c r="C50" s="354">
        <f>C48+C49</f>
        <v>65</v>
      </c>
      <c r="D50" s="355"/>
      <c r="E50" s="356"/>
      <c r="F50" s="371">
        <f>C46+C50</f>
        <v>130</v>
      </c>
      <c r="G50" s="343"/>
      <c r="H50" s="372"/>
      <c r="I50" s="345"/>
      <c r="J50" s="343"/>
      <c r="K50" s="343"/>
      <c r="L50" s="381"/>
      <c r="M50" s="368"/>
      <c r="N50" s="358"/>
      <c r="O50" s="339">
        <v>5</v>
      </c>
      <c r="P50" s="340" t="str">
        <f ca="1">IF(OR(TRIM(L42)="-",TRIM(L43)="-"), IF(TRIM(L42)="-",L43,L42),IF(AND(M42="",M43="")," ",IF(N(M42)=N(M43)," ",IF(N(M42)&gt;N(M43),L42,L43))))</f>
        <v xml:space="preserve"> - </v>
      </c>
      <c r="Q50" s="341"/>
      <c r="R50" s="365"/>
      <c r="S50" s="362"/>
      <c r="T50" s="373"/>
      <c r="U50" s="373"/>
      <c r="V50" s="358"/>
      <c r="W50" s="382"/>
      <c r="X50" s="279"/>
      <c r="Y50" s="279"/>
      <c r="Z50" s="279"/>
      <c r="AA50" s="279"/>
      <c r="AB50" s="279"/>
      <c r="AC50" s="279"/>
      <c r="AD50" s="279"/>
      <c r="AE50" s="279"/>
      <c r="AF50" s="279"/>
      <c r="AG50" s="279"/>
      <c r="AH50" s="279"/>
      <c r="AI50" s="279"/>
      <c r="AJ50" s="279"/>
    </row>
    <row r="51" spans="1:36" ht="18.75">
      <c r="A51" s="359"/>
      <c r="B51" s="360"/>
      <c r="C51" s="361"/>
      <c r="D51" s="330" t="s">
        <v>1748</v>
      </c>
      <c r="E51" s="331" t="str">
        <f ca="1">IF(OR(TRIM(D52)="-",TRIM(D53)="-"),"",VLOOKUP(MIN(C52,C53),Hřiště!$B$11:$E$42,4,0))</f>
        <v/>
      </c>
      <c r="F51" s="343"/>
      <c r="G51" s="343"/>
      <c r="H51" s="372"/>
      <c r="I51" s="345"/>
      <c r="J51" s="343"/>
      <c r="K51" s="343"/>
      <c r="L51" s="381"/>
      <c r="M51" s="368"/>
      <c r="N51" s="358"/>
      <c r="O51" s="347">
        <v>4</v>
      </c>
      <c r="P51" s="348" t="str">
        <f ca="1">IF(OR(TRIM(L58)="-",TRIM(L59)="-"),IF(TRIM(L58)="-",L59,L58),IF(AND(M58="",M59="")," ",IF(N(M58)=N(M59)," ",IF(N(M58)&gt;N(M59),L58,L59))))</f>
        <v xml:space="preserve"> -</v>
      </c>
      <c r="Q51" s="349"/>
      <c r="R51" s="344"/>
      <c r="S51" s="343"/>
      <c r="T51" s="373"/>
      <c r="U51" s="343"/>
      <c r="V51" s="358"/>
      <c r="W51" s="382"/>
      <c r="X51" s="279"/>
      <c r="Y51" s="279"/>
      <c r="Z51" s="279"/>
      <c r="AA51" s="279"/>
      <c r="AB51" s="279"/>
      <c r="AC51" s="279"/>
      <c r="AD51" s="279"/>
      <c r="AE51" s="279"/>
      <c r="AF51" s="279"/>
      <c r="AG51" s="279"/>
      <c r="AH51" s="279"/>
      <c r="AI51" s="279"/>
      <c r="AJ51" s="279"/>
    </row>
    <row r="52" spans="1:36" ht="18">
      <c r="A52" s="337" t="str">
        <f ca="1">VLOOKUP(C52,Postupy!$A$3:$C$66,3,0)</f>
        <v/>
      </c>
      <c r="B52" s="338"/>
      <c r="C52" s="339">
        <v>13</v>
      </c>
      <c r="D52" s="340" t="str">
        <f ca="1">VLOOKUP(C52,Postupy!$A$3:$B$66,2,0)</f>
        <v xml:space="preserve"> - </v>
      </c>
      <c r="E52" s="341"/>
      <c r="F52" s="351"/>
      <c r="G52" s="343"/>
      <c r="H52" s="369"/>
      <c r="I52" s="345"/>
      <c r="J52" s="343"/>
      <c r="K52" s="343"/>
      <c r="L52" s="381"/>
      <c r="M52" s="368"/>
      <c r="N52" s="357"/>
      <c r="O52" s="374"/>
      <c r="P52" s="394"/>
      <c r="Q52" s="364"/>
      <c r="R52" s="343"/>
      <c r="S52" s="343"/>
      <c r="T52" s="373"/>
      <c r="U52" s="343"/>
      <c r="V52" s="358"/>
      <c r="W52" s="382"/>
      <c r="X52" s="279"/>
      <c r="Y52" s="279"/>
      <c r="Z52" s="279"/>
      <c r="AA52" s="279"/>
      <c r="AB52" s="279"/>
      <c r="AC52" s="279"/>
      <c r="AD52" s="279"/>
      <c r="AE52" s="279"/>
      <c r="AF52" s="279"/>
      <c r="AG52" s="279"/>
      <c r="AH52" s="279"/>
      <c r="AI52" s="279"/>
      <c r="AJ52" s="279"/>
    </row>
    <row r="53" spans="1:36" ht="18.75">
      <c r="A53" s="337" t="str">
        <f ca="1">VLOOKUP(C53,Postupy!$A$3:$C$66,3,0)</f>
        <v/>
      </c>
      <c r="B53" s="338"/>
      <c r="C53" s="347">
        <v>52</v>
      </c>
      <c r="D53" s="348" t="str">
        <f ca="1">VLOOKUP(C53,Postupy!$A$3:$B$66,2,0)</f>
        <v xml:space="preserve"> - </v>
      </c>
      <c r="E53" s="349"/>
      <c r="F53" s="384"/>
      <c r="G53" s="351"/>
      <c r="H53" s="330" t="s">
        <v>1748</v>
      </c>
      <c r="I53" s="331" t="str">
        <f ca="1">IF(OR(TRIM(H54)="-",TRIM(H55)="-"),"",VLOOKUP(MIN(G54,G55),Hřiště!$B$11:$E$42,4,0))</f>
        <v/>
      </c>
      <c r="J53" s="343"/>
      <c r="K53" s="343"/>
      <c r="L53" s="381"/>
      <c r="M53" s="368"/>
      <c r="N53" s="357"/>
      <c r="O53" s="373"/>
      <c r="P53" s="352"/>
      <c r="Q53" s="364"/>
      <c r="R53" s="343"/>
      <c r="S53" s="343"/>
      <c r="T53" s="373"/>
      <c r="U53" s="343"/>
      <c r="V53" s="358"/>
      <c r="W53" s="382"/>
      <c r="X53" s="279"/>
      <c r="Y53" s="279"/>
      <c r="Z53" s="279"/>
      <c r="AA53" s="279"/>
      <c r="AB53" s="279"/>
      <c r="AC53" s="279"/>
      <c r="AD53" s="279"/>
      <c r="AE53" s="279"/>
      <c r="AF53" s="279"/>
      <c r="AG53" s="279"/>
      <c r="AH53" s="279"/>
      <c r="AI53" s="279"/>
      <c r="AJ53" s="279"/>
    </row>
    <row r="54" spans="1:36" ht="18">
      <c r="A54" s="353"/>
      <c r="B54" s="354"/>
      <c r="C54" s="354">
        <f>C52+C53</f>
        <v>65</v>
      </c>
      <c r="D54" s="355"/>
      <c r="E54" s="356"/>
      <c r="F54" s="357"/>
      <c r="G54" s="339">
        <v>13</v>
      </c>
      <c r="H54" s="340" t="str">
        <f ca="1">IF(OR(TRIM(D52)="-",TRIM(D53)="-"), IF(TRIM(D52)="-",D53,D52),IF(AND(E52="",E53="")," ",IF(N(E52)=N(E53)," ",IF(N(E52)&gt;N(E53),D52,D53))))</f>
        <v xml:space="preserve"> - </v>
      </c>
      <c r="I54" s="341"/>
      <c r="J54" s="342"/>
      <c r="K54" s="343"/>
      <c r="L54" s="381"/>
      <c r="M54" s="368"/>
      <c r="N54" s="357"/>
      <c r="O54" s="373"/>
      <c r="P54" s="352"/>
      <c r="Q54" s="364"/>
      <c r="R54" s="343"/>
      <c r="S54" s="343"/>
      <c r="T54" s="343"/>
      <c r="U54" s="343"/>
      <c r="V54" s="358"/>
      <c r="W54" s="382"/>
      <c r="X54" s="279"/>
      <c r="Y54" s="279"/>
      <c r="Z54" s="279"/>
      <c r="AA54" s="279"/>
      <c r="AB54" s="279"/>
      <c r="AC54" s="279"/>
      <c r="AD54" s="279"/>
      <c r="AE54" s="279"/>
      <c r="AF54" s="279"/>
      <c r="AG54" s="279"/>
      <c r="AH54" s="279"/>
      <c r="AI54" s="279"/>
      <c r="AJ54" s="279"/>
    </row>
    <row r="55" spans="1:36" ht="18.75">
      <c r="A55" s="359"/>
      <c r="B55" s="360"/>
      <c r="C55" s="361"/>
      <c r="D55" s="330" t="s">
        <v>1748</v>
      </c>
      <c r="E55" s="331" t="str">
        <f ca="1">IF(OR(TRIM(D56)="-",TRIM(D57)="-"),"",VLOOKUP(MIN(C56,C57),Hřiště!$B$11:$E$42,4,0))</f>
        <v/>
      </c>
      <c r="F55" s="357"/>
      <c r="G55" s="347">
        <v>20</v>
      </c>
      <c r="H55" s="348" t="str">
        <f ca="1">IF(OR(TRIM(D56)="-",TRIM(D57)="-"), IF(TRIM(D56)="-",D57,D56),IF(AND(E56="",E57="")," ",IF(N(E56)=N(E57)," ",IF(N(E56)&gt;N(E57),D56,D57))))</f>
        <v xml:space="preserve"> - </v>
      </c>
      <c r="I55" s="349"/>
      <c r="J55" s="350"/>
      <c r="K55" s="362"/>
      <c r="L55" s="381"/>
      <c r="M55" s="368"/>
      <c r="N55" s="357"/>
      <c r="O55" s="373"/>
      <c r="P55" s="352"/>
      <c r="Q55" s="364"/>
      <c r="R55" s="343"/>
      <c r="S55" s="343"/>
      <c r="T55" s="343"/>
      <c r="U55" s="343"/>
      <c r="V55" s="358"/>
      <c r="W55" s="382"/>
      <c r="X55" s="279"/>
      <c r="Y55" s="279"/>
      <c r="Z55" s="279"/>
      <c r="AA55" s="279"/>
      <c r="AB55" s="279"/>
      <c r="AC55" s="279"/>
      <c r="AD55" s="279"/>
      <c r="AE55" s="279"/>
      <c r="AF55" s="279"/>
      <c r="AG55" s="279"/>
      <c r="AH55" s="279"/>
      <c r="AI55" s="279"/>
      <c r="AJ55" s="279"/>
    </row>
    <row r="56" spans="1:36" ht="18">
      <c r="A56" s="337" t="str">
        <f ca="1">VLOOKUP(C56,Postupy!$A$3:$C$66,3,0)</f>
        <v/>
      </c>
      <c r="B56" s="338"/>
      <c r="C56" s="339">
        <v>45</v>
      </c>
      <c r="D56" s="340" t="str">
        <f ca="1">VLOOKUP(C56,Postupy!$A$3:$B$66,2,0)</f>
        <v xml:space="preserve"> - </v>
      </c>
      <c r="E56" s="341"/>
      <c r="F56" s="365"/>
      <c r="G56" s="374"/>
      <c r="H56" s="375"/>
      <c r="I56" s="376"/>
      <c r="J56" s="358"/>
      <c r="K56" s="362"/>
      <c r="L56" s="387"/>
      <c r="M56" s="368"/>
      <c r="N56" s="357"/>
      <c r="O56" s="373"/>
      <c r="P56" s="352"/>
      <c r="Q56" s="364"/>
      <c r="R56" s="343"/>
      <c r="S56" s="343"/>
      <c r="T56" s="343"/>
      <c r="U56" s="343"/>
      <c r="V56" s="358"/>
      <c r="W56" s="382"/>
      <c r="X56" s="279"/>
      <c r="Y56" s="279"/>
      <c r="Z56" s="279"/>
      <c r="AA56" s="279"/>
      <c r="AB56" s="279"/>
      <c r="AC56" s="279"/>
      <c r="AD56" s="279"/>
      <c r="AE56" s="279"/>
      <c r="AF56" s="279"/>
      <c r="AG56" s="279"/>
      <c r="AH56" s="279"/>
      <c r="AI56" s="279"/>
      <c r="AJ56" s="279"/>
    </row>
    <row r="57" spans="1:36" ht="18.75">
      <c r="A57" s="337" t="str">
        <f ca="1">VLOOKUP(C57,Postupy!$A$3:$C$66,3,0)</f>
        <v/>
      </c>
      <c r="B57" s="338"/>
      <c r="C57" s="347">
        <v>20</v>
      </c>
      <c r="D57" s="348" t="str">
        <f ca="1">VLOOKUP(C57,Postupy!$A$3:$B$66,2,0)</f>
        <v xml:space="preserve"> - </v>
      </c>
      <c r="E57" s="349"/>
      <c r="F57" s="344"/>
      <c r="G57" s="343"/>
      <c r="H57" s="369"/>
      <c r="I57" s="345"/>
      <c r="J57" s="358"/>
      <c r="K57" s="351"/>
      <c r="L57" s="330" t="s">
        <v>1748</v>
      </c>
      <c r="M57" s="331" t="str">
        <f ca="1">IF(OR(TRIM(L58)="-",TRIM(L59)="-"),"",VLOOKUP(MIN(K58,K59),Hřiště!$B$11:$E$42,4,0))</f>
        <v/>
      </c>
      <c r="N57" s="388"/>
      <c r="O57" s="373"/>
      <c r="P57" s="352"/>
      <c r="Q57" s="364"/>
      <c r="R57" s="343"/>
      <c r="S57" s="343"/>
      <c r="T57" s="343"/>
      <c r="U57" s="343"/>
      <c r="V57" s="358"/>
      <c r="W57" s="382"/>
      <c r="X57" s="279"/>
      <c r="Y57" s="279"/>
      <c r="Z57" s="279"/>
      <c r="AA57" s="279"/>
      <c r="AB57" s="279"/>
      <c r="AC57" s="279"/>
      <c r="AD57" s="279"/>
      <c r="AE57" s="279"/>
      <c r="AF57" s="279"/>
      <c r="AG57" s="279"/>
      <c r="AH57" s="279"/>
      <c r="AI57" s="279"/>
      <c r="AJ57" s="279"/>
    </row>
    <row r="58" spans="1:36" ht="18">
      <c r="A58" s="353"/>
      <c r="B58" s="354"/>
      <c r="C58" s="354">
        <f>C56+C57</f>
        <v>65</v>
      </c>
      <c r="D58" s="355"/>
      <c r="E58" s="356"/>
      <c r="F58" s="371">
        <f>C54+C58</f>
        <v>130</v>
      </c>
      <c r="G58" s="343"/>
      <c r="H58" s="372"/>
      <c r="I58" s="345"/>
      <c r="J58" s="343"/>
      <c r="K58" s="339">
        <v>13</v>
      </c>
      <c r="L58" s="340" t="str">
        <f ca="1">IF(OR(TRIM(H54)="-",TRIM(H55)="-"), IF(TRIM(H54)="-",H55,H54),IF(AND(I54="",I55="")," ",IF(N(I54)=N(I55)," ",IF(N(I54)&gt;N(I55),H54,H55))))</f>
        <v xml:space="preserve"> - </v>
      </c>
      <c r="M58" s="341"/>
      <c r="N58" s="365"/>
      <c r="O58" s="343"/>
      <c r="P58" s="352"/>
      <c r="Q58" s="345"/>
      <c r="R58" s="343"/>
      <c r="S58" s="343"/>
      <c r="T58" s="343"/>
      <c r="U58" s="343"/>
      <c r="V58" s="358"/>
      <c r="W58" s="382"/>
      <c r="X58" s="279"/>
      <c r="Y58" s="279"/>
      <c r="Z58" s="279"/>
      <c r="AA58" s="279"/>
      <c r="AB58" s="279"/>
      <c r="AC58" s="279"/>
      <c r="AD58" s="279"/>
      <c r="AE58" s="279"/>
      <c r="AF58" s="279"/>
      <c r="AG58" s="279"/>
      <c r="AH58" s="279"/>
      <c r="AI58" s="279"/>
      <c r="AJ58" s="279"/>
    </row>
    <row r="59" spans="1:36" ht="18.75">
      <c r="A59" s="359"/>
      <c r="B59" s="360"/>
      <c r="C59" s="361"/>
      <c r="D59" s="330" t="s">
        <v>1748</v>
      </c>
      <c r="E59" s="331" t="str">
        <f ca="1">IF(OR(TRIM(D60)="-",TRIM(D61)="-"),"",VLOOKUP(MIN(C60,C61),Hřiště!$B$11:$E$42,4,0))</f>
        <v/>
      </c>
      <c r="F59" s="343"/>
      <c r="G59" s="343"/>
      <c r="H59" s="372"/>
      <c r="I59" s="345"/>
      <c r="J59" s="343"/>
      <c r="K59" s="347">
        <v>4</v>
      </c>
      <c r="L59" s="348" t="str">
        <f ca="1">IF(OR(TRIM(H62)="-",TRIM(H63)="-"), IF(TRIM(H62)="-",H63,H62),IF(AND(I62="",I63="")," ",IF(N(I62)=N(I63)," ",IF(N(I62)&gt;N(I63),H62,H63))))</f>
        <v xml:space="preserve"> -</v>
      </c>
      <c r="M59" s="349"/>
      <c r="N59" s="344"/>
      <c r="O59" s="343"/>
      <c r="P59" s="352"/>
      <c r="Q59" s="345"/>
      <c r="R59" s="343"/>
      <c r="S59" s="343"/>
      <c r="T59" s="343"/>
      <c r="U59" s="343"/>
      <c r="V59" s="358"/>
      <c r="W59" s="382"/>
      <c r="X59" s="279"/>
      <c r="Y59" s="279"/>
      <c r="Z59" s="279"/>
      <c r="AA59" s="279"/>
      <c r="AB59" s="279"/>
      <c r="AC59" s="279"/>
      <c r="AD59" s="279"/>
      <c r="AE59" s="279"/>
      <c r="AF59" s="279"/>
      <c r="AG59" s="279"/>
      <c r="AH59" s="279"/>
      <c r="AI59" s="279"/>
      <c r="AJ59" s="279"/>
    </row>
    <row r="60" spans="1:36" ht="18">
      <c r="A60" s="337" t="str">
        <f ca="1">VLOOKUP(C60,Postupy!$A$3:$C$66,3,0)</f>
        <v/>
      </c>
      <c r="B60" s="338"/>
      <c r="C60" s="339">
        <v>29</v>
      </c>
      <c r="D60" s="340" t="str">
        <f ca="1">VLOOKUP(C60,Postupy!$A$3:$B$66,2,0)</f>
        <v xml:space="preserve"> - </v>
      </c>
      <c r="E60" s="341"/>
      <c r="F60" s="351"/>
      <c r="G60" s="343"/>
      <c r="H60" s="369"/>
      <c r="I60" s="368"/>
      <c r="J60" s="358"/>
      <c r="K60" s="374"/>
      <c r="L60" s="394"/>
      <c r="M60" s="376"/>
      <c r="N60" s="343"/>
      <c r="O60" s="343"/>
      <c r="P60" s="343"/>
      <c r="Q60" s="345"/>
      <c r="R60" s="343"/>
      <c r="S60" s="343"/>
      <c r="T60" s="343"/>
      <c r="U60" s="343"/>
      <c r="V60" s="358"/>
      <c r="W60" s="382"/>
      <c r="X60" s="279"/>
      <c r="Y60" s="279"/>
      <c r="Z60" s="279"/>
      <c r="AA60" s="279"/>
      <c r="AB60" s="279"/>
      <c r="AC60" s="279"/>
      <c r="AD60" s="279"/>
      <c r="AE60" s="279"/>
      <c r="AF60" s="279"/>
      <c r="AG60" s="279"/>
      <c r="AH60" s="279"/>
      <c r="AI60" s="279"/>
      <c r="AJ60" s="279"/>
    </row>
    <row r="61" spans="1:36" ht="18.75">
      <c r="A61" s="337" t="str">
        <f ca="1">VLOOKUP(C61,Postupy!$A$3:$C$66,3,0)</f>
        <v/>
      </c>
      <c r="B61" s="338"/>
      <c r="C61" s="347">
        <v>36</v>
      </c>
      <c r="D61" s="348" t="str">
        <f ca="1">VLOOKUP(C61,Postupy!$A$3:$B$66,2,0)</f>
        <v xml:space="preserve"> - </v>
      </c>
      <c r="E61" s="349"/>
      <c r="F61" s="377" t="s">
        <v>1749</v>
      </c>
      <c r="G61" s="351"/>
      <c r="H61" s="330" t="s">
        <v>1748</v>
      </c>
      <c r="I61" s="331" t="str">
        <f ca="1">IF(OR(TRIM(H62)="-",TRIM(H63)="-"),"",VLOOKUP(MIN(G62,G63),Hřiště!$B$11:$E$42,4,0))</f>
        <v/>
      </c>
      <c r="J61" s="358"/>
      <c r="K61" s="362"/>
      <c r="L61" s="352"/>
      <c r="M61" s="364"/>
      <c r="N61" s="343"/>
      <c r="O61" s="343"/>
      <c r="P61" s="343"/>
      <c r="Q61" s="345"/>
      <c r="R61" s="343"/>
      <c r="S61" s="343"/>
      <c r="T61" s="343"/>
      <c r="U61" s="343"/>
      <c r="V61" s="358"/>
      <c r="W61" s="382"/>
      <c r="X61" s="279"/>
      <c r="Y61" s="279"/>
      <c r="Z61" s="279"/>
      <c r="AA61" s="279"/>
      <c r="AB61" s="279"/>
      <c r="AC61" s="279"/>
      <c r="AD61" s="279"/>
      <c r="AE61" s="279"/>
      <c r="AF61" s="279"/>
      <c r="AG61" s="279"/>
      <c r="AH61" s="279"/>
      <c r="AI61" s="279"/>
      <c r="AJ61" s="279"/>
    </row>
    <row r="62" spans="1:36" ht="18">
      <c r="A62" s="353"/>
      <c r="B62" s="354"/>
      <c r="C62" s="354">
        <f>C60+C61</f>
        <v>65</v>
      </c>
      <c r="D62" s="355"/>
      <c r="E62" s="356"/>
      <c r="F62" s="391"/>
      <c r="G62" s="339">
        <v>29</v>
      </c>
      <c r="H62" s="340" t="str">
        <f ca="1">IF(OR(TRIM(D60)="-",TRIM(D61)="-"), IF(TRIM(D60)="-",D61,D60),IF(AND(E60="",E61="")," ",IF(N(E60)=N(E61)," ",IF(N(E60)&gt;N(E61),D60,D61))))</f>
        <v xml:space="preserve"> - </v>
      </c>
      <c r="I62" s="341"/>
      <c r="J62" s="365"/>
      <c r="K62" s="362"/>
      <c r="L62" s="352"/>
      <c r="M62" s="364"/>
      <c r="N62" s="343"/>
      <c r="O62" s="343"/>
      <c r="P62" s="343"/>
      <c r="Q62" s="345"/>
      <c r="R62" s="343"/>
      <c r="S62" s="343"/>
      <c r="T62" s="343"/>
      <c r="U62" s="343"/>
      <c r="V62" s="358"/>
      <c r="W62" s="382"/>
      <c r="X62" s="279"/>
      <c r="Y62" s="279"/>
      <c r="Z62" s="279"/>
      <c r="AA62" s="279"/>
      <c r="AB62" s="279"/>
      <c r="AC62" s="279"/>
      <c r="AD62" s="279"/>
      <c r="AE62" s="279"/>
      <c r="AF62" s="279"/>
      <c r="AG62" s="279"/>
      <c r="AH62" s="279"/>
      <c r="AI62" s="279"/>
      <c r="AJ62" s="279"/>
    </row>
    <row r="63" spans="1:36" ht="18.75">
      <c r="A63" s="359"/>
      <c r="B63" s="360"/>
      <c r="C63" s="361"/>
      <c r="D63" s="330" t="s">
        <v>1748</v>
      </c>
      <c r="E63" s="331" t="str">
        <f ca="1">IF(OR(TRIM(D64)="-",TRIM(D65)="-"),"",VLOOKUP(MIN(C64,C65),Hřiště!$B$11:$E$42,4,0))</f>
        <v/>
      </c>
      <c r="F63" s="370"/>
      <c r="G63" s="347">
        <v>4</v>
      </c>
      <c r="H63" s="348" t="str">
        <f ca="1">IF(OR(TRIM(D64)="-",TRIM(D65)="-"), IF(TRIM(D64)="-",D65,D64),IF(AND(E64="",E65="")," ",IF(N(E64)=N(E65)," ",IF(N(E64)&gt;N(E65),D64,D65))))</f>
        <v xml:space="preserve"> -</v>
      </c>
      <c r="I63" s="349"/>
      <c r="J63" s="344"/>
      <c r="K63" s="343"/>
      <c r="L63" s="352"/>
      <c r="M63" s="345"/>
      <c r="N63" s="343"/>
      <c r="O63" s="343"/>
      <c r="P63" s="343"/>
      <c r="Q63" s="345"/>
      <c r="R63" s="343"/>
      <c r="S63" s="343"/>
      <c r="T63" s="343"/>
      <c r="U63" s="343"/>
      <c r="V63" s="358"/>
      <c r="W63" s="382"/>
      <c r="X63" s="279"/>
      <c r="Y63" s="279"/>
      <c r="Z63" s="279"/>
      <c r="AA63" s="279"/>
      <c r="AB63" s="279"/>
      <c r="AC63" s="279"/>
      <c r="AD63" s="279"/>
      <c r="AE63" s="279"/>
      <c r="AF63" s="279"/>
      <c r="AG63" s="279"/>
      <c r="AH63" s="279"/>
      <c r="AI63" s="279"/>
      <c r="AJ63" s="279"/>
    </row>
    <row r="64" spans="1:36" ht="18.75">
      <c r="A64" s="337" t="str">
        <f ca="1">VLOOKUP(C64,Postupy!$A$3:$C$66,3,0)</f>
        <v/>
      </c>
      <c r="B64" s="338"/>
      <c r="C64" s="339">
        <v>61</v>
      </c>
      <c r="D64" s="340" t="str">
        <f ca="1">VLOOKUP(C64,Postupy!$A$3:$B$66,2,0)</f>
        <v xml:space="preserve"> - </v>
      </c>
      <c r="E64" s="341"/>
      <c r="F64" s="378"/>
      <c r="G64" s="374"/>
      <c r="H64" s="395"/>
      <c r="I64" s="376"/>
      <c r="J64" s="343"/>
      <c r="K64" s="343"/>
      <c r="L64" s="396"/>
      <c r="M64" s="345"/>
      <c r="N64" s="343"/>
      <c r="O64" s="343"/>
      <c r="P64" s="343"/>
      <c r="Q64" s="345"/>
      <c r="R64" s="343"/>
      <c r="S64" s="343"/>
      <c r="T64" s="343"/>
      <c r="U64" s="343"/>
      <c r="V64" s="358"/>
      <c r="W64" s="382"/>
      <c r="X64" s="397" t="s">
        <v>1746</v>
      </c>
      <c r="Y64" s="279"/>
      <c r="Z64" s="279"/>
      <c r="AA64" s="279"/>
      <c r="AB64" s="279"/>
      <c r="AC64" s="279"/>
      <c r="AD64" s="279"/>
      <c r="AE64" s="279"/>
      <c r="AF64" s="279"/>
      <c r="AG64" s="279"/>
      <c r="AH64" s="279"/>
      <c r="AI64" s="279"/>
      <c r="AJ64" s="279"/>
    </row>
    <row r="65" spans="1:36" ht="18.75">
      <c r="A65" s="337" t="str">
        <f ca="1">VLOOKUP(C65,Postupy!$A$3:$C$66,3,0)</f>
        <v>D1</v>
      </c>
      <c r="B65" s="338"/>
      <c r="C65" s="347">
        <v>4</v>
      </c>
      <c r="D65" s="348" t="str">
        <f ca="1">VLOOKUP(C65,Postupy!$A$3:$B$66,2,0)</f>
        <v xml:space="preserve"> -</v>
      </c>
      <c r="E65" s="349"/>
      <c r="F65" s="379"/>
      <c r="G65" s="343"/>
      <c r="H65" s="358"/>
      <c r="I65" s="345"/>
      <c r="J65" s="343"/>
      <c r="K65" s="343"/>
      <c r="L65" s="398"/>
      <c r="M65" s="345"/>
      <c r="N65" s="343"/>
      <c r="O65" s="343"/>
      <c r="P65" s="343"/>
      <c r="Q65" s="345"/>
      <c r="R65" s="343"/>
      <c r="S65" s="343"/>
      <c r="T65" s="343"/>
      <c r="U65" s="343"/>
      <c r="V65" s="358"/>
      <c r="W65" s="382"/>
      <c r="X65" s="330" t="s">
        <v>1748</v>
      </c>
      <c r="Y65" s="331" t="str">
        <f ca="1">IF(OR(TRIM(X66)="-",TRIM(X67)="-"),"",VLOOKUP(MIN(W66,W67),Hřiště!$B$11:$E$42,4,0))</f>
        <v/>
      </c>
      <c r="Z65" s="279"/>
      <c r="AA65" s="279"/>
      <c r="AB65" s="279"/>
      <c r="AC65" s="279"/>
      <c r="AD65" s="279"/>
      <c r="AE65" s="279"/>
      <c r="AF65" s="279"/>
      <c r="AG65" s="279"/>
      <c r="AH65" s="279"/>
      <c r="AI65" s="279"/>
      <c r="AJ65" s="279"/>
    </row>
    <row r="66" spans="1:36" ht="18">
      <c r="A66" s="399"/>
      <c r="B66" s="400"/>
      <c r="C66" s="401">
        <f>C64+C65</f>
        <v>65</v>
      </c>
      <c r="D66" s="402"/>
      <c r="E66" s="403"/>
      <c r="F66" s="371">
        <f>C62+C66</f>
        <v>130</v>
      </c>
      <c r="G66" s="404"/>
      <c r="H66" s="404"/>
      <c r="I66" s="405"/>
      <c r="J66" s="404"/>
      <c r="K66" s="404"/>
      <c r="L66" s="404"/>
      <c r="M66" s="405"/>
      <c r="N66" s="404"/>
      <c r="O66" s="405"/>
      <c r="P66" s="404"/>
      <c r="Q66" s="405"/>
      <c r="R66" s="404"/>
      <c r="S66" s="405"/>
      <c r="T66" s="404"/>
      <c r="U66" s="405"/>
      <c r="V66" s="358"/>
      <c r="W66" s="393">
        <v>1</v>
      </c>
      <c r="X66" s="340" t="str">
        <f ca="1">IF(OR(TRIM(T34)="-",TRIM(T35)="-"),IF(TRIM(T34)="-",T35,T34),IF(AND(U34="",U35="")," ",IF(N(U34)=N(U35)," ",IF(N(U34)&gt;N(U35),T34,T35))))</f>
        <v xml:space="preserve"> -</v>
      </c>
      <c r="Y66" s="341"/>
      <c r="Z66" s="365"/>
      <c r="AA66" s="393">
        <v>1</v>
      </c>
      <c r="AB66" s="406" t="str">
        <f>IF(AND(Y66="",Y67="")," ",IF(N(Y66)=N(Y67)," ",IF(N(Y66)&gt;N(Y67),X66,X67)))</f>
        <v xml:space="preserve"> </v>
      </c>
      <c r="AC66" s="407">
        <v>1</v>
      </c>
      <c r="AD66" s="279"/>
      <c r="AE66" s="279"/>
      <c r="AF66" s="279"/>
      <c r="AG66" s="279"/>
      <c r="AH66" s="279"/>
      <c r="AI66" s="279"/>
      <c r="AJ66" s="279"/>
    </row>
    <row r="67" spans="1:36" ht="18.75">
      <c r="A67" s="353"/>
      <c r="B67" s="408"/>
      <c r="C67" s="409"/>
      <c r="D67" s="330" t="s">
        <v>1748</v>
      </c>
      <c r="E67" s="331" t="str">
        <f ca="1">IF(OR(TRIM(D68)="-",TRIM(D69)="-"),"",VLOOKUP(MIN(C68,C69),Hřiště!$B$11:$E$42,4,0))</f>
        <v/>
      </c>
      <c r="F67" s="408"/>
      <c r="G67" s="410"/>
      <c r="H67" s="344"/>
      <c r="I67" s="376"/>
      <c r="J67" s="344"/>
      <c r="K67" s="344"/>
      <c r="L67" s="344"/>
      <c r="M67" s="411"/>
      <c r="N67" s="344"/>
      <c r="O67" s="411"/>
      <c r="P67" s="344"/>
      <c r="Q67" s="411"/>
      <c r="R67" s="344"/>
      <c r="S67" s="411"/>
      <c r="T67" s="344"/>
      <c r="U67" s="411"/>
      <c r="V67" s="358"/>
      <c r="W67" s="347">
        <v>2</v>
      </c>
      <c r="X67" s="348" t="str">
        <f ca="1">IF(OR(TRIM(T98)="-",TRIM(T99)="-"), IF(TRIM(T98)="-",T99,T98),IF(AND(U98="",U99="")," ",IF(N(U98)=N(U99)," ",IF(N(U98)&gt;N(U99),T98,T99))))</f>
        <v xml:space="preserve"> -</v>
      </c>
      <c r="Y67" s="349"/>
      <c r="Z67" s="343"/>
      <c r="AA67" s="393">
        <v>2</v>
      </c>
      <c r="AB67" s="412" t="str">
        <f>IF(AND(Y66="",Y67="")," ",IF(N(Y67)=N(Y66)," ",IF(N(Y67)&gt;N(Y66),X66,X67)))</f>
        <v xml:space="preserve"> </v>
      </c>
      <c r="AC67" s="413">
        <v>2</v>
      </c>
      <c r="AD67" s="279"/>
      <c r="AE67" s="279"/>
      <c r="AF67" s="279"/>
      <c r="AG67" s="279"/>
      <c r="AH67" s="279"/>
      <c r="AI67" s="279"/>
      <c r="AJ67" s="279"/>
    </row>
    <row r="68" spans="1:36" ht="18">
      <c r="A68" s="337" t="str">
        <f ca="1">VLOOKUP(C68,Postupy!$A$3:$C$66,3,0)</f>
        <v>C1</v>
      </c>
      <c r="B68" s="338"/>
      <c r="C68" s="339">
        <v>3</v>
      </c>
      <c r="D68" s="340" t="str">
        <f ca="1">VLOOKUP(C68,Postupy!$A$3:$B$66,2,0)</f>
        <v xml:space="preserve"> -</v>
      </c>
      <c r="E68" s="341"/>
      <c r="F68" s="342"/>
      <c r="G68" s="343"/>
      <c r="H68" s="344"/>
      <c r="I68" s="345"/>
      <c r="J68" s="343"/>
      <c r="K68" s="343"/>
      <c r="L68" s="343"/>
      <c r="M68" s="345"/>
      <c r="N68" s="343"/>
      <c r="O68" s="343"/>
      <c r="P68" s="373"/>
      <c r="Q68" s="364"/>
      <c r="R68" s="373"/>
      <c r="S68" s="343"/>
      <c r="T68" s="279"/>
      <c r="U68" s="279"/>
      <c r="V68" s="357"/>
      <c r="W68" s="374"/>
      <c r="X68" s="346"/>
      <c r="Y68" s="279"/>
      <c r="Z68" s="279"/>
      <c r="AA68" s="279"/>
      <c r="AB68" s="279"/>
      <c r="AC68" s="279"/>
      <c r="AD68" s="279"/>
      <c r="AE68" s="279"/>
      <c r="AF68" s="279"/>
      <c r="AG68" s="279"/>
      <c r="AH68" s="279"/>
      <c r="AI68" s="279"/>
      <c r="AJ68" s="279"/>
    </row>
    <row r="69" spans="1:36" ht="18.75">
      <c r="A69" s="337" t="str">
        <f ca="1">VLOOKUP(C69,Postupy!$A$3:$C$66,3,0)</f>
        <v/>
      </c>
      <c r="B69" s="338"/>
      <c r="C69" s="347">
        <v>62</v>
      </c>
      <c r="D69" s="348" t="str">
        <f ca="1">VLOOKUP(C69,Postupy!$A$3:$B$66,2,0)</f>
        <v xml:space="preserve"> - </v>
      </c>
      <c r="E69" s="349"/>
      <c r="F69" s="350"/>
      <c r="G69" s="351"/>
      <c r="H69" s="330" t="s">
        <v>1748</v>
      </c>
      <c r="I69" s="331" t="str">
        <f ca="1">IF(OR(TRIM(H70)="-",TRIM(H71)="-"),"",VLOOKUP(MIN(G70,G71),Hřiště!$B$11:$E$42,4,0))</f>
        <v/>
      </c>
      <c r="J69" s="343"/>
      <c r="K69" s="343"/>
      <c r="L69" s="343"/>
      <c r="M69" s="345"/>
      <c r="N69" s="343"/>
      <c r="O69" s="358"/>
      <c r="P69" s="279"/>
      <c r="Q69" s="414"/>
      <c r="R69" s="279"/>
      <c r="S69" s="279"/>
      <c r="T69" s="279"/>
      <c r="U69" s="279"/>
      <c r="V69" s="357"/>
      <c r="W69" s="373"/>
      <c r="X69" s="346"/>
      <c r="Y69" s="279"/>
      <c r="Z69" s="279"/>
      <c r="AA69" s="279"/>
      <c r="AB69" s="279"/>
      <c r="AC69" s="279"/>
      <c r="AD69" s="279"/>
      <c r="AE69" s="279"/>
      <c r="AF69" s="279"/>
      <c r="AG69" s="279"/>
      <c r="AH69" s="279"/>
      <c r="AI69" s="279"/>
      <c r="AJ69" s="279"/>
    </row>
    <row r="70" spans="1:36" ht="18">
      <c r="A70" s="353"/>
      <c r="B70" s="354"/>
      <c r="C70" s="354">
        <f>C68+C69</f>
        <v>65</v>
      </c>
      <c r="D70" s="355"/>
      <c r="E70" s="356"/>
      <c r="F70" s="357"/>
      <c r="G70" s="339">
        <v>3</v>
      </c>
      <c r="H70" s="340" t="str">
        <f ca="1">IF(OR(TRIM(D68)="-",TRIM(D69)="-"), IF(TRIM(D68)="-",D69,D68),IF(AND(E68="",E69="")," ",IF(N(E68)=N(E69)," ",IF(N(E68)&gt;N(E69),D68,D69))))</f>
        <v xml:space="preserve"> - </v>
      </c>
      <c r="I70" s="341"/>
      <c r="J70" s="342"/>
      <c r="K70" s="343"/>
      <c r="L70" s="352"/>
      <c r="M70" s="345"/>
      <c r="N70" s="343"/>
      <c r="O70" s="343"/>
      <c r="P70" s="352"/>
      <c r="Q70" s="345"/>
      <c r="R70" s="343"/>
      <c r="S70" s="343"/>
      <c r="T70" s="343"/>
      <c r="U70" s="343"/>
      <c r="V70" s="357"/>
      <c r="W70" s="373"/>
      <c r="X70" s="279"/>
      <c r="Y70" s="279"/>
      <c r="Z70" s="279"/>
      <c r="AA70" s="279"/>
      <c r="AB70" s="279"/>
      <c r="AC70" s="279"/>
      <c r="AD70" s="279"/>
      <c r="AE70" s="279"/>
      <c r="AF70" s="279"/>
      <c r="AG70" s="279"/>
      <c r="AH70" s="279"/>
      <c r="AI70" s="279"/>
      <c r="AJ70" s="279"/>
    </row>
    <row r="71" spans="1:36" ht="18.75">
      <c r="A71" s="359"/>
      <c r="B71" s="360"/>
      <c r="C71" s="361"/>
      <c r="D71" s="330" t="s">
        <v>1748</v>
      </c>
      <c r="E71" s="331" t="str">
        <f ca="1">IF(OR(TRIM(D72)="-",TRIM(D73)="-"),"",VLOOKUP(MIN(C72,C73),Hřiště!$B$11:$E$42,4,0))</f>
        <v/>
      </c>
      <c r="F71" s="357"/>
      <c r="G71" s="347">
        <v>30</v>
      </c>
      <c r="H71" s="348" t="str">
        <f ca="1">IF(OR(TRIM(D72)="-",TRIM(D73)="-"), IF(TRIM(D72)="-",D73,D72),IF(AND(E72="",E73="")," ",IF(N(E72)=N(E73)," ",IF(N(E72)&gt;N(E73),D72,D73))))</f>
        <v xml:space="preserve"> - </v>
      </c>
      <c r="I71" s="349"/>
      <c r="J71" s="350"/>
      <c r="K71" s="362"/>
      <c r="L71" s="363"/>
      <c r="M71" s="364"/>
      <c r="N71" s="343"/>
      <c r="O71" s="343"/>
      <c r="P71" s="352"/>
      <c r="Q71" s="345"/>
      <c r="R71" s="343"/>
      <c r="S71" s="343"/>
      <c r="T71" s="343"/>
      <c r="U71" s="343"/>
      <c r="V71" s="357"/>
      <c r="W71" s="373"/>
      <c r="X71" s="279"/>
      <c r="Y71" s="279"/>
      <c r="Z71" s="279"/>
      <c r="AA71" s="279"/>
      <c r="AB71" s="279"/>
      <c r="AC71" s="279"/>
      <c r="AD71" s="279"/>
      <c r="AE71" s="279"/>
      <c r="AF71" s="279"/>
      <c r="AG71" s="279"/>
      <c r="AH71" s="279"/>
      <c r="AI71" s="279"/>
      <c r="AJ71" s="279"/>
    </row>
    <row r="72" spans="1:36" ht="18">
      <c r="A72" s="337" t="str">
        <f ca="1">VLOOKUP(C72,Postupy!$A$3:$C$66,3,0)</f>
        <v/>
      </c>
      <c r="B72" s="338"/>
      <c r="C72" s="339">
        <v>35</v>
      </c>
      <c r="D72" s="340" t="str">
        <f ca="1">VLOOKUP(C72,Postupy!$A$3:$B$66,2,0)</f>
        <v xml:space="preserve"> - </v>
      </c>
      <c r="E72" s="341"/>
      <c r="F72" s="365"/>
      <c r="G72" s="366"/>
      <c r="H72" s="367"/>
      <c r="I72" s="368"/>
      <c r="J72" s="358"/>
      <c r="K72" s="362"/>
      <c r="L72" s="363"/>
      <c r="M72" s="364"/>
      <c r="N72" s="343"/>
      <c r="O72" s="343"/>
      <c r="P72" s="352"/>
      <c r="Q72" s="345"/>
      <c r="R72" s="343"/>
      <c r="S72" s="343"/>
      <c r="T72" s="343"/>
      <c r="U72" s="343"/>
      <c r="V72" s="357"/>
      <c r="W72" s="373"/>
      <c r="X72" s="279"/>
      <c r="Y72" s="279"/>
      <c r="Z72" s="279"/>
      <c r="AA72" s="279"/>
      <c r="AB72" s="279"/>
      <c r="AC72" s="279"/>
      <c r="AD72" s="279"/>
      <c r="AE72" s="279"/>
      <c r="AF72" s="279"/>
      <c r="AG72" s="279"/>
      <c r="AH72" s="279"/>
      <c r="AI72" s="279"/>
      <c r="AJ72" s="279"/>
    </row>
    <row r="73" spans="1:36" ht="18.75">
      <c r="A73" s="337" t="str">
        <f ca="1">VLOOKUP(C73,Postupy!$A$3:$C$66,3,0)</f>
        <v/>
      </c>
      <c r="B73" s="338"/>
      <c r="C73" s="347">
        <v>30</v>
      </c>
      <c r="D73" s="348" t="str">
        <f ca="1">VLOOKUP(C73,Postupy!$A$3:$B$66,2,0)</f>
        <v xml:space="preserve"> - </v>
      </c>
      <c r="E73" s="349"/>
      <c r="F73" s="344"/>
      <c r="G73" s="343"/>
      <c r="H73" s="369"/>
      <c r="I73" s="368"/>
      <c r="J73" s="358"/>
      <c r="K73" s="351"/>
      <c r="L73" s="330" t="s">
        <v>1748</v>
      </c>
      <c r="M73" s="331" t="str">
        <f ca="1">IF(OR(TRIM(L74)="-",TRIM(L75)="-"),"",VLOOKUP(MIN(K74,K75),Hřiště!$B$11:$E$42,4,0))</f>
        <v/>
      </c>
      <c r="N73" s="370"/>
      <c r="O73" s="343"/>
      <c r="P73" s="352"/>
      <c r="Q73" s="345"/>
      <c r="R73" s="343"/>
      <c r="S73" s="343"/>
      <c r="T73" s="343"/>
      <c r="U73" s="343"/>
      <c r="V73" s="343"/>
      <c r="W73" s="362"/>
      <c r="X73" s="279"/>
      <c r="Y73" s="279"/>
      <c r="Z73" s="279"/>
      <c r="AA73" s="279"/>
      <c r="AB73" s="279"/>
      <c r="AC73" s="279"/>
      <c r="AD73" s="279"/>
      <c r="AE73" s="279"/>
      <c r="AF73" s="279"/>
      <c r="AG73" s="279"/>
      <c r="AH73" s="279"/>
      <c r="AI73" s="279"/>
      <c r="AJ73" s="279"/>
    </row>
    <row r="74" spans="1:36" ht="18">
      <c r="A74" s="353"/>
      <c r="B74" s="354"/>
      <c r="C74" s="354">
        <f>C72+C73</f>
        <v>65</v>
      </c>
      <c r="D74" s="355"/>
      <c r="E74" s="356"/>
      <c r="F74" s="371">
        <f>C70+C74</f>
        <v>130</v>
      </c>
      <c r="G74" s="343"/>
      <c r="H74" s="372"/>
      <c r="I74" s="345"/>
      <c r="J74" s="343"/>
      <c r="K74" s="339">
        <v>3</v>
      </c>
      <c r="L74" s="340" t="str">
        <f ca="1">IF(OR(TRIM(H70)="-",TRIM(H71)="-"), IF(TRIM(H70)="-",H71,H70),IF(AND(I70="",I71="")," ",IF(N(I70)=N(I71)," ",IF(N(I70)&gt;N(I71),H70,H71))))</f>
        <v xml:space="preserve"> - </v>
      </c>
      <c r="M74" s="341"/>
      <c r="N74" s="342"/>
      <c r="O74" s="373"/>
      <c r="P74" s="363"/>
      <c r="Q74" s="364"/>
      <c r="R74" s="343"/>
      <c r="S74" s="343"/>
      <c r="T74" s="343"/>
      <c r="U74" s="343"/>
      <c r="V74" s="343"/>
      <c r="W74" s="362"/>
      <c r="X74" s="279"/>
      <c r="Y74" s="279"/>
      <c r="Z74" s="279"/>
      <c r="AA74" s="279"/>
      <c r="AB74" s="279"/>
      <c r="AC74" s="325"/>
      <c r="AD74" s="279"/>
      <c r="AE74" s="279"/>
      <c r="AF74" s="279"/>
      <c r="AG74" s="279"/>
      <c r="AH74" s="279"/>
      <c r="AI74" s="279"/>
      <c r="AJ74" s="325"/>
    </row>
    <row r="75" spans="1:36" ht="18.75">
      <c r="A75" s="359"/>
      <c r="B75" s="360"/>
      <c r="C75" s="361"/>
      <c r="D75" s="330" t="s">
        <v>1748</v>
      </c>
      <c r="E75" s="331" t="str">
        <f ca="1">IF(OR(TRIM(D76)="-",TRIM(D77)="-"),"",VLOOKUP(MIN(C76,C77),Hřiště!$B$11:$E$42,4,0))</f>
        <v/>
      </c>
      <c r="F75" s="343"/>
      <c r="G75" s="343"/>
      <c r="H75" s="372"/>
      <c r="I75" s="345"/>
      <c r="J75" s="343"/>
      <c r="K75" s="347">
        <v>14</v>
      </c>
      <c r="L75" s="348" t="str">
        <f ca="1">IF(OR(TRIM(H78)="-",TRIM(H79)="-"), IF(TRIM(H78)="-",H79,H78),IF(AND(I78="",I79="")," ",IF(N(I78)=N(I79)," ",IF(N(I78)&gt;N(I79),H78,H79))))</f>
        <v xml:space="preserve"> - </v>
      </c>
      <c r="M75" s="349"/>
      <c r="N75" s="350"/>
      <c r="O75" s="362"/>
      <c r="P75" s="363"/>
      <c r="Q75" s="364"/>
      <c r="R75" s="343"/>
      <c r="S75" s="343"/>
      <c r="T75" s="343"/>
      <c r="U75" s="343"/>
      <c r="V75" s="343"/>
      <c r="W75" s="362"/>
      <c r="X75" s="279"/>
      <c r="Y75" s="279"/>
      <c r="Z75" s="279"/>
      <c r="AA75" s="279"/>
      <c r="AB75" s="279"/>
      <c r="AC75" s="325"/>
      <c r="AD75" s="279"/>
      <c r="AE75" s="279"/>
      <c r="AF75" s="279"/>
      <c r="AG75" s="279"/>
      <c r="AH75" s="279"/>
      <c r="AI75" s="279"/>
      <c r="AJ75" s="325"/>
    </row>
    <row r="76" spans="1:36" ht="18">
      <c r="A76" s="337" t="str">
        <f ca="1">VLOOKUP(C76,Postupy!$A$3:$C$66,3,0)</f>
        <v/>
      </c>
      <c r="B76" s="338"/>
      <c r="C76" s="339">
        <v>46</v>
      </c>
      <c r="D76" s="340" t="str">
        <f ca="1">VLOOKUP(C76,Postupy!$A$3:$B$66,2,0)</f>
        <v xml:space="preserve"> - </v>
      </c>
      <c r="E76" s="341"/>
      <c r="F76" s="351"/>
      <c r="G76" s="343"/>
      <c r="H76" s="369"/>
      <c r="I76" s="368"/>
      <c r="J76" s="358"/>
      <c r="K76" s="374"/>
      <c r="L76" s="375"/>
      <c r="M76" s="376"/>
      <c r="N76" s="343"/>
      <c r="O76" s="362"/>
      <c r="P76" s="363"/>
      <c r="Q76" s="364"/>
      <c r="R76" s="343"/>
      <c r="S76" s="343"/>
      <c r="T76" s="343"/>
      <c r="U76" s="343"/>
      <c r="V76" s="343"/>
      <c r="W76" s="362"/>
      <c r="X76" s="279"/>
      <c r="Y76" s="279"/>
      <c r="Z76" s="279"/>
      <c r="AA76" s="279"/>
      <c r="AB76" s="279"/>
      <c r="AC76" s="325"/>
      <c r="AD76" s="279"/>
      <c r="AE76" s="279"/>
      <c r="AF76" s="279"/>
      <c r="AG76" s="279"/>
      <c r="AH76" s="279"/>
      <c r="AI76" s="279"/>
      <c r="AJ76" s="325"/>
    </row>
    <row r="77" spans="1:36" ht="18.75">
      <c r="A77" s="337" t="str">
        <f ca="1">VLOOKUP(C77,Postupy!$A$3:$C$66,3,0)</f>
        <v/>
      </c>
      <c r="B77" s="338"/>
      <c r="C77" s="347">
        <v>19</v>
      </c>
      <c r="D77" s="348" t="str">
        <f ca="1">VLOOKUP(C77,Postupy!$A$3:$B$66,2,0)</f>
        <v xml:space="preserve"> - </v>
      </c>
      <c r="E77" s="349"/>
      <c r="F77" s="377" t="s">
        <v>1749</v>
      </c>
      <c r="G77" s="351"/>
      <c r="H77" s="330" t="s">
        <v>1748</v>
      </c>
      <c r="I77" s="331" t="str">
        <f ca="1">IF(OR(TRIM(H78)="-",TRIM(H79)="-"),"",VLOOKUP(MIN(G78,G79),Hřiště!$B$11:$E$42,4,0))</f>
        <v/>
      </c>
      <c r="J77" s="358"/>
      <c r="K77" s="362"/>
      <c r="L77" s="372"/>
      <c r="M77" s="364"/>
      <c r="N77" s="343"/>
      <c r="O77" s="362"/>
      <c r="P77" s="363"/>
      <c r="Q77" s="364"/>
      <c r="R77" s="343"/>
      <c r="S77" s="343"/>
      <c r="T77" s="343"/>
      <c r="U77" s="343"/>
      <c r="V77" s="343"/>
      <c r="W77" s="362"/>
      <c r="X77" s="279"/>
      <c r="Y77" s="279"/>
      <c r="Z77" s="279"/>
      <c r="AA77" s="279"/>
      <c r="AB77" s="279"/>
      <c r="AC77" s="279"/>
      <c r="AD77" s="279"/>
      <c r="AE77" s="279"/>
      <c r="AF77" s="279"/>
      <c r="AG77" s="279"/>
      <c r="AH77" s="279"/>
      <c r="AI77" s="279"/>
      <c r="AJ77" s="325"/>
    </row>
    <row r="78" spans="1:36" ht="18">
      <c r="A78" s="353"/>
      <c r="B78" s="354"/>
      <c r="C78" s="354">
        <f>C76+C77</f>
        <v>65</v>
      </c>
      <c r="D78" s="355"/>
      <c r="E78" s="356"/>
      <c r="F78" s="357"/>
      <c r="G78" s="339">
        <v>19</v>
      </c>
      <c r="H78" s="340" t="str">
        <f ca="1">IF(OR(TRIM(D76)="-",TRIM(D77)="-"), IF(TRIM(D76)="-",D77,D76),IF(AND(E76="",E77="")," ",IF(N(E76)=N(E77)," ",IF(N(E76)&gt;N(E77),D76,D77))))</f>
        <v xml:space="preserve"> - </v>
      </c>
      <c r="I78" s="341"/>
      <c r="J78" s="365"/>
      <c r="K78" s="362"/>
      <c r="L78" s="372"/>
      <c r="M78" s="364"/>
      <c r="N78" s="343"/>
      <c r="O78" s="362"/>
      <c r="P78" s="363"/>
      <c r="Q78" s="364"/>
      <c r="R78" s="343"/>
      <c r="S78" s="343"/>
      <c r="T78" s="343"/>
      <c r="U78" s="343"/>
      <c r="V78" s="343"/>
      <c r="W78" s="362"/>
      <c r="X78" s="279"/>
      <c r="Y78" s="279"/>
      <c r="Z78" s="279"/>
      <c r="AA78" s="279"/>
      <c r="AB78" s="279"/>
      <c r="AC78" s="279"/>
      <c r="AD78" s="279"/>
      <c r="AE78" s="279"/>
      <c r="AF78" s="279"/>
      <c r="AG78" s="279"/>
      <c r="AH78" s="279"/>
      <c r="AI78" s="279"/>
      <c r="AJ78" s="325"/>
    </row>
    <row r="79" spans="1:36" ht="18.75">
      <c r="A79" s="359"/>
      <c r="B79" s="360"/>
      <c r="C79" s="361"/>
      <c r="D79" s="330" t="s">
        <v>1748</v>
      </c>
      <c r="E79" s="331" t="str">
        <f ca="1">IF(OR(TRIM(D80)="-",TRIM(D81)="-"),"",VLOOKUP(MIN(C80,C81),Hřiště!$B$11:$E$42,4,0))</f>
        <v/>
      </c>
      <c r="F79" s="370"/>
      <c r="G79" s="347">
        <v>14</v>
      </c>
      <c r="H79" s="348" t="str">
        <f ca="1">IF(OR(TRIM(D80)="-",TRIM(D81)="-"), IF(TRIM(D80)="-",D81,D80),IF(AND(E80="",E81="")," ",IF(N(E80)=N(E81)," ",IF(N(E80)&gt;N(E81),D80,D81))))</f>
        <v xml:space="preserve"> - </v>
      </c>
      <c r="I79" s="349"/>
      <c r="J79" s="344"/>
      <c r="K79" s="343"/>
      <c r="L79" s="372"/>
      <c r="M79" s="345"/>
      <c r="N79" s="343"/>
      <c r="O79" s="362"/>
      <c r="P79" s="363"/>
      <c r="Q79" s="364"/>
      <c r="R79" s="343"/>
      <c r="S79" s="343"/>
      <c r="T79" s="343"/>
      <c r="U79" s="343"/>
      <c r="V79" s="343"/>
      <c r="W79" s="362"/>
      <c r="X79" s="279"/>
      <c r="Y79" s="279"/>
      <c r="Z79" s="279"/>
      <c r="AA79" s="279"/>
      <c r="AB79" s="279"/>
      <c r="AC79" s="279"/>
      <c r="AD79" s="279"/>
      <c r="AE79" s="279"/>
      <c r="AF79" s="279"/>
      <c r="AG79" s="279"/>
      <c r="AH79" s="279"/>
      <c r="AI79" s="279"/>
      <c r="AJ79" s="279"/>
    </row>
    <row r="80" spans="1:36" ht="18">
      <c r="A80" s="337" t="str">
        <f ca="1">VLOOKUP(C80,Postupy!$A$3:$C$66,3,0)</f>
        <v/>
      </c>
      <c r="B80" s="338"/>
      <c r="C80" s="339">
        <v>51</v>
      </c>
      <c r="D80" s="340" t="str">
        <f ca="1">VLOOKUP(C80,Postupy!$A$3:$B$66,2,0)</f>
        <v xml:space="preserve"> - </v>
      </c>
      <c r="E80" s="341"/>
      <c r="F80" s="378"/>
      <c r="G80" s="374"/>
      <c r="H80" s="375"/>
      <c r="I80" s="376"/>
      <c r="J80" s="343"/>
      <c r="K80" s="343"/>
      <c r="L80" s="369"/>
      <c r="M80" s="345"/>
      <c r="N80" s="343"/>
      <c r="O80" s="362"/>
      <c r="P80" s="363"/>
      <c r="Q80" s="364"/>
      <c r="R80" s="343"/>
      <c r="S80" s="343"/>
      <c r="T80" s="343"/>
      <c r="U80" s="343"/>
      <c r="V80" s="343"/>
      <c r="W80" s="362"/>
      <c r="X80" s="279"/>
      <c r="Y80" s="346"/>
      <c r="Z80" s="279"/>
      <c r="AA80" s="279"/>
      <c r="AB80" s="279"/>
      <c r="AC80" s="346"/>
      <c r="AD80" s="279"/>
      <c r="AE80" s="279"/>
      <c r="AF80" s="279"/>
      <c r="AG80" s="279"/>
      <c r="AH80" s="279"/>
      <c r="AI80" s="279"/>
      <c r="AJ80" s="279"/>
    </row>
    <row r="81" spans="1:36" ht="18.75">
      <c r="A81" s="337" t="str">
        <f ca="1">VLOOKUP(C81,Postupy!$A$3:$C$66,3,0)</f>
        <v/>
      </c>
      <c r="B81" s="338"/>
      <c r="C81" s="347">
        <v>14</v>
      </c>
      <c r="D81" s="348" t="str">
        <f ca="1">VLOOKUP(C81,Postupy!$A$3:$B$66,2,0)</f>
        <v xml:space="preserve"> - </v>
      </c>
      <c r="E81" s="349"/>
      <c r="F81" s="379"/>
      <c r="G81" s="343"/>
      <c r="H81" s="369"/>
      <c r="I81" s="345"/>
      <c r="J81" s="343"/>
      <c r="K81" s="343"/>
      <c r="L81" s="380"/>
      <c r="M81" s="368"/>
      <c r="N81" s="358"/>
      <c r="O81" s="415"/>
      <c r="P81" s="330" t="s">
        <v>1748</v>
      </c>
      <c r="Q81" s="331" t="str">
        <f ca="1">IF(OR(TRIM(P82)="-",TRIM(P83)="-"),"",VLOOKUP(MIN(O82,O83),Hřiště!$B$11:$E$42,4,0))</f>
        <v/>
      </c>
      <c r="S81" s="370"/>
      <c r="T81" s="370"/>
      <c r="U81" s="370"/>
      <c r="V81" s="343"/>
      <c r="W81" s="362"/>
      <c r="X81" s="279"/>
      <c r="Y81" s="279"/>
      <c r="Z81" s="279"/>
      <c r="AA81" s="279"/>
      <c r="AB81" s="279"/>
      <c r="AC81" s="279"/>
      <c r="AD81" s="279"/>
      <c r="AE81" s="279"/>
      <c r="AF81" s="279"/>
      <c r="AG81" s="279"/>
      <c r="AH81" s="279"/>
      <c r="AI81" s="279"/>
      <c r="AJ81" s="279"/>
    </row>
    <row r="82" spans="1:36" ht="18">
      <c r="A82" s="353"/>
      <c r="B82" s="354"/>
      <c r="C82" s="354">
        <f>C80+C81</f>
        <v>65</v>
      </c>
      <c r="D82" s="355"/>
      <c r="E82" s="356"/>
      <c r="F82" s="371">
        <f>C78+C82</f>
        <v>130</v>
      </c>
      <c r="G82" s="343"/>
      <c r="H82" s="372"/>
      <c r="I82" s="345"/>
      <c r="J82" s="343"/>
      <c r="K82" s="343"/>
      <c r="L82" s="381"/>
      <c r="M82" s="368"/>
      <c r="N82" s="358"/>
      <c r="O82" s="339">
        <v>3</v>
      </c>
      <c r="P82" s="340" t="str">
        <f ca="1">IF(OR(TRIM(L74)="-",TRIM(L75)="-"), IF(TRIM(L74)="-",L75,L74),IF(AND(M74="",M75="")," ",IF(N(M74)=N(M75)," ",IF(N(M74)&gt;N(M75),L74,L75))))</f>
        <v xml:space="preserve"> - </v>
      </c>
      <c r="Q82" s="341"/>
      <c r="R82" s="358"/>
      <c r="S82" s="343"/>
      <c r="T82" s="343"/>
      <c r="U82" s="343"/>
      <c r="V82" s="343"/>
      <c r="W82" s="362"/>
      <c r="X82" s="279"/>
      <c r="Y82" s="279"/>
      <c r="Z82" s="279"/>
      <c r="AA82" s="279"/>
      <c r="AB82" s="279"/>
      <c r="AC82" s="279"/>
      <c r="AD82" s="279"/>
      <c r="AE82" s="279"/>
      <c r="AF82" s="279"/>
      <c r="AG82" s="279"/>
      <c r="AH82" s="279"/>
      <c r="AI82" s="279"/>
      <c r="AJ82" s="279"/>
    </row>
    <row r="83" spans="1:36" ht="18.75">
      <c r="A83" s="359"/>
      <c r="B83" s="360"/>
      <c r="C83" s="361"/>
      <c r="D83" s="330" t="s">
        <v>1748</v>
      </c>
      <c r="E83" s="331" t="str">
        <f ca="1">IF(OR(TRIM(D84)="-",TRIM(D85)="-"),"",VLOOKUP(MIN(C84,C85),Hřiště!$B$11:$E$42,4,0))</f>
        <v/>
      </c>
      <c r="F83" s="343"/>
      <c r="G83" s="343"/>
      <c r="H83" s="372"/>
      <c r="I83" s="345"/>
      <c r="J83" s="343"/>
      <c r="K83" s="343"/>
      <c r="L83" s="381"/>
      <c r="M83" s="368"/>
      <c r="N83" s="357"/>
      <c r="O83" s="347">
        <v>6</v>
      </c>
      <c r="P83" s="348" t="str">
        <f ca="1">IF(OR(TRIM(L90)="-",TRIM(L91)="-"),IF(TRIM(L90)="-",L91,L90),IF(AND(M90="",M91="")," ",IF(N(M90)=N(M91)," ",IF(N(M90)&gt;N(M91),L90,L91))))</f>
        <v xml:space="preserve"> -</v>
      </c>
      <c r="Q83" s="349"/>
      <c r="R83" s="350"/>
      <c r="S83" s="382"/>
      <c r="T83" s="343"/>
      <c r="U83" s="343"/>
      <c r="V83" s="343"/>
      <c r="W83" s="362"/>
      <c r="X83" s="279"/>
      <c r="Y83" s="279"/>
      <c r="Z83" s="279"/>
      <c r="AA83" s="279"/>
      <c r="AB83" s="279"/>
      <c r="AC83" s="279"/>
      <c r="AD83" s="279"/>
      <c r="AE83" s="279"/>
      <c r="AF83" s="279"/>
      <c r="AG83" s="279"/>
      <c r="AH83" s="279"/>
      <c r="AI83" s="279"/>
      <c r="AJ83" s="279"/>
    </row>
    <row r="84" spans="1:36" ht="18">
      <c r="A84" s="337" t="str">
        <f ca="1">VLOOKUP(C84,Postupy!$A$3:$C$66,3,0)</f>
        <v/>
      </c>
      <c r="B84" s="338"/>
      <c r="C84" s="339">
        <v>11</v>
      </c>
      <c r="D84" s="340" t="str">
        <f ca="1">VLOOKUP(C84,Postupy!$A$3:$B$66,2,0)</f>
        <v xml:space="preserve"> - </v>
      </c>
      <c r="E84" s="341"/>
      <c r="F84" s="351"/>
      <c r="G84" s="343"/>
      <c r="H84" s="369"/>
      <c r="I84" s="345"/>
      <c r="J84" s="343"/>
      <c r="K84" s="343"/>
      <c r="L84" s="381"/>
      <c r="M84" s="368"/>
      <c r="N84" s="357"/>
      <c r="O84" s="374"/>
      <c r="P84" s="375"/>
      <c r="Q84" s="364"/>
      <c r="R84" s="358"/>
      <c r="S84" s="382"/>
      <c r="T84" s="383"/>
      <c r="U84" s="358"/>
      <c r="V84" s="343"/>
      <c r="W84" s="362"/>
      <c r="X84" s="279"/>
      <c r="Y84" s="279"/>
      <c r="Z84" s="279"/>
      <c r="AA84" s="279"/>
      <c r="AB84" s="279"/>
      <c r="AC84" s="325"/>
      <c r="AD84" s="279"/>
      <c r="AE84" s="279"/>
      <c r="AF84" s="279"/>
      <c r="AG84" s="279"/>
      <c r="AH84" s="279"/>
      <c r="AI84" s="325"/>
      <c r="AJ84" s="279"/>
    </row>
    <row r="85" spans="1:36" ht="18.75">
      <c r="A85" s="337" t="str">
        <f ca="1">VLOOKUP(C85,Postupy!$A$3:$C$66,3,0)</f>
        <v/>
      </c>
      <c r="B85" s="338"/>
      <c r="C85" s="347">
        <v>54</v>
      </c>
      <c r="D85" s="348" t="str">
        <f ca="1">VLOOKUP(C85,Postupy!$A$3:$B$66,2,0)</f>
        <v xml:space="preserve"> - </v>
      </c>
      <c r="E85" s="349"/>
      <c r="F85" s="384"/>
      <c r="G85" s="351"/>
      <c r="H85" s="330" t="s">
        <v>1748</v>
      </c>
      <c r="I85" s="331" t="str">
        <f ca="1">IF(OR(TRIM(H86)="-",TRIM(H87)="-"),"",VLOOKUP(MIN(G86,G87),Hřiště!$B$11:$E$42,4,0))</f>
        <v/>
      </c>
      <c r="J85" s="343"/>
      <c r="K85" s="343"/>
      <c r="L85" s="381"/>
      <c r="M85" s="368"/>
      <c r="N85" s="357"/>
      <c r="O85" s="373"/>
      <c r="P85" s="372"/>
      <c r="Q85" s="368"/>
      <c r="R85" s="358"/>
      <c r="S85" s="382"/>
      <c r="T85" s="383"/>
      <c r="U85" s="358"/>
      <c r="V85" s="343"/>
      <c r="W85" s="362"/>
      <c r="X85" s="279"/>
      <c r="Y85" s="279"/>
      <c r="Z85" s="279"/>
      <c r="AA85" s="279"/>
      <c r="AB85" s="279"/>
      <c r="AC85" s="325"/>
      <c r="AD85" s="279"/>
      <c r="AE85" s="279"/>
      <c r="AF85" s="279"/>
      <c r="AG85" s="279"/>
      <c r="AH85" s="279"/>
      <c r="AI85" s="325"/>
      <c r="AJ85" s="279"/>
    </row>
    <row r="86" spans="1:36" ht="18">
      <c r="A86" s="353"/>
      <c r="B86" s="354"/>
      <c r="C86" s="354">
        <f>C84+C85</f>
        <v>65</v>
      </c>
      <c r="D86" s="355"/>
      <c r="E86" s="356"/>
      <c r="F86" s="357"/>
      <c r="G86" s="339">
        <v>11</v>
      </c>
      <c r="H86" s="340" t="str">
        <f ca="1">IF(OR(TRIM(D84)="-",TRIM(D85)="-"), IF(TRIM(D84)="-",D85,D84),IF(AND(E84="",E85="")," ",IF(N(E84)=N(E85)," ",IF(N(E84)&gt;N(E85),D84,D85))))</f>
        <v xml:space="preserve"> - </v>
      </c>
      <c r="I86" s="341"/>
      <c r="J86" s="342"/>
      <c r="K86" s="343"/>
      <c r="L86" s="381"/>
      <c r="M86" s="368"/>
      <c r="N86" s="357"/>
      <c r="O86" s="373"/>
      <c r="P86" s="372"/>
      <c r="Q86" s="368"/>
      <c r="R86" s="358"/>
      <c r="S86" s="382"/>
      <c r="T86" s="383"/>
      <c r="U86" s="358"/>
      <c r="V86" s="343"/>
      <c r="W86" s="362"/>
      <c r="X86" s="279"/>
      <c r="Y86" s="279"/>
      <c r="Z86" s="279"/>
      <c r="AA86" s="279"/>
      <c r="AB86" s="279"/>
      <c r="AC86" s="325"/>
      <c r="AD86" s="279"/>
      <c r="AE86" s="279"/>
      <c r="AF86" s="279"/>
      <c r="AG86" s="279"/>
      <c r="AH86" s="279"/>
      <c r="AI86" s="325"/>
      <c r="AJ86" s="279"/>
    </row>
    <row r="87" spans="1:36" ht="18.75">
      <c r="A87" s="359"/>
      <c r="B87" s="360"/>
      <c r="C87" s="361"/>
      <c r="D87" s="330" t="s">
        <v>1748</v>
      </c>
      <c r="E87" s="331" t="str">
        <f ca="1">IF(OR(TRIM(D88)="-",TRIM(D89)="-"),"",VLOOKUP(MIN(C88,C89),Hřiště!$B$11:$E$42,4,0))</f>
        <v/>
      </c>
      <c r="F87" s="357"/>
      <c r="G87" s="347">
        <v>22</v>
      </c>
      <c r="H87" s="348" t="str">
        <f ca="1">IF(OR(TRIM(D88)="-",TRIM(D89)="-"), IF(TRIM(D88)="-",D89,D88),IF(AND(E88="",E89="")," ",IF(N(E88)=N(E89)," ",IF(N(E88)&gt;N(E89),D88,D89))))</f>
        <v xml:space="preserve"> - </v>
      </c>
      <c r="I87" s="349"/>
      <c r="J87" s="350"/>
      <c r="K87" s="362"/>
      <c r="L87" s="385"/>
      <c r="M87" s="368"/>
      <c r="N87" s="357"/>
      <c r="O87" s="373"/>
      <c r="P87" s="369"/>
      <c r="Q87" s="368"/>
      <c r="R87" s="358"/>
      <c r="S87" s="382"/>
      <c r="T87" s="383"/>
      <c r="U87" s="358"/>
      <c r="V87" s="343"/>
      <c r="W87" s="362"/>
      <c r="X87" s="279"/>
      <c r="Y87" s="279"/>
      <c r="Z87" s="279"/>
      <c r="AA87" s="279"/>
      <c r="AB87" s="279"/>
      <c r="AC87" s="279"/>
      <c r="AD87" s="279"/>
      <c r="AE87" s="279"/>
      <c r="AF87" s="279"/>
      <c r="AG87" s="279"/>
      <c r="AH87" s="279"/>
      <c r="AI87" s="279"/>
      <c r="AJ87" s="279"/>
    </row>
    <row r="88" spans="1:36" ht="18">
      <c r="A88" s="337" t="str">
        <f ca="1">VLOOKUP(C88,Postupy!$A$3:$C$66,3,0)</f>
        <v/>
      </c>
      <c r="B88" s="338"/>
      <c r="C88" s="339">
        <v>43</v>
      </c>
      <c r="D88" s="340" t="str">
        <f ca="1">VLOOKUP(C88,Postupy!$A$3:$B$66,2,0)</f>
        <v xml:space="preserve"> - </v>
      </c>
      <c r="E88" s="341"/>
      <c r="F88" s="365"/>
      <c r="G88" s="366"/>
      <c r="H88" s="375"/>
      <c r="I88" s="386"/>
      <c r="J88" s="358"/>
      <c r="K88" s="362"/>
      <c r="L88" s="387"/>
      <c r="M88" s="368"/>
      <c r="N88" s="357"/>
      <c r="O88" s="373"/>
      <c r="P88" s="380"/>
      <c r="Q88" s="368"/>
      <c r="R88" s="358"/>
      <c r="S88" s="382"/>
      <c r="T88" s="383"/>
      <c r="U88" s="358"/>
      <c r="V88" s="343"/>
      <c r="W88" s="362"/>
      <c r="X88" s="279"/>
      <c r="Y88" s="279"/>
      <c r="Z88" s="279"/>
      <c r="AA88" s="279"/>
      <c r="AB88" s="279"/>
      <c r="AC88" s="279"/>
      <c r="AD88" s="279"/>
      <c r="AE88" s="279"/>
      <c r="AF88" s="279"/>
      <c r="AG88" s="279"/>
      <c r="AH88" s="279"/>
      <c r="AI88" s="279"/>
      <c r="AJ88" s="279"/>
    </row>
    <row r="89" spans="1:36" ht="18.75">
      <c r="A89" s="337" t="str">
        <f ca="1">VLOOKUP(C89,Postupy!$A$3:$C$66,3,0)</f>
        <v/>
      </c>
      <c r="B89" s="338"/>
      <c r="C89" s="347">
        <v>22</v>
      </c>
      <c r="D89" s="348" t="str">
        <f ca="1">VLOOKUP(C89,Postupy!$A$3:$B$66,2,0)</f>
        <v xml:space="preserve"> - </v>
      </c>
      <c r="E89" s="349"/>
      <c r="F89" s="344"/>
      <c r="G89" s="343"/>
      <c r="H89" s="369"/>
      <c r="I89" s="368"/>
      <c r="J89" s="358"/>
      <c r="K89" s="351"/>
      <c r="L89" s="330" t="s">
        <v>1748</v>
      </c>
      <c r="M89" s="331" t="str">
        <f ca="1">IF(OR(TRIM(L90)="-",TRIM(L91)="-"),"",VLOOKUP(MIN(K90,K91),Hřiště!$B$11:$E$42,4,0))</f>
        <v/>
      </c>
      <c r="N89" s="388"/>
      <c r="O89" s="373"/>
      <c r="P89" s="385"/>
      <c r="Q89" s="368"/>
      <c r="R89" s="358"/>
      <c r="S89" s="382"/>
      <c r="T89" s="383"/>
      <c r="U89" s="358"/>
      <c r="V89" s="343"/>
      <c r="W89" s="362"/>
      <c r="X89" s="279"/>
      <c r="Y89" s="279"/>
      <c r="Z89" s="279"/>
      <c r="AA89" s="279"/>
      <c r="AB89" s="279"/>
      <c r="AC89" s="279"/>
      <c r="AD89" s="279"/>
      <c r="AE89" s="279"/>
      <c r="AF89" s="279"/>
      <c r="AG89" s="279"/>
      <c r="AH89" s="279"/>
      <c r="AI89" s="279"/>
      <c r="AJ89" s="279"/>
    </row>
    <row r="90" spans="1:36" ht="18">
      <c r="A90" s="353"/>
      <c r="B90" s="354"/>
      <c r="C90" s="354">
        <f>C88+C89</f>
        <v>65</v>
      </c>
      <c r="D90" s="355"/>
      <c r="E90" s="356"/>
      <c r="F90" s="371">
        <f>C86+C90</f>
        <v>130</v>
      </c>
      <c r="G90" s="343"/>
      <c r="H90" s="372"/>
      <c r="I90" s="345"/>
      <c r="J90" s="343"/>
      <c r="K90" s="339">
        <v>11</v>
      </c>
      <c r="L90" s="340" t="str">
        <f ca="1">IF(OR(TRIM(H86)="-",TRIM(H87)="-"), IF(TRIM(H86)="-",H87,H86),IF(AND(I86="",I87="")," ",IF(N(I86)=N(I87)," ",IF(N(I86)&gt;N(I87),H86,H87))))</f>
        <v xml:space="preserve"> - </v>
      </c>
      <c r="M90" s="341"/>
      <c r="N90" s="365"/>
      <c r="O90" s="343"/>
      <c r="P90" s="381"/>
      <c r="Q90" s="368"/>
      <c r="R90" s="358"/>
      <c r="S90" s="382"/>
      <c r="T90" s="383"/>
      <c r="U90" s="343"/>
      <c r="V90" s="343"/>
      <c r="W90" s="362"/>
      <c r="X90" s="279"/>
      <c r="Y90" s="346"/>
      <c r="Z90" s="279"/>
      <c r="AA90" s="279"/>
      <c r="AB90" s="279"/>
      <c r="AC90" s="346"/>
      <c r="AD90" s="279"/>
      <c r="AE90" s="279"/>
      <c r="AF90" s="279"/>
      <c r="AG90" s="279"/>
      <c r="AH90" s="279"/>
      <c r="AI90" s="346"/>
      <c r="AJ90" s="279"/>
    </row>
    <row r="91" spans="1:36" ht="18.75">
      <c r="A91" s="359"/>
      <c r="B91" s="360"/>
      <c r="C91" s="361"/>
      <c r="D91" s="330" t="s">
        <v>1748</v>
      </c>
      <c r="E91" s="331" t="str">
        <f ca="1">IF(OR(TRIM(D92)="-",TRIM(D93)="-"),"",VLOOKUP(MIN(C92,C93),Hřiště!$B$11:$E$42,4,0))</f>
        <v/>
      </c>
      <c r="F91" s="343"/>
      <c r="G91" s="343"/>
      <c r="H91" s="372"/>
      <c r="I91" s="345"/>
      <c r="J91" s="343"/>
      <c r="K91" s="347">
        <v>6</v>
      </c>
      <c r="L91" s="348" t="str">
        <f ca="1">IF(OR(TRIM(H94)="-",TRIM(H95)="-"), IF(TRIM(H94)="-",H95,H94),IF(AND(I94="",I95="")," ",IF(N(I94)=N(I95)," ",IF(N(I94)&gt;N(I95),H94,H95))))</f>
        <v xml:space="preserve"> -</v>
      </c>
      <c r="M91" s="349"/>
      <c r="N91" s="344"/>
      <c r="O91" s="343"/>
      <c r="P91" s="381"/>
      <c r="Q91" s="368"/>
      <c r="R91" s="358"/>
      <c r="S91" s="382"/>
      <c r="T91" s="383"/>
      <c r="U91" s="343"/>
      <c r="V91" s="343"/>
      <c r="W91" s="362"/>
      <c r="X91" s="279"/>
      <c r="Y91" s="346"/>
      <c r="Z91" s="279"/>
      <c r="AA91" s="279"/>
      <c r="AB91" s="279"/>
      <c r="AC91" s="346"/>
      <c r="AD91" s="279"/>
      <c r="AE91" s="279"/>
      <c r="AF91" s="279"/>
      <c r="AG91" s="279"/>
      <c r="AH91" s="279"/>
      <c r="AI91" s="346"/>
      <c r="AJ91" s="279"/>
    </row>
    <row r="92" spans="1:36" ht="18">
      <c r="A92" s="337" t="str">
        <f ca="1">VLOOKUP(C92,Postupy!$A$3:$C$66,3,0)</f>
        <v/>
      </c>
      <c r="B92" s="338"/>
      <c r="C92" s="339">
        <v>27</v>
      </c>
      <c r="D92" s="340" t="str">
        <f ca="1">VLOOKUP(C92,Postupy!$A$3:$B$66,2,0)</f>
        <v xml:space="preserve"> - </v>
      </c>
      <c r="E92" s="341"/>
      <c r="F92" s="351"/>
      <c r="G92" s="343"/>
      <c r="H92" s="369"/>
      <c r="I92" s="345"/>
      <c r="J92" s="358"/>
      <c r="K92" s="374"/>
      <c r="L92" s="375"/>
      <c r="M92" s="376"/>
      <c r="N92" s="343"/>
      <c r="O92" s="343"/>
      <c r="P92" s="381"/>
      <c r="Q92" s="368"/>
      <c r="R92" s="358"/>
      <c r="S92" s="382"/>
      <c r="T92" s="389"/>
      <c r="U92" s="358"/>
      <c r="V92" s="343"/>
      <c r="W92" s="362"/>
      <c r="X92" s="279"/>
      <c r="Y92" s="279"/>
      <c r="Z92" s="279"/>
      <c r="AA92" s="279"/>
      <c r="AB92" s="279"/>
      <c r="AC92" s="279"/>
      <c r="AD92" s="279"/>
      <c r="AE92" s="279"/>
      <c r="AF92" s="279"/>
      <c r="AG92" s="279"/>
      <c r="AH92" s="279"/>
      <c r="AI92" s="279"/>
      <c r="AJ92" s="279"/>
    </row>
    <row r="93" spans="1:36" ht="18.75">
      <c r="A93" s="337" t="str">
        <f ca="1">VLOOKUP(C93,Postupy!$A$3:$C$66,3,0)</f>
        <v/>
      </c>
      <c r="B93" s="338"/>
      <c r="C93" s="347">
        <v>38</v>
      </c>
      <c r="D93" s="348" t="str">
        <f ca="1">VLOOKUP(C93,Postupy!$A$3:$B$66,2,0)</f>
        <v xml:space="preserve"> - </v>
      </c>
      <c r="E93" s="349"/>
      <c r="F93" s="377" t="s">
        <v>1749</v>
      </c>
      <c r="G93" s="351"/>
      <c r="H93" s="330" t="s">
        <v>1748</v>
      </c>
      <c r="I93" s="331" t="str">
        <f ca="1">IF(OR(TRIM(H94)="-",TRIM(H95)="-"),"",VLOOKUP(MIN(G94,G95),Hřiště!$B$11:$E$42,4,0))</f>
        <v/>
      </c>
      <c r="J93" s="358"/>
      <c r="K93" s="362"/>
      <c r="L93" s="372"/>
      <c r="M93" s="364"/>
      <c r="N93" s="343"/>
      <c r="O93" s="343"/>
      <c r="P93" s="381"/>
      <c r="Q93" s="368"/>
      <c r="R93" s="358"/>
      <c r="S93" s="382"/>
      <c r="T93" s="389"/>
      <c r="U93" s="358"/>
      <c r="V93" s="343"/>
      <c r="W93" s="362"/>
      <c r="X93" s="390"/>
      <c r="Y93" s="279"/>
      <c r="Z93" s="279"/>
      <c r="AA93" s="279"/>
      <c r="AB93" s="279"/>
      <c r="AC93" s="279"/>
      <c r="AD93" s="279"/>
      <c r="AE93" s="279"/>
      <c r="AF93" s="279"/>
      <c r="AG93" s="279"/>
      <c r="AH93" s="279"/>
      <c r="AI93" s="279"/>
      <c r="AJ93" s="279"/>
    </row>
    <row r="94" spans="1:36" ht="18">
      <c r="A94" s="353"/>
      <c r="B94" s="354"/>
      <c r="C94" s="354">
        <f>C92+C93</f>
        <v>65</v>
      </c>
      <c r="D94" s="355"/>
      <c r="E94" s="356"/>
      <c r="F94" s="391"/>
      <c r="G94" s="339">
        <v>27</v>
      </c>
      <c r="H94" s="340" t="str">
        <f ca="1">IF(OR(TRIM(D92)="-",TRIM(D93)="-"), IF(TRIM(D92)="-",D93,D92),IF(AND(E92="",E93="")," ",IF(N(E92)=N(E93)," ",IF(N(E92)&gt;N(E93),D92,D93))))</f>
        <v xml:space="preserve"> - </v>
      </c>
      <c r="I94" s="341"/>
      <c r="J94" s="365"/>
      <c r="K94" s="362"/>
      <c r="L94" s="372"/>
      <c r="M94" s="364"/>
      <c r="N94" s="343"/>
      <c r="O94" s="343"/>
      <c r="P94" s="381"/>
      <c r="Q94" s="368"/>
      <c r="R94" s="358"/>
      <c r="S94" s="382"/>
      <c r="T94" s="389"/>
      <c r="U94" s="358"/>
      <c r="V94" s="343"/>
      <c r="W94" s="362"/>
      <c r="X94" s="390"/>
      <c r="Y94" s="279"/>
      <c r="Z94" s="279"/>
      <c r="AA94" s="279"/>
      <c r="AB94" s="279"/>
      <c r="AC94" s="279"/>
      <c r="AD94" s="279"/>
      <c r="AE94" s="279"/>
      <c r="AF94" s="279"/>
      <c r="AG94" s="279"/>
      <c r="AH94" s="279"/>
      <c r="AI94" s="279"/>
      <c r="AJ94" s="279"/>
    </row>
    <row r="95" spans="1:36" ht="18.75">
      <c r="A95" s="359"/>
      <c r="B95" s="360"/>
      <c r="C95" s="361"/>
      <c r="D95" s="330" t="s">
        <v>1748</v>
      </c>
      <c r="E95" s="331" t="str">
        <f ca="1">IF(OR(TRIM(D96)="-",TRIM(D97)="-"),"",VLOOKUP(MIN(C96,C97),Hřiště!$B$11:$E$42,4,0))</f>
        <v/>
      </c>
      <c r="F95" s="370"/>
      <c r="G95" s="347">
        <v>6</v>
      </c>
      <c r="H95" s="348" t="str">
        <f ca="1">IF(OR(TRIM(D96)="-",TRIM(D97)="-"), IF(TRIM(D96)="-",D97,D96),IF(AND(E96="",E97="")," ",IF(N(E96)=N(E97)," ",IF(N(E96)&gt;N(E97),D96,D97))))</f>
        <v xml:space="preserve"> -</v>
      </c>
      <c r="I95" s="349"/>
      <c r="J95" s="344"/>
      <c r="K95" s="343"/>
      <c r="L95" s="372"/>
      <c r="M95" s="345"/>
      <c r="N95" s="343"/>
      <c r="O95" s="343"/>
      <c r="P95" s="381"/>
      <c r="Q95" s="368"/>
      <c r="R95" s="358"/>
      <c r="S95" s="382"/>
      <c r="T95" s="389"/>
      <c r="U95" s="358"/>
      <c r="V95" s="343"/>
      <c r="W95" s="362"/>
      <c r="X95" s="390"/>
      <c r="Y95" s="279"/>
      <c r="Z95" s="279"/>
      <c r="AA95" s="279"/>
      <c r="AB95" s="279"/>
      <c r="AC95" s="279"/>
      <c r="AD95" s="279"/>
      <c r="AE95" s="279"/>
      <c r="AF95" s="279"/>
      <c r="AG95" s="279"/>
      <c r="AH95" s="279"/>
      <c r="AI95" s="279"/>
      <c r="AJ95" s="279"/>
    </row>
    <row r="96" spans="1:36" ht="18">
      <c r="A96" s="337" t="str">
        <f ca="1">VLOOKUP(C96,Postupy!$A$3:$C$66,3,0)</f>
        <v/>
      </c>
      <c r="B96" s="338"/>
      <c r="C96" s="339">
        <v>59</v>
      </c>
      <c r="D96" s="340" t="str">
        <f ca="1">VLOOKUP(C96,Postupy!$A$3:$B$66,2,0)</f>
        <v xml:space="preserve"> - </v>
      </c>
      <c r="E96" s="341"/>
      <c r="F96" s="378"/>
      <c r="G96" s="374"/>
      <c r="H96" s="375"/>
      <c r="I96" s="376"/>
      <c r="J96" s="343"/>
      <c r="K96" s="343"/>
      <c r="L96" s="369"/>
      <c r="M96" s="345"/>
      <c r="N96" s="343"/>
      <c r="O96" s="343"/>
      <c r="P96" s="381"/>
      <c r="Q96" s="368"/>
      <c r="R96" s="358"/>
      <c r="S96" s="382"/>
      <c r="T96" s="389"/>
      <c r="U96" s="358"/>
      <c r="V96" s="343"/>
      <c r="W96" s="362"/>
      <c r="X96" s="390"/>
      <c r="Y96" s="279"/>
      <c r="Z96" s="279"/>
      <c r="AA96" s="279"/>
      <c r="AB96" s="279"/>
      <c r="AC96" s="279"/>
      <c r="AD96" s="279"/>
      <c r="AE96" s="279"/>
      <c r="AF96" s="279"/>
      <c r="AG96" s="279"/>
      <c r="AH96" s="279"/>
      <c r="AI96" s="279"/>
      <c r="AJ96" s="279"/>
    </row>
    <row r="97" spans="1:36" ht="18.75">
      <c r="A97" s="337" t="str">
        <f ca="1">VLOOKUP(C97,Postupy!$A$3:$C$66,3,0)</f>
        <v>D2</v>
      </c>
      <c r="B97" s="338"/>
      <c r="C97" s="347">
        <v>6</v>
      </c>
      <c r="D97" s="348" t="str">
        <f ca="1">VLOOKUP(C97,Postupy!$A$3:$B$66,2,0)</f>
        <v xml:space="preserve"> -</v>
      </c>
      <c r="E97" s="349"/>
      <c r="F97" s="379"/>
      <c r="G97" s="343"/>
      <c r="H97" s="369"/>
      <c r="I97" s="345"/>
      <c r="J97" s="343"/>
      <c r="K97" s="343"/>
      <c r="L97" s="380"/>
      <c r="M97" s="345"/>
      <c r="N97" s="343"/>
      <c r="O97" s="343"/>
      <c r="P97" s="381"/>
      <c r="Q97" s="368"/>
      <c r="R97" s="358"/>
      <c r="S97" s="382"/>
      <c r="T97" s="330" t="s">
        <v>1748</v>
      </c>
      <c r="U97" s="331" t="str">
        <f ca="1">IF(OR(TRIM(T98)="-",TRIM(T99)="-"),"",VLOOKUP(MIN(S98,S99),Hřiště!$B$11:$E$42,4,0))</f>
        <v/>
      </c>
      <c r="V97" s="343"/>
      <c r="W97" s="362"/>
      <c r="X97" s="279"/>
      <c r="Y97" s="279"/>
      <c r="Z97" s="279"/>
      <c r="AA97" s="279"/>
      <c r="AB97" s="279"/>
      <c r="AC97" s="279"/>
      <c r="AD97" s="279"/>
      <c r="AE97" s="279"/>
      <c r="AF97" s="279"/>
      <c r="AG97" s="279"/>
      <c r="AH97" s="279"/>
      <c r="AI97" s="279"/>
      <c r="AJ97" s="279"/>
    </row>
    <row r="98" spans="1:36" ht="18">
      <c r="A98" s="353"/>
      <c r="B98" s="354"/>
      <c r="C98" s="354">
        <f>C96+C97</f>
        <v>65</v>
      </c>
      <c r="D98" s="355"/>
      <c r="E98" s="356"/>
      <c r="F98" s="371">
        <f>C94+C98</f>
        <v>130</v>
      </c>
      <c r="G98" s="343"/>
      <c r="H98" s="372"/>
      <c r="I98" s="345"/>
      <c r="J98" s="343"/>
      <c r="K98" s="343"/>
      <c r="L98" s="392"/>
      <c r="M98" s="345"/>
      <c r="N98" s="343"/>
      <c r="O98" s="343"/>
      <c r="P98" s="392"/>
      <c r="Q98" s="345"/>
      <c r="R98" s="343"/>
      <c r="S98" s="393">
        <v>3</v>
      </c>
      <c r="T98" s="340" t="str">
        <f ca="1">IF(OR(TRIM(P82)="-",TRIM(P83)="-"), IF(TRIM(P82)="-",P83,P82),IF(AND(Q82="",Q83="")," ",IF(N(Q82)=N(Q83)," ",IF(N(Q82)&gt;N(Q83),P82,P83))))</f>
        <v xml:space="preserve"> -</v>
      </c>
      <c r="U98" s="341"/>
      <c r="V98" s="365"/>
      <c r="W98" s="343"/>
      <c r="X98" s="279"/>
      <c r="Y98" s="279"/>
      <c r="Z98" s="279"/>
      <c r="AA98" s="279"/>
      <c r="AB98" s="279"/>
      <c r="AC98" s="279"/>
      <c r="AD98" s="279"/>
      <c r="AE98" s="279"/>
      <c r="AF98" s="279"/>
      <c r="AG98" s="279"/>
      <c r="AH98" s="279"/>
      <c r="AI98" s="279"/>
      <c r="AJ98" s="279"/>
    </row>
    <row r="99" spans="1:36" ht="18.75">
      <c r="A99" s="359"/>
      <c r="B99" s="360"/>
      <c r="C99" s="361"/>
      <c r="D99" s="330" t="s">
        <v>1748</v>
      </c>
      <c r="E99" s="331" t="str">
        <f ca="1">IF(OR(TRIM(D100)="-",TRIM(D101)="-"),"",VLOOKUP(MIN(C100,C101),Hřiště!$B$11:$E$42,4,0))</f>
        <v/>
      </c>
      <c r="F99" s="391"/>
      <c r="G99" s="343"/>
      <c r="H99" s="372"/>
      <c r="I99" s="345"/>
      <c r="J99" s="343"/>
      <c r="K99" s="343"/>
      <c r="L99" s="392"/>
      <c r="M99" s="345"/>
      <c r="N99" s="343"/>
      <c r="O99" s="343"/>
      <c r="P99" s="392"/>
      <c r="Q99" s="345"/>
      <c r="R99" s="343"/>
      <c r="S99" s="347">
        <v>2</v>
      </c>
      <c r="T99" s="348" t="str">
        <f ca="1">IF(OR(TRIM(P114)="-",TRIM(P115)="-"), IF(TRIM(P114)="-",P115,P114),IF(AND(Q114="",Q115="")," ",IF(N(Q114)=N(Q115)," ",IF(N(Q114)&gt;N(Q115),P114,P115))))</f>
        <v xml:space="preserve"> -</v>
      </c>
      <c r="U99" s="349"/>
      <c r="V99" s="344"/>
      <c r="W99" s="343"/>
      <c r="X99" s="279"/>
      <c r="Y99" s="346"/>
      <c r="Z99" s="279"/>
      <c r="AA99" s="279"/>
      <c r="AB99" s="279"/>
      <c r="AC99" s="279"/>
      <c r="AD99" s="279"/>
      <c r="AE99" s="279"/>
      <c r="AF99" s="279"/>
      <c r="AG99" s="279"/>
      <c r="AH99" s="279"/>
      <c r="AI99" s="279"/>
      <c r="AJ99" s="279"/>
    </row>
    <row r="100" spans="1:36" ht="18">
      <c r="A100" s="337" t="str">
        <f ca="1">VLOOKUP(C100,Postupy!$A$3:$C$66,3,0)</f>
        <v>A2</v>
      </c>
      <c r="B100" s="338"/>
      <c r="C100" s="339">
        <v>7</v>
      </c>
      <c r="D100" s="340" t="str">
        <f ca="1">VLOOKUP(C100,Postupy!$A$3:$B$66,2,0)</f>
        <v xml:space="preserve"> -</v>
      </c>
      <c r="E100" s="341"/>
      <c r="F100" s="351"/>
      <c r="G100" s="343"/>
      <c r="H100" s="369"/>
      <c r="I100" s="345"/>
      <c r="J100" s="343"/>
      <c r="K100" s="343"/>
      <c r="L100" s="392"/>
      <c r="M100" s="345"/>
      <c r="N100" s="343"/>
      <c r="O100" s="343"/>
      <c r="P100" s="381"/>
      <c r="Q100" s="368"/>
      <c r="R100" s="358"/>
      <c r="S100" s="374"/>
      <c r="T100" s="394"/>
      <c r="U100" s="410"/>
      <c r="V100" s="343"/>
      <c r="W100" s="343"/>
      <c r="X100" s="279"/>
      <c r="Y100" s="346"/>
      <c r="Z100" s="279"/>
      <c r="AA100" s="279"/>
      <c r="AB100" s="279"/>
      <c r="AC100" s="279"/>
      <c r="AD100" s="279"/>
      <c r="AE100" s="279"/>
      <c r="AF100" s="279"/>
      <c r="AG100" s="279"/>
      <c r="AH100" s="279"/>
      <c r="AI100" s="279"/>
      <c r="AJ100" s="279"/>
    </row>
    <row r="101" spans="1:36" ht="18.75">
      <c r="A101" s="337" t="str">
        <f ca="1">VLOOKUP(C101,Postupy!$A$3:$C$66,3,0)</f>
        <v/>
      </c>
      <c r="B101" s="338"/>
      <c r="C101" s="347">
        <v>58</v>
      </c>
      <c r="D101" s="348" t="str">
        <f ca="1">VLOOKUP(C101,Postupy!$A$3:$B$66,2,0)</f>
        <v xml:space="preserve"> - </v>
      </c>
      <c r="E101" s="349"/>
      <c r="F101" s="384"/>
      <c r="G101" s="351"/>
      <c r="H101" s="330" t="s">
        <v>1748</v>
      </c>
      <c r="I101" s="331" t="str">
        <f ca="1">IF(OR(TRIM(H102)="-",TRIM(H103)="-"),"",VLOOKUP(MIN(G102,G103),Hřiště!$B$11:$E$42,4,0))</f>
        <v/>
      </c>
      <c r="J101" s="343"/>
      <c r="K101" s="343"/>
      <c r="L101" s="392"/>
      <c r="M101" s="345"/>
      <c r="N101" s="343"/>
      <c r="O101" s="343"/>
      <c r="P101" s="381"/>
      <c r="Q101" s="368"/>
      <c r="R101" s="358"/>
      <c r="S101" s="362"/>
      <c r="T101" s="352"/>
      <c r="U101" s="373"/>
      <c r="V101" s="343"/>
      <c r="W101" s="343"/>
      <c r="X101" s="390"/>
      <c r="Y101" s="279"/>
      <c r="Z101" s="279"/>
      <c r="AA101" s="279"/>
      <c r="AB101" s="279"/>
      <c r="AC101" s="279"/>
      <c r="AD101" s="279"/>
      <c r="AE101" s="279"/>
      <c r="AF101" s="279"/>
      <c r="AG101" s="279"/>
      <c r="AH101" s="279"/>
      <c r="AI101" s="279"/>
      <c r="AJ101" s="279"/>
    </row>
    <row r="102" spans="1:36" ht="18">
      <c r="A102" s="353"/>
      <c r="B102" s="354"/>
      <c r="C102" s="354">
        <f>C100+C101</f>
        <v>65</v>
      </c>
      <c r="D102" s="355"/>
      <c r="E102" s="356"/>
      <c r="F102" s="357"/>
      <c r="G102" s="339">
        <v>7</v>
      </c>
      <c r="H102" s="340" t="str">
        <f ca="1">IF(OR(TRIM(D100)="-",TRIM(D101)="-"), IF(TRIM(D100)="-",D101,D100),IF(AND(E100="",E101="")," ",IF(N(E100)=N(E101)," ",IF(N(E100)&gt;N(E101),D100,D101))))</f>
        <v xml:space="preserve"> - </v>
      </c>
      <c r="I102" s="341"/>
      <c r="J102" s="342"/>
      <c r="K102" s="343"/>
      <c r="L102" s="392"/>
      <c r="M102" s="345"/>
      <c r="N102" s="343"/>
      <c r="O102" s="343"/>
      <c r="P102" s="381"/>
      <c r="Q102" s="368"/>
      <c r="R102" s="358"/>
      <c r="S102" s="362"/>
      <c r="T102" s="352"/>
      <c r="U102" s="373"/>
      <c r="V102" s="343"/>
      <c r="W102" s="343"/>
      <c r="X102" s="390"/>
      <c r="Y102" s="279"/>
      <c r="Z102" s="279"/>
      <c r="AA102" s="279"/>
      <c r="AB102" s="279"/>
      <c r="AC102" s="279"/>
      <c r="AD102" s="279"/>
      <c r="AE102" s="279"/>
      <c r="AF102" s="279"/>
      <c r="AG102" s="279"/>
      <c r="AH102" s="279"/>
      <c r="AI102" s="279"/>
      <c r="AJ102" s="279"/>
    </row>
    <row r="103" spans="1:36" ht="18.75">
      <c r="A103" s="359"/>
      <c r="B103" s="360"/>
      <c r="C103" s="361"/>
      <c r="D103" s="330" t="s">
        <v>1748</v>
      </c>
      <c r="E103" s="331" t="str">
        <f ca="1">IF(OR(TRIM(D104)="-",TRIM(D105)="-"),"",VLOOKUP(MIN(C104,C105),Hřiště!$B$11:$E$42,4,0))</f>
        <v/>
      </c>
      <c r="F103" s="357"/>
      <c r="G103" s="347">
        <v>26</v>
      </c>
      <c r="H103" s="348" t="str">
        <f ca="1">IF(OR(TRIM(D104)="-",TRIM(D105)="-"), IF(TRIM(D104)="-",D105,D104),IF(AND(E104="",E105="")," ",IF(N(E104)=N(E105)," ",IF(N(E104)&gt;N(E105),D104,D105))))</f>
        <v xml:space="preserve"> - </v>
      </c>
      <c r="I103" s="349"/>
      <c r="J103" s="350"/>
      <c r="K103" s="362"/>
      <c r="L103" s="355"/>
      <c r="M103" s="364"/>
      <c r="N103" s="343"/>
      <c r="O103" s="343"/>
      <c r="P103" s="381"/>
      <c r="Q103" s="368"/>
      <c r="R103" s="358"/>
      <c r="S103" s="362"/>
      <c r="T103" s="352"/>
      <c r="U103" s="373"/>
      <c r="V103" s="343"/>
      <c r="W103" s="343"/>
      <c r="X103" s="416" t="s">
        <v>1750</v>
      </c>
      <c r="Y103" s="345"/>
      <c r="Z103" s="343"/>
      <c r="AA103" s="343"/>
      <c r="AB103" s="279"/>
      <c r="AC103" s="279"/>
      <c r="AD103" s="279"/>
      <c r="AE103" s="279"/>
      <c r="AF103" s="279"/>
      <c r="AG103" s="279"/>
      <c r="AH103" s="279"/>
      <c r="AI103" s="279"/>
      <c r="AJ103" s="279"/>
    </row>
    <row r="104" spans="1:36" ht="18">
      <c r="A104" s="337" t="str">
        <f ca="1">VLOOKUP(C104,Postupy!$A$3:$C$66,3,0)</f>
        <v/>
      </c>
      <c r="B104" s="338"/>
      <c r="C104" s="339">
        <v>39</v>
      </c>
      <c r="D104" s="340" t="str">
        <f ca="1">VLOOKUP(C104,Postupy!$A$3:$B$66,2,0)</f>
        <v xml:space="preserve"> - </v>
      </c>
      <c r="E104" s="341"/>
      <c r="F104" s="365"/>
      <c r="G104" s="374"/>
      <c r="H104" s="375"/>
      <c r="I104" s="376"/>
      <c r="J104" s="358"/>
      <c r="K104" s="362"/>
      <c r="L104" s="387"/>
      <c r="M104" s="364"/>
      <c r="N104" s="343"/>
      <c r="O104" s="343"/>
      <c r="P104" s="381"/>
      <c r="Q104" s="368"/>
      <c r="R104" s="358"/>
      <c r="S104" s="362"/>
      <c r="T104" s="343"/>
      <c r="U104" s="373"/>
      <c r="V104" s="343"/>
      <c r="W104" s="343"/>
      <c r="X104" s="417" t="s">
        <v>1751</v>
      </c>
      <c r="Y104" s="345"/>
      <c r="Z104" s="343"/>
      <c r="AA104" s="343"/>
      <c r="AB104" s="279"/>
      <c r="AC104" s="279"/>
      <c r="AD104" s="279"/>
      <c r="AE104" s="279"/>
      <c r="AF104" s="279"/>
      <c r="AG104" s="279"/>
      <c r="AH104" s="279"/>
      <c r="AI104" s="279"/>
      <c r="AJ104" s="279"/>
    </row>
    <row r="105" spans="1:36" ht="18.75">
      <c r="A105" s="337" t="str">
        <f ca="1">VLOOKUP(C105,Postupy!$A$3:$C$66,3,0)</f>
        <v/>
      </c>
      <c r="B105" s="338"/>
      <c r="C105" s="347">
        <v>26</v>
      </c>
      <c r="D105" s="348" t="str">
        <f ca="1">VLOOKUP(C105,Postupy!$A$3:$B$66,2,0)</f>
        <v xml:space="preserve"> - </v>
      </c>
      <c r="E105" s="349"/>
      <c r="F105" s="344"/>
      <c r="G105" s="343"/>
      <c r="H105" s="369"/>
      <c r="I105" s="368"/>
      <c r="J105" s="358"/>
      <c r="K105" s="351"/>
      <c r="L105" s="330" t="s">
        <v>1748</v>
      </c>
      <c r="M105" s="331" t="str">
        <f ca="1">IF(OR(TRIM(L106)="-",TRIM(L107)="-"),"",VLOOKUP(MIN(K106,K107),Hřiště!$B$11:$E$42,4,0))</f>
        <v/>
      </c>
      <c r="N105" s="370"/>
      <c r="O105" s="343"/>
      <c r="P105" s="381"/>
      <c r="Q105" s="368"/>
      <c r="R105" s="358"/>
      <c r="S105" s="362"/>
      <c r="T105" s="343"/>
      <c r="U105" s="373"/>
      <c r="V105" s="343"/>
      <c r="W105" s="343"/>
      <c r="X105" s="330" t="s">
        <v>1748</v>
      </c>
      <c r="Y105" s="331" t="str">
        <f ca="1">IF(OR(TRIM(X106)="-",TRIM(X107)="-"),"",VLOOKUP(MIN(W106,W107),Hřiště!$B$11:$E$42,4,0))</f>
        <v/>
      </c>
      <c r="Z105" s="343"/>
      <c r="AA105" s="343"/>
      <c r="AB105" s="279"/>
      <c r="AC105" s="279"/>
      <c r="AD105" s="279"/>
      <c r="AE105" s="279"/>
      <c r="AF105" s="279"/>
      <c r="AG105" s="279"/>
      <c r="AH105" s="279"/>
      <c r="AI105" s="279"/>
      <c r="AJ105" s="279"/>
    </row>
    <row r="106" spans="1:36" ht="18">
      <c r="A106" s="353"/>
      <c r="B106" s="354"/>
      <c r="C106" s="354">
        <f>C104+C105</f>
        <v>65</v>
      </c>
      <c r="D106" s="355"/>
      <c r="E106" s="356"/>
      <c r="F106" s="371">
        <f>C102+C106</f>
        <v>130</v>
      </c>
      <c r="G106" s="343"/>
      <c r="H106" s="372"/>
      <c r="I106" s="345"/>
      <c r="J106" s="343"/>
      <c r="K106" s="339">
        <v>7</v>
      </c>
      <c r="L106" s="340" t="str">
        <f ca="1">IF(OR(TRIM(H102)="-",TRIM(H103)="-"), IF(TRIM(H102)="-",H103,H102),IF(AND(I102="",I103="")," ",IF(N(I102)=N(I103)," ",IF(N(I102)&gt;N(I103),H102,H103))))</f>
        <v xml:space="preserve"> - </v>
      </c>
      <c r="M106" s="341"/>
      <c r="N106" s="342"/>
      <c r="O106" s="373"/>
      <c r="P106" s="381"/>
      <c r="Q106" s="368"/>
      <c r="R106" s="358"/>
      <c r="S106" s="362"/>
      <c r="T106" s="373"/>
      <c r="U106" s="373"/>
      <c r="V106" s="343"/>
      <c r="W106" s="339">
        <v>4</v>
      </c>
      <c r="X106" s="340" t="str">
        <f ca="1">IF(OR(TRIM(T34)="-",TRIM(T35)="-"), IF(TRIM(T34)="-",T34,T35),IF(AND(U34="",U35="")," ",IF(N(U34)=N(U35)," ",IF(N(U34)&gt;N(U35),T35,T34))))</f>
        <v xml:space="preserve"> -</v>
      </c>
      <c r="Y106" s="341"/>
      <c r="Z106" s="365"/>
      <c r="AA106" s="393">
        <v>3</v>
      </c>
      <c r="AB106" s="412" t="str">
        <f>IF(AND(Y106="",Y107="")," ",IF(N(Y106)=N(Y107)," ",IF(N(Y106)&gt;N(Y107),X106,X107)))</f>
        <v xml:space="preserve"> </v>
      </c>
      <c r="AC106" s="413">
        <v>3</v>
      </c>
      <c r="AD106" s="279"/>
      <c r="AE106" s="279"/>
      <c r="AF106" s="279"/>
      <c r="AG106" s="346"/>
      <c r="AH106" s="346"/>
      <c r="AI106" s="279"/>
      <c r="AJ106" s="279"/>
    </row>
    <row r="107" spans="1:36" ht="18.75">
      <c r="A107" s="359"/>
      <c r="B107" s="360"/>
      <c r="C107" s="361"/>
      <c r="D107" s="330" t="s">
        <v>1748</v>
      </c>
      <c r="E107" s="331" t="str">
        <f ca="1">IF(OR(TRIM(D108)="-",TRIM(D109)="-"),"",VLOOKUP(MIN(C108,C109),Hřiště!$B$11:$E$42,4,0))</f>
        <v/>
      </c>
      <c r="F107" s="343"/>
      <c r="G107" s="343"/>
      <c r="H107" s="372"/>
      <c r="I107" s="345"/>
      <c r="J107" s="343"/>
      <c r="K107" s="347">
        <v>10</v>
      </c>
      <c r="L107" s="348" t="str">
        <f ca="1">IF(OR(TRIM(H110)="-",TRIM(H111)="-"), IF(TRIM(H110)="-",H111,H110),IF(AND(I110="",I111="")," ",IF(N(I110)=N(I111)," ",IF(N(I110)&gt;N(I111),H110,H111))))</f>
        <v xml:space="preserve"> - </v>
      </c>
      <c r="M107" s="349"/>
      <c r="N107" s="350"/>
      <c r="O107" s="362"/>
      <c r="P107" s="381"/>
      <c r="Q107" s="368"/>
      <c r="R107" s="358"/>
      <c r="S107" s="362"/>
      <c r="T107" s="373"/>
      <c r="U107" s="373"/>
      <c r="V107" s="343"/>
      <c r="W107" s="347">
        <v>3</v>
      </c>
      <c r="X107" s="348" t="str">
        <f ca="1">IF(OR(TRIM(T98)="-",TRIM(T99)="-"), IF(TRIM(T98)="-",T98,T99),IF(AND(U98="",U99="")," ",IF(N(U98)=N(U99)," ",IF(N(U98)&gt;N(U99),T99,T98))))</f>
        <v xml:space="preserve"> -</v>
      </c>
      <c r="Y107" s="349"/>
      <c r="Z107" s="350"/>
      <c r="AA107" s="393">
        <v>4</v>
      </c>
      <c r="AB107" s="412" t="str">
        <f>IF(AND(Y106="",Y107="")," ",IF(N(Y107)=N(Y106)," ",IF(N(Y107)&gt;N(Y106),X106,X107)))</f>
        <v xml:space="preserve"> </v>
      </c>
      <c r="AC107" s="413">
        <v>4</v>
      </c>
      <c r="AD107" s="279"/>
      <c r="AE107" s="346"/>
      <c r="AF107" s="346"/>
      <c r="AG107" s="346"/>
      <c r="AH107" s="346"/>
      <c r="AI107" s="279"/>
      <c r="AJ107" s="279"/>
    </row>
    <row r="108" spans="1:36" ht="18">
      <c r="A108" s="337" t="str">
        <f ca="1">VLOOKUP(C108,Postupy!$A$3:$C$66,3,0)</f>
        <v/>
      </c>
      <c r="B108" s="338"/>
      <c r="C108" s="339">
        <v>23</v>
      </c>
      <c r="D108" s="340" t="str">
        <f ca="1">VLOOKUP(C108,Postupy!$A$3:$B$66,2,0)</f>
        <v xml:space="preserve"> - </v>
      </c>
      <c r="E108" s="341"/>
      <c r="F108" s="351"/>
      <c r="G108" s="343"/>
      <c r="H108" s="369"/>
      <c r="I108" s="345"/>
      <c r="J108" s="358"/>
      <c r="K108" s="374"/>
      <c r="L108" s="375"/>
      <c r="M108" s="376"/>
      <c r="N108" s="343"/>
      <c r="O108" s="362"/>
      <c r="P108" s="381"/>
      <c r="Q108" s="368"/>
      <c r="R108" s="358"/>
      <c r="S108" s="362"/>
      <c r="T108" s="373"/>
      <c r="U108" s="373"/>
      <c r="V108" s="343"/>
      <c r="W108" s="343"/>
      <c r="X108" s="373"/>
      <c r="Y108" s="364"/>
      <c r="Z108" s="373"/>
      <c r="AA108" s="343"/>
      <c r="AB108" s="279"/>
      <c r="AC108" s="279"/>
      <c r="AD108" s="279"/>
      <c r="AE108" s="279"/>
      <c r="AF108" s="279"/>
      <c r="AG108" s="279"/>
      <c r="AH108" s="279"/>
      <c r="AI108" s="279"/>
      <c r="AJ108" s="279"/>
    </row>
    <row r="109" spans="1:36" ht="18.75">
      <c r="A109" s="337" t="str">
        <f ca="1">VLOOKUP(C109,Postupy!$A$3:$C$66,3,0)</f>
        <v/>
      </c>
      <c r="B109" s="338"/>
      <c r="C109" s="347">
        <v>42</v>
      </c>
      <c r="D109" s="348" t="str">
        <f ca="1">VLOOKUP(C109,Postupy!$A$3:$B$66,2,0)</f>
        <v xml:space="preserve"> - </v>
      </c>
      <c r="E109" s="349"/>
      <c r="F109" s="377" t="s">
        <v>1749</v>
      </c>
      <c r="G109" s="351"/>
      <c r="H109" s="330" t="s">
        <v>1748</v>
      </c>
      <c r="I109" s="331" t="str">
        <f ca="1">IF(OR(TRIM(H110)="-",TRIM(H111)="-"),"",VLOOKUP(MIN(G110,G111),Hřiště!$B$11:$E$42,4,0))</f>
        <v/>
      </c>
      <c r="J109" s="358"/>
      <c r="K109" s="362"/>
      <c r="L109" s="372"/>
      <c r="M109" s="364"/>
      <c r="N109" s="343"/>
      <c r="O109" s="362"/>
      <c r="P109" s="381"/>
      <c r="Q109" s="368"/>
      <c r="R109" s="358"/>
      <c r="S109" s="362"/>
      <c r="T109" s="373"/>
      <c r="U109" s="373"/>
      <c r="V109" s="343"/>
      <c r="W109" s="343"/>
      <c r="X109" s="279"/>
      <c r="Y109" s="279"/>
      <c r="Z109" s="279"/>
      <c r="AA109" s="279"/>
      <c r="AB109" s="279"/>
      <c r="AC109" s="279"/>
      <c r="AD109" s="279"/>
      <c r="AE109" s="279"/>
      <c r="AF109" s="279"/>
      <c r="AG109" s="279"/>
      <c r="AH109" s="279"/>
      <c r="AI109" s="279"/>
      <c r="AJ109" s="279"/>
    </row>
    <row r="110" spans="1:36" ht="18">
      <c r="A110" s="353"/>
      <c r="B110" s="354"/>
      <c r="C110" s="354">
        <f>C108+C109</f>
        <v>65</v>
      </c>
      <c r="D110" s="355"/>
      <c r="E110" s="356"/>
      <c r="F110" s="357"/>
      <c r="G110" s="339">
        <v>23</v>
      </c>
      <c r="H110" s="340" t="str">
        <f ca="1">IF(OR(TRIM(D108)="-",TRIM(D109)="-"), IF(TRIM(D108)="-",D109,D108),IF(AND(E108="",E109="")," ",IF(N(E108)=N(E109)," ",IF(N(E108)&gt;N(E109),D108,D109))))</f>
        <v xml:space="preserve"> - </v>
      </c>
      <c r="I110" s="341"/>
      <c r="J110" s="365"/>
      <c r="K110" s="362"/>
      <c r="L110" s="372"/>
      <c r="M110" s="364"/>
      <c r="N110" s="343"/>
      <c r="O110" s="362"/>
      <c r="P110" s="381"/>
      <c r="Q110" s="368"/>
      <c r="R110" s="358"/>
      <c r="S110" s="362"/>
      <c r="T110" s="373"/>
      <c r="U110" s="373"/>
      <c r="V110" s="343"/>
      <c r="W110" s="343"/>
      <c r="X110" s="279"/>
      <c r="Y110" s="279"/>
      <c r="Z110" s="279"/>
      <c r="AA110" s="279"/>
      <c r="AB110" s="279"/>
      <c r="AC110" s="279"/>
      <c r="AD110" s="279"/>
      <c r="AE110" s="279"/>
      <c r="AF110" s="279"/>
      <c r="AG110" s="279"/>
      <c r="AH110" s="279"/>
      <c r="AI110" s="279"/>
      <c r="AJ110" s="279"/>
    </row>
    <row r="111" spans="1:36" ht="18.75">
      <c r="A111" s="359"/>
      <c r="B111" s="360"/>
      <c r="C111" s="361"/>
      <c r="D111" s="330" t="s">
        <v>1748</v>
      </c>
      <c r="E111" s="331" t="str">
        <f ca="1">IF(OR(TRIM(D112)="-",TRIM(D113)="-"),"",VLOOKUP(MIN(C112,C113),Hřiště!$B$11:$E$42,4,0))</f>
        <v/>
      </c>
      <c r="F111" s="370"/>
      <c r="G111" s="347">
        <v>10</v>
      </c>
      <c r="H111" s="348" t="str">
        <f ca="1">IF(OR(TRIM(D112)="-",TRIM(D113)="-"), IF(TRIM(D112)="-",D113,D112),IF(AND(E112="",E113="")," ",IF(N(E112)=N(E113)," ",IF(N(E112)&gt;N(E113),D112,D113))))</f>
        <v xml:space="preserve"> - </v>
      </c>
      <c r="I111" s="349"/>
      <c r="J111" s="344"/>
      <c r="K111" s="343"/>
      <c r="L111" s="372"/>
      <c r="M111" s="345"/>
      <c r="N111" s="343"/>
      <c r="O111" s="362"/>
      <c r="P111" s="381"/>
      <c r="Q111" s="368"/>
      <c r="R111" s="358"/>
      <c r="S111" s="362"/>
      <c r="T111" s="373"/>
      <c r="U111" s="373"/>
      <c r="V111" s="343"/>
      <c r="W111" s="343"/>
      <c r="X111" s="279"/>
      <c r="Y111" s="279"/>
      <c r="Z111" s="279"/>
      <c r="AA111" s="279"/>
      <c r="AB111" s="279"/>
      <c r="AC111" s="279"/>
      <c r="AD111" s="279"/>
      <c r="AE111" s="279"/>
      <c r="AF111" s="279"/>
      <c r="AG111" s="279"/>
      <c r="AH111" s="279"/>
      <c r="AI111" s="279"/>
      <c r="AJ111" s="279"/>
    </row>
    <row r="112" spans="1:36" ht="18">
      <c r="A112" s="337" t="str">
        <f ca="1">VLOOKUP(C112,Postupy!$A$3:$C$66,3,0)</f>
        <v/>
      </c>
      <c r="B112" s="338"/>
      <c r="C112" s="339">
        <v>55</v>
      </c>
      <c r="D112" s="340" t="str">
        <f ca="1">VLOOKUP(C112,Postupy!$A$3:$B$66,2,0)</f>
        <v xml:space="preserve"> - </v>
      </c>
      <c r="E112" s="341"/>
      <c r="F112" s="378"/>
      <c r="G112" s="374"/>
      <c r="H112" s="375"/>
      <c r="I112" s="376"/>
      <c r="J112" s="343"/>
      <c r="K112" s="343"/>
      <c r="L112" s="369"/>
      <c r="M112" s="345"/>
      <c r="N112" s="343"/>
      <c r="O112" s="362"/>
      <c r="P112" s="387"/>
      <c r="Q112" s="368"/>
      <c r="R112" s="358"/>
      <c r="S112" s="362"/>
      <c r="T112" s="373"/>
      <c r="U112" s="373"/>
      <c r="V112" s="343"/>
      <c r="W112" s="358"/>
      <c r="X112" s="279"/>
      <c r="Y112" s="279"/>
      <c r="Z112" s="279"/>
      <c r="AA112" s="279"/>
      <c r="AB112" s="279"/>
      <c r="AC112" s="279"/>
      <c r="AD112" s="279"/>
      <c r="AE112" s="279"/>
      <c r="AF112" s="279"/>
      <c r="AG112" s="279"/>
      <c r="AH112" s="279"/>
      <c r="AI112" s="279"/>
      <c r="AJ112" s="279"/>
    </row>
    <row r="113" spans="1:36" ht="18.75">
      <c r="A113" s="337" t="str">
        <f ca="1">VLOOKUP(C113,Postupy!$A$3:$C$66,3,0)</f>
        <v/>
      </c>
      <c r="B113" s="338"/>
      <c r="C113" s="347">
        <v>10</v>
      </c>
      <c r="D113" s="348" t="str">
        <f ca="1">VLOOKUP(C113,Postupy!$A$3:$B$66,2,0)</f>
        <v xml:space="preserve"> - </v>
      </c>
      <c r="E113" s="349"/>
      <c r="F113" s="379"/>
      <c r="G113" s="343"/>
      <c r="H113" s="369"/>
      <c r="I113" s="345"/>
      <c r="J113" s="343"/>
      <c r="K113" s="343"/>
      <c r="L113" s="380"/>
      <c r="M113" s="368"/>
      <c r="N113" s="358"/>
      <c r="O113" s="362"/>
      <c r="P113" s="330" t="s">
        <v>1748</v>
      </c>
      <c r="Q113" s="331" t="str">
        <f ca="1">IF(OR(TRIM(P114)="-",TRIM(P115)="-"),"",VLOOKUP(MIN(O114,O115),Hřiště!$B$11:$E$42,4,0))</f>
        <v/>
      </c>
      <c r="R113" s="358"/>
      <c r="S113" s="362"/>
      <c r="T113" s="373"/>
      <c r="U113" s="373"/>
      <c r="V113" s="343"/>
      <c r="W113" s="343"/>
      <c r="X113" s="279"/>
      <c r="Y113" s="279"/>
      <c r="Z113" s="279"/>
      <c r="AA113" s="279"/>
      <c r="AB113" s="279"/>
      <c r="AC113" s="279"/>
      <c r="AD113" s="279"/>
      <c r="AE113" s="279"/>
      <c r="AF113" s="279"/>
      <c r="AG113" s="279"/>
      <c r="AH113" s="279"/>
      <c r="AI113" s="279"/>
      <c r="AJ113" s="279"/>
    </row>
    <row r="114" spans="1:36" ht="18">
      <c r="A114" s="353"/>
      <c r="B114" s="354"/>
      <c r="C114" s="354">
        <f>C112+C113</f>
        <v>65</v>
      </c>
      <c r="D114" s="355"/>
      <c r="E114" s="356"/>
      <c r="F114" s="371">
        <f>C110+C114</f>
        <v>130</v>
      </c>
      <c r="G114" s="371"/>
      <c r="H114" s="372"/>
      <c r="I114" s="345"/>
      <c r="J114" s="343"/>
      <c r="K114" s="343"/>
      <c r="L114" s="381"/>
      <c r="M114" s="368"/>
      <c r="N114" s="358"/>
      <c r="O114" s="339">
        <v>7</v>
      </c>
      <c r="P114" s="340" t="str">
        <f ca="1">IF(OR(TRIM(L106)="-",TRIM(L107)="-"), IF(TRIM(L106)="-",L107,L106),IF(AND(M106="",M107="")," ",IF(N(M106)=N(M107)," ",IF(N(M106)&gt;N(M107),L106,L107))))</f>
        <v xml:space="preserve"> - </v>
      </c>
      <c r="Q114" s="341"/>
      <c r="R114" s="365"/>
      <c r="S114" s="362"/>
      <c r="T114" s="373"/>
      <c r="U114" s="373"/>
      <c r="V114" s="343"/>
      <c r="W114" s="343"/>
      <c r="X114" s="279"/>
      <c r="Y114" s="279"/>
      <c r="Z114" s="279"/>
      <c r="AA114" s="279"/>
      <c r="AB114" s="279"/>
      <c r="AC114" s="279"/>
      <c r="AD114" s="279"/>
      <c r="AE114" s="279"/>
      <c r="AF114" s="279"/>
      <c r="AG114" s="279"/>
      <c r="AH114" s="279"/>
      <c r="AI114" s="279"/>
      <c r="AJ114" s="279"/>
    </row>
    <row r="115" spans="1:36" ht="18.75">
      <c r="A115" s="359"/>
      <c r="B115" s="360"/>
      <c r="C115" s="361"/>
      <c r="D115" s="330" t="s">
        <v>1748</v>
      </c>
      <c r="E115" s="331" t="str">
        <f ca="1">IF(OR(TRIM(D116)="-",TRIM(D117)="-"),"",VLOOKUP(MIN(C116,C117),Hřiště!$B$11:$E$42,4,0))</f>
        <v/>
      </c>
      <c r="F115" s="371"/>
      <c r="G115" s="343"/>
      <c r="H115" s="372"/>
      <c r="I115" s="345"/>
      <c r="J115" s="343"/>
      <c r="K115" s="343"/>
      <c r="L115" s="381"/>
      <c r="M115" s="368"/>
      <c r="N115" s="358"/>
      <c r="O115" s="347">
        <v>2</v>
      </c>
      <c r="P115" s="348" t="str">
        <f ca="1">IF(OR(TRIM(L122)="-",TRIM(L123)="-"),IF(TRIM(L122)="-",L123,L122),IF(AND(M122="",M123="")," ",IF(N(M122)=N(M123)," ",IF(N(M122)&gt;N(M123),L122,L123))))</f>
        <v xml:space="preserve"> -</v>
      </c>
      <c r="Q115" s="349"/>
      <c r="R115" s="344"/>
      <c r="S115" s="343"/>
      <c r="U115" s="343"/>
      <c r="V115" s="343"/>
      <c r="W115" s="358"/>
      <c r="X115" s="279"/>
      <c r="Y115" s="279"/>
      <c r="Z115" s="279"/>
      <c r="AA115" s="279"/>
      <c r="AB115" s="279"/>
      <c r="AC115" s="279"/>
      <c r="AD115" s="279"/>
      <c r="AE115" s="279"/>
      <c r="AF115" s="279"/>
      <c r="AG115" s="279"/>
      <c r="AH115" s="279"/>
      <c r="AI115" s="279"/>
      <c r="AJ115" s="279"/>
    </row>
    <row r="116" spans="1:36" ht="18">
      <c r="A116" s="337" t="str">
        <f ca="1">VLOOKUP(C116,Postupy!$A$3:$C$66,3,0)</f>
        <v/>
      </c>
      <c r="B116" s="338"/>
      <c r="C116" s="339">
        <v>15</v>
      </c>
      <c r="D116" s="340" t="str">
        <f ca="1">VLOOKUP(C116,Postupy!$A$3:$B$66,2,0)</f>
        <v xml:space="preserve"> - </v>
      </c>
      <c r="E116" s="341"/>
      <c r="F116" s="351"/>
      <c r="G116" s="343"/>
      <c r="H116" s="369"/>
      <c r="I116" s="345"/>
      <c r="J116" s="343"/>
      <c r="K116" s="343"/>
      <c r="L116" s="381"/>
      <c r="M116" s="368"/>
      <c r="N116" s="357"/>
      <c r="O116" s="374"/>
      <c r="P116" s="394"/>
      <c r="Q116" s="373"/>
      <c r="R116" s="343"/>
      <c r="S116" s="343"/>
      <c r="T116" s="373"/>
      <c r="U116" s="343"/>
      <c r="V116" s="343"/>
      <c r="W116" s="343"/>
      <c r="X116" s="279"/>
      <c r="Y116" s="279"/>
      <c r="Z116" s="279"/>
      <c r="AA116" s="279"/>
      <c r="AB116" s="279"/>
      <c r="AC116" s="279"/>
      <c r="AD116" s="279"/>
      <c r="AE116" s="279"/>
      <c r="AF116" s="279"/>
      <c r="AG116" s="279"/>
      <c r="AH116" s="279"/>
      <c r="AI116" s="279"/>
      <c r="AJ116" s="279"/>
    </row>
    <row r="117" spans="1:36" ht="18.75">
      <c r="A117" s="337" t="str">
        <f ca="1">VLOOKUP(C117,Postupy!$A$3:$C$66,3,0)</f>
        <v/>
      </c>
      <c r="B117" s="338"/>
      <c r="C117" s="347">
        <v>50</v>
      </c>
      <c r="D117" s="348" t="str">
        <f ca="1">VLOOKUP(C117,Postupy!$A$3:$B$66,2,0)</f>
        <v xml:space="preserve"> - </v>
      </c>
      <c r="E117" s="349"/>
      <c r="F117" s="384"/>
      <c r="G117" s="351"/>
      <c r="H117" s="330" t="s">
        <v>1748</v>
      </c>
      <c r="I117" s="331" t="str">
        <f ca="1">IF(OR(TRIM(H118)="-",TRIM(H119)="-"),"",VLOOKUP(MIN(G118,G119),Hřiště!$B$11:$E$42,4,0))</f>
        <v/>
      </c>
      <c r="J117" s="343"/>
      <c r="K117" s="343"/>
      <c r="L117" s="381"/>
      <c r="M117" s="368"/>
      <c r="N117" s="357"/>
      <c r="O117" s="373"/>
      <c r="P117" s="352"/>
      <c r="Q117" s="373"/>
      <c r="R117" s="343"/>
      <c r="S117" s="343"/>
      <c r="T117" s="373"/>
      <c r="U117" s="343"/>
      <c r="V117" s="343"/>
      <c r="W117" s="343"/>
      <c r="X117" s="279"/>
      <c r="Y117" s="279"/>
      <c r="Z117" s="279"/>
      <c r="AA117" s="279"/>
      <c r="AB117" s="279"/>
      <c r="AC117" s="279"/>
      <c r="AD117" s="279"/>
      <c r="AE117" s="279"/>
      <c r="AF117" s="279"/>
      <c r="AG117" s="279"/>
      <c r="AH117" s="279"/>
      <c r="AI117" s="279"/>
      <c r="AJ117" s="279"/>
    </row>
    <row r="118" spans="1:36" ht="18">
      <c r="A118" s="353"/>
      <c r="B118" s="354"/>
      <c r="C118" s="354">
        <f>C116+C117</f>
        <v>65</v>
      </c>
      <c r="D118" s="355"/>
      <c r="E118" s="356"/>
      <c r="F118" s="357"/>
      <c r="G118" s="339">
        <v>15</v>
      </c>
      <c r="H118" s="340" t="str">
        <f ca="1">IF(OR(TRIM(D116)="-",TRIM(D117)="-"), IF(TRIM(D116)="-",D117,D116),IF(AND(E116="",E117="")," ",IF(N(E116)=N(E117)," ",IF(N(E116)&gt;N(E117),D116,D117))))</f>
        <v xml:space="preserve"> - </v>
      </c>
      <c r="I118" s="341"/>
      <c r="J118" s="342"/>
      <c r="K118" s="343"/>
      <c r="L118" s="381"/>
      <c r="M118" s="368"/>
      <c r="N118" s="357"/>
      <c r="O118" s="373"/>
      <c r="P118" s="352"/>
      <c r="Q118" s="373"/>
      <c r="R118" s="343"/>
      <c r="S118" s="343"/>
      <c r="T118" s="343"/>
      <c r="U118" s="343"/>
      <c r="V118" s="343"/>
      <c r="W118" s="343"/>
      <c r="X118" s="279"/>
      <c r="Y118" s="279"/>
      <c r="Z118" s="279"/>
      <c r="AA118" s="279"/>
      <c r="AB118" s="279"/>
      <c r="AC118" s="279"/>
      <c r="AD118" s="279"/>
      <c r="AE118" s="279"/>
      <c r="AF118" s="279"/>
      <c r="AG118" s="279"/>
      <c r="AH118" s="279"/>
      <c r="AI118" s="279"/>
      <c r="AJ118" s="279"/>
    </row>
    <row r="119" spans="1:36" ht="18.75">
      <c r="A119" s="359"/>
      <c r="B119" s="360"/>
      <c r="C119" s="361"/>
      <c r="D119" s="330" t="s">
        <v>1748</v>
      </c>
      <c r="E119" s="331" t="str">
        <f ca="1">IF(OR(TRIM(D120)="-",TRIM(D121)="-"),"",VLOOKUP(MIN(C120,C121),Hřiště!$B$11:$E$42,4,0))</f>
        <v/>
      </c>
      <c r="F119" s="357"/>
      <c r="G119" s="347">
        <v>18</v>
      </c>
      <c r="H119" s="348" t="str">
        <f ca="1">IF(OR(TRIM(D120)="-",TRIM(D121)="-"), IF(TRIM(D120)="-",D121,D120),IF(AND(E120="",E121="")," ",IF(N(E120)=N(E121)," ",IF(N(E120)&gt;N(E121),D120,D121))))</f>
        <v xml:space="preserve"> - </v>
      </c>
      <c r="I119" s="349"/>
      <c r="J119" s="350"/>
      <c r="K119" s="362"/>
      <c r="L119" s="381"/>
      <c r="M119" s="368"/>
      <c r="N119" s="357"/>
      <c r="O119" s="373"/>
      <c r="P119" s="352"/>
      <c r="Q119" s="373"/>
      <c r="R119" s="343"/>
      <c r="S119" s="343"/>
      <c r="T119" s="373"/>
      <c r="U119" s="343"/>
      <c r="V119" s="343"/>
      <c r="W119" s="343"/>
      <c r="X119" s="279"/>
      <c r="Y119" s="279"/>
      <c r="Z119" s="279"/>
      <c r="AA119" s="279"/>
      <c r="AB119" s="279"/>
      <c r="AC119" s="279"/>
      <c r="AD119" s="279"/>
      <c r="AE119" s="279"/>
      <c r="AF119" s="279"/>
      <c r="AG119" s="279"/>
      <c r="AH119" s="279"/>
      <c r="AI119" s="279"/>
      <c r="AJ119" s="279"/>
    </row>
    <row r="120" spans="1:36" ht="18">
      <c r="A120" s="337" t="str">
        <f ca="1">VLOOKUP(C120,Postupy!$A$3:$C$66,3,0)</f>
        <v/>
      </c>
      <c r="B120" s="338"/>
      <c r="C120" s="339">
        <v>47</v>
      </c>
      <c r="D120" s="340" t="str">
        <f ca="1">VLOOKUP(C120,Postupy!$A$3:$B$66,2,0)</f>
        <v xml:space="preserve"> - </v>
      </c>
      <c r="E120" s="341"/>
      <c r="F120" s="365"/>
      <c r="G120" s="374"/>
      <c r="H120" s="375"/>
      <c r="I120" s="376"/>
      <c r="J120" s="358"/>
      <c r="K120" s="362"/>
      <c r="L120" s="387"/>
      <c r="M120" s="368"/>
      <c r="N120" s="357"/>
      <c r="O120" s="373"/>
      <c r="P120" s="352"/>
      <c r="Q120" s="373"/>
      <c r="R120" s="343"/>
      <c r="S120" s="343"/>
      <c r="T120" s="373"/>
      <c r="U120" s="343"/>
      <c r="V120" s="343"/>
      <c r="W120" s="343"/>
      <c r="X120" s="279"/>
      <c r="Y120" s="279"/>
      <c r="Z120" s="279"/>
      <c r="AA120" s="279"/>
      <c r="AB120" s="279"/>
      <c r="AC120" s="279"/>
      <c r="AD120" s="279"/>
      <c r="AE120" s="279"/>
      <c r="AF120" s="279"/>
      <c r="AG120" s="279"/>
      <c r="AH120" s="279"/>
      <c r="AI120" s="279"/>
      <c r="AJ120" s="279"/>
    </row>
    <row r="121" spans="1:36" ht="18.75">
      <c r="A121" s="337" t="str">
        <f ca="1">VLOOKUP(C121,Postupy!$A$3:$C$66,3,0)</f>
        <v/>
      </c>
      <c r="B121" s="338"/>
      <c r="C121" s="347">
        <v>18</v>
      </c>
      <c r="D121" s="348" t="str">
        <f ca="1">VLOOKUP(C121,Postupy!$A$3:$B$66,2,0)</f>
        <v xml:space="preserve"> - </v>
      </c>
      <c r="E121" s="349"/>
      <c r="F121" s="344"/>
      <c r="G121" s="343"/>
      <c r="H121" s="369"/>
      <c r="I121" s="345"/>
      <c r="J121" s="358"/>
      <c r="K121" s="351"/>
      <c r="L121" s="330" t="s">
        <v>1748</v>
      </c>
      <c r="M121" s="331" t="str">
        <f ca="1">IF(OR(TRIM(L122)="-",TRIM(L123)="-"),"",VLOOKUP(MIN(K122,K123),Hřiště!$B$11:$E$42,4,0))</f>
        <v/>
      </c>
      <c r="N121" s="388"/>
      <c r="O121" s="373"/>
      <c r="P121" s="352"/>
      <c r="Q121" s="373"/>
      <c r="R121" s="343"/>
      <c r="S121" s="343"/>
      <c r="T121" s="373"/>
      <c r="U121" s="373"/>
      <c r="V121" s="373"/>
      <c r="W121" s="343"/>
      <c r="X121" s="279"/>
      <c r="Y121" s="279"/>
      <c r="Z121" s="279"/>
      <c r="AA121" s="279"/>
      <c r="AB121" s="279"/>
      <c r="AC121" s="279"/>
      <c r="AD121" s="279"/>
      <c r="AE121" s="279"/>
      <c r="AF121" s="279"/>
      <c r="AG121" s="279"/>
      <c r="AH121" s="279"/>
      <c r="AI121" s="279"/>
      <c r="AJ121" s="279"/>
    </row>
    <row r="122" spans="1:36" ht="18">
      <c r="A122" s="353"/>
      <c r="B122" s="354"/>
      <c r="C122" s="354">
        <f>C120+C121</f>
        <v>65</v>
      </c>
      <c r="D122" s="355"/>
      <c r="E122" s="356"/>
      <c r="F122" s="371">
        <f>C118+C122</f>
        <v>130</v>
      </c>
      <c r="G122" s="343"/>
      <c r="H122" s="372"/>
      <c r="I122" s="345"/>
      <c r="J122" s="343"/>
      <c r="K122" s="339">
        <v>15</v>
      </c>
      <c r="L122" s="340" t="str">
        <f ca="1">IF(OR(TRIM(H118)="-",TRIM(H119)="-"), IF(TRIM(H118)="-",H119,H118),IF(AND(I118="",I119="")," ",IF(N(I118)=N(I119)," ",IF(N(I118)&gt;N(I119),H118,H119))))</f>
        <v xml:space="preserve"> - </v>
      </c>
      <c r="M122" s="341"/>
      <c r="N122" s="365"/>
      <c r="O122" s="343"/>
      <c r="P122" s="352"/>
      <c r="Q122" s="343"/>
      <c r="R122" s="343"/>
      <c r="S122" s="343"/>
      <c r="T122" s="343"/>
      <c r="U122" s="343"/>
      <c r="V122" s="343"/>
      <c r="W122" s="343"/>
      <c r="X122" s="279"/>
      <c r="Y122" s="279"/>
      <c r="Z122" s="279"/>
      <c r="AA122" s="279"/>
      <c r="AB122" s="279"/>
      <c r="AC122" s="279"/>
      <c r="AD122" s="279"/>
      <c r="AE122" s="279"/>
      <c r="AF122" s="279"/>
      <c r="AG122" s="279"/>
      <c r="AH122" s="279"/>
      <c r="AI122" s="279"/>
      <c r="AJ122" s="279"/>
    </row>
    <row r="123" spans="1:36" ht="18.75">
      <c r="A123" s="359"/>
      <c r="B123" s="360"/>
      <c r="C123" s="361"/>
      <c r="D123" s="330" t="s">
        <v>1748</v>
      </c>
      <c r="E123" s="331" t="str">
        <f ca="1">IF(OR(TRIM(D124)="-",TRIM(D125)="-"),"",VLOOKUP(MIN(C124,C125),Hřiště!$B$11:$E$42,4,0))</f>
        <v/>
      </c>
      <c r="F123" s="343"/>
      <c r="G123" s="343"/>
      <c r="H123" s="372"/>
      <c r="I123" s="345"/>
      <c r="J123" s="343"/>
      <c r="K123" s="347">
        <v>2</v>
      </c>
      <c r="L123" s="348" t="str">
        <f ca="1">IF(OR(TRIM(H126)="-",TRIM(H127)="-"), IF(TRIM(H126)="-",H127,H126),IF(AND(I126="",I127="")," ",IF(N(I126)=N(I127)," ",IF(N(I126)&gt;N(I127),H126,H127))))</f>
        <v xml:space="preserve"> -</v>
      </c>
      <c r="M123" s="349"/>
      <c r="N123" s="344"/>
      <c r="O123" s="343"/>
      <c r="P123" s="352"/>
      <c r="Q123" s="343"/>
      <c r="R123" s="343"/>
      <c r="S123" s="343"/>
      <c r="T123" s="343"/>
      <c r="U123" s="343"/>
      <c r="V123" s="343"/>
      <c r="W123" s="358"/>
      <c r="X123" s="279"/>
      <c r="Y123" s="279"/>
      <c r="Z123" s="279"/>
      <c r="AA123" s="279"/>
      <c r="AB123" s="279"/>
      <c r="AC123" s="279"/>
      <c r="AD123" s="279"/>
      <c r="AE123" s="279"/>
      <c r="AF123" s="279"/>
      <c r="AG123" s="279"/>
      <c r="AH123" s="279"/>
      <c r="AI123" s="279"/>
      <c r="AJ123" s="279"/>
    </row>
    <row r="124" spans="1:36" ht="18">
      <c r="A124" s="337" t="str">
        <f ca="1">VLOOKUP(C124,Postupy!$A$3:$C$66,3,0)</f>
        <v/>
      </c>
      <c r="B124" s="338"/>
      <c r="C124" s="339">
        <v>31</v>
      </c>
      <c r="D124" s="340" t="str">
        <f ca="1">VLOOKUP(C124,Postupy!$A$3:$B$66,2,0)</f>
        <v xml:space="preserve"> - </v>
      </c>
      <c r="E124" s="341"/>
      <c r="F124" s="351"/>
      <c r="G124" s="343"/>
      <c r="H124" s="369"/>
      <c r="I124" s="368"/>
      <c r="J124" s="358"/>
      <c r="K124" s="374"/>
      <c r="L124" s="394"/>
      <c r="M124" s="410"/>
      <c r="N124" s="343"/>
      <c r="O124" s="343"/>
      <c r="P124" s="343"/>
      <c r="Q124" s="343"/>
      <c r="R124" s="343"/>
      <c r="S124" s="343"/>
      <c r="T124" s="343"/>
      <c r="U124" s="343"/>
      <c r="V124" s="343"/>
      <c r="W124" s="358"/>
      <c r="X124" s="279"/>
      <c r="Y124" s="279"/>
      <c r="Z124" s="279"/>
      <c r="AA124" s="279"/>
      <c r="AB124" s="279"/>
      <c r="AC124" s="279"/>
      <c r="AD124" s="279"/>
      <c r="AE124" s="279"/>
      <c r="AF124" s="279"/>
      <c r="AG124" s="279"/>
      <c r="AH124" s="279"/>
      <c r="AI124" s="279"/>
      <c r="AJ124" s="279"/>
    </row>
    <row r="125" spans="1:36" ht="18.75">
      <c r="A125" s="337" t="str">
        <f ca="1">VLOOKUP(C125,Postupy!$A$3:$C$66,3,0)</f>
        <v/>
      </c>
      <c r="B125" s="338"/>
      <c r="C125" s="347">
        <v>34</v>
      </c>
      <c r="D125" s="348" t="str">
        <f ca="1">VLOOKUP(C125,Postupy!$A$3:$B$66,2,0)</f>
        <v xml:space="preserve"> - </v>
      </c>
      <c r="E125" s="349"/>
      <c r="F125" s="377" t="s">
        <v>1749</v>
      </c>
      <c r="G125" s="351"/>
      <c r="H125" s="330" t="s">
        <v>1748</v>
      </c>
      <c r="I125" s="331" t="str">
        <f ca="1">IF(OR(TRIM(H126)="-",TRIM(H127)="-"),"",VLOOKUP(MIN(G126,G127),Hřiště!$B$11:$E$42,4,0))</f>
        <v/>
      </c>
      <c r="J125" s="358"/>
      <c r="K125" s="362"/>
      <c r="L125" s="352"/>
      <c r="M125" s="373"/>
      <c r="N125" s="343"/>
      <c r="O125" s="343"/>
      <c r="P125" s="343"/>
      <c r="Q125" s="343"/>
      <c r="R125" s="343"/>
      <c r="S125" s="343"/>
      <c r="T125" s="343"/>
      <c r="U125" s="343"/>
      <c r="V125" s="343"/>
      <c r="W125" s="358"/>
      <c r="X125" s="279"/>
      <c r="Y125" s="279"/>
      <c r="Z125" s="279"/>
      <c r="AA125" s="279"/>
      <c r="AB125" s="279"/>
      <c r="AC125" s="279"/>
      <c r="AD125" s="279"/>
      <c r="AE125" s="279"/>
      <c r="AF125" s="279"/>
      <c r="AG125" s="279"/>
      <c r="AH125" s="279"/>
      <c r="AI125" s="279"/>
      <c r="AJ125" s="279"/>
    </row>
    <row r="126" spans="1:36" ht="18">
      <c r="A126" s="353"/>
      <c r="B126" s="354"/>
      <c r="C126" s="354">
        <f>C124+C125</f>
        <v>65</v>
      </c>
      <c r="D126" s="355"/>
      <c r="E126" s="356"/>
      <c r="F126" s="391"/>
      <c r="G126" s="339">
        <v>31</v>
      </c>
      <c r="H126" s="340" t="str">
        <f ca="1">IF(OR(TRIM(D124)="-",TRIM(D125)="-"), IF(TRIM(D124)="-",D125,D124),IF(AND(E124="",E125="")," ",IF(N(E124)=N(E125)," ",IF(N(E124)&gt;N(E125),D124,D125))))</f>
        <v xml:space="preserve"> - </v>
      </c>
      <c r="I126" s="341"/>
      <c r="J126" s="365"/>
      <c r="K126" s="362"/>
      <c r="L126" s="352"/>
      <c r="M126" s="373"/>
      <c r="N126" s="343"/>
      <c r="O126" s="343"/>
      <c r="P126" s="343"/>
      <c r="Q126" s="343"/>
      <c r="R126" s="343"/>
      <c r="S126" s="343"/>
      <c r="T126" s="343"/>
      <c r="U126" s="343"/>
      <c r="V126" s="343"/>
      <c r="W126" s="358"/>
      <c r="X126" s="279"/>
      <c r="Y126" s="279"/>
      <c r="Z126" s="279"/>
      <c r="AA126" s="279"/>
      <c r="AB126" s="279"/>
      <c r="AC126" s="279"/>
      <c r="AD126" s="279"/>
      <c r="AE126" s="279"/>
      <c r="AF126" s="279"/>
      <c r="AG126" s="279"/>
      <c r="AH126" s="279"/>
      <c r="AI126" s="279"/>
      <c r="AJ126" s="279"/>
    </row>
    <row r="127" spans="1:36" ht="18.75">
      <c r="A127" s="359"/>
      <c r="B127" s="360"/>
      <c r="C127" s="361"/>
      <c r="D127" s="330" t="s">
        <v>1748</v>
      </c>
      <c r="E127" s="331" t="str">
        <f ca="1">IF(OR(TRIM(D128)="-",TRIM(D129)="-"),"",VLOOKUP(MIN(C128,C129),Hřiště!$B$11:$E$42,4,0))</f>
        <v/>
      </c>
      <c r="F127" s="370"/>
      <c r="G127" s="347">
        <v>2</v>
      </c>
      <c r="H127" s="348" t="str">
        <f ca="1">IF(OR(TRIM(D128)="-",TRIM(D129)="-"), IF(TRIM(D128)="-",D129,D128),IF(AND(E128="",E129="")," ",IF(N(E128)=N(E129)," ",IF(N(E128)&gt;N(E129),D128,D129))))</f>
        <v xml:space="preserve"> -</v>
      </c>
      <c r="I127" s="349"/>
      <c r="J127" s="344"/>
      <c r="K127" s="343"/>
      <c r="L127" s="352"/>
      <c r="M127" s="343"/>
      <c r="N127" s="343"/>
      <c r="O127" s="343"/>
      <c r="P127" s="343"/>
      <c r="Q127" s="343"/>
      <c r="R127" s="343"/>
      <c r="S127" s="343"/>
      <c r="T127" s="343"/>
      <c r="U127" s="343"/>
      <c r="V127" s="343"/>
      <c r="W127" s="358"/>
      <c r="X127" s="279"/>
      <c r="Y127" s="279"/>
      <c r="Z127" s="279"/>
      <c r="AA127" s="279"/>
      <c r="AB127" s="279"/>
      <c r="AC127" s="279"/>
      <c r="AD127" s="279"/>
      <c r="AE127" s="279"/>
      <c r="AF127" s="279"/>
      <c r="AG127" s="279"/>
      <c r="AH127" s="279"/>
      <c r="AI127" s="279"/>
      <c r="AJ127" s="279"/>
    </row>
    <row r="128" spans="1:36" ht="18">
      <c r="A128" s="337" t="str">
        <f ca="1">VLOOKUP(C128,Postupy!$A$3:$C$66,3,0)</f>
        <v/>
      </c>
      <c r="B128" s="338"/>
      <c r="C128" s="339">
        <v>63</v>
      </c>
      <c r="D128" s="340" t="str">
        <f ca="1">VLOOKUP(C128,Postupy!$A$3:$B$66,2,0)</f>
        <v xml:space="preserve"> - </v>
      </c>
      <c r="E128" s="341"/>
      <c r="F128" s="378"/>
      <c r="G128" s="374"/>
      <c r="H128" s="395"/>
      <c r="I128" s="410"/>
      <c r="J128" s="343"/>
      <c r="K128" s="343"/>
      <c r="L128" s="396"/>
      <c r="M128" s="343"/>
      <c r="N128" s="343"/>
      <c r="O128" s="343"/>
      <c r="P128" s="343"/>
      <c r="Q128" s="343"/>
      <c r="R128" s="343"/>
      <c r="S128" s="343"/>
      <c r="T128" s="343"/>
      <c r="U128" s="343"/>
      <c r="V128" s="343"/>
      <c r="W128" s="358"/>
      <c r="X128" s="279"/>
      <c r="Y128" s="279"/>
      <c r="Z128" s="279"/>
      <c r="AA128" s="279"/>
      <c r="AB128" s="279"/>
      <c r="AC128" s="279"/>
      <c r="AD128" s="279"/>
      <c r="AE128" s="279"/>
      <c r="AF128" s="279"/>
      <c r="AG128" s="279"/>
      <c r="AH128" s="279"/>
      <c r="AI128" s="279"/>
      <c r="AJ128" s="279"/>
    </row>
    <row r="129" spans="1:36" ht="18">
      <c r="A129" s="337" t="str">
        <f ca="1">VLOOKUP(C129,Postupy!$A$3:$C$66,3,0)</f>
        <v>B1</v>
      </c>
      <c r="B129" s="338"/>
      <c r="C129" s="347">
        <v>2</v>
      </c>
      <c r="D129" s="348" t="str">
        <f ca="1">VLOOKUP(C129,Postupy!$A$3:$B$66,2,0)</f>
        <v xml:space="preserve"> -</v>
      </c>
      <c r="E129" s="349"/>
      <c r="F129" s="379"/>
      <c r="G129" s="343"/>
      <c r="H129" s="358"/>
      <c r="I129" s="343"/>
      <c r="J129" s="343"/>
      <c r="K129" s="343"/>
      <c r="L129" s="398"/>
      <c r="M129" s="343"/>
      <c r="N129" s="343"/>
      <c r="O129" s="343"/>
      <c r="P129" s="343"/>
      <c r="Q129" s="343"/>
      <c r="R129" s="343"/>
      <c r="S129" s="343"/>
      <c r="T129" s="343"/>
      <c r="U129" s="343"/>
      <c r="V129" s="343"/>
      <c r="W129" s="358"/>
      <c r="X129" s="279"/>
      <c r="Y129" s="279"/>
      <c r="Z129" s="279"/>
      <c r="AA129" s="279"/>
      <c r="AB129" s="279"/>
      <c r="AC129" s="279"/>
      <c r="AD129" s="279"/>
      <c r="AE129" s="279"/>
      <c r="AF129" s="279"/>
      <c r="AG129" s="279"/>
      <c r="AH129" s="279"/>
      <c r="AI129" s="279"/>
      <c r="AJ129" s="279"/>
    </row>
    <row r="130" spans="1:36">
      <c r="A130" s="353"/>
      <c r="B130" s="408"/>
      <c r="C130" s="354">
        <f>C128+C129</f>
        <v>65</v>
      </c>
      <c r="D130" s="355"/>
      <c r="E130" s="391"/>
      <c r="F130" s="371">
        <f>C126+C130</f>
        <v>130</v>
      </c>
      <c r="G130" s="343"/>
      <c r="H130" s="343"/>
      <c r="I130" s="343"/>
      <c r="J130" s="343"/>
      <c r="K130" s="343"/>
      <c r="L130" s="343"/>
      <c r="M130" s="343"/>
      <c r="N130" s="343"/>
      <c r="O130" s="343"/>
      <c r="P130" s="343"/>
      <c r="Q130" s="343"/>
      <c r="R130" s="343"/>
      <c r="S130" s="343"/>
      <c r="T130" s="343"/>
      <c r="U130" s="343"/>
      <c r="V130" s="343"/>
      <c r="W130" s="358"/>
      <c r="X130" s="279"/>
      <c r="Y130" s="279"/>
      <c r="Z130" s="279"/>
      <c r="AA130" s="279"/>
      <c r="AB130" s="279"/>
      <c r="AC130" s="279"/>
      <c r="AD130" s="279"/>
      <c r="AE130" s="279"/>
      <c r="AF130" s="279"/>
      <c r="AG130" s="279"/>
      <c r="AH130" s="279"/>
      <c r="AI130" s="279"/>
      <c r="AJ130" s="279"/>
    </row>
    <row r="131" spans="1:36" ht="79.900000000000006" customHeight="1">
      <c r="A131" s="359"/>
      <c r="B131" s="408"/>
      <c r="C131" s="361"/>
      <c r="D131" s="355"/>
      <c r="E131" s="418"/>
      <c r="F131" s="366"/>
      <c r="G131" s="391"/>
      <c r="H131" s="343"/>
      <c r="I131" s="391"/>
      <c r="J131" s="343"/>
      <c r="K131" s="343"/>
      <c r="L131" s="343"/>
      <c r="M131" s="343"/>
      <c r="N131" s="343"/>
      <c r="O131" s="343"/>
      <c r="P131" s="343"/>
      <c r="Q131" s="343"/>
      <c r="R131" s="343"/>
      <c r="S131" s="343"/>
      <c r="T131" s="343"/>
      <c r="U131" s="343"/>
      <c r="V131" s="343"/>
      <c r="W131" s="358"/>
      <c r="X131" s="279"/>
      <c r="Y131" s="279"/>
      <c r="Z131" s="279"/>
      <c r="AA131" s="279"/>
      <c r="AB131" s="279"/>
      <c r="AC131" s="279"/>
      <c r="AD131" s="279"/>
      <c r="AE131" s="279"/>
      <c r="AF131" s="279"/>
      <c r="AG131" s="279"/>
      <c r="AH131" s="279"/>
      <c r="AI131" s="279"/>
      <c r="AJ131" s="279"/>
    </row>
    <row r="132" spans="1:36" ht="79.900000000000006" customHeight="1">
      <c r="A132" s="359"/>
      <c r="B132" s="408"/>
      <c r="C132" s="361"/>
      <c r="D132" s="355"/>
      <c r="E132" s="418"/>
      <c r="F132" s="366"/>
      <c r="G132" s="391"/>
      <c r="H132" s="343"/>
      <c r="I132" s="391"/>
      <c r="J132" s="343"/>
      <c r="K132" s="343"/>
      <c r="L132" s="343"/>
      <c r="M132" s="343"/>
      <c r="N132" s="343"/>
      <c r="O132" s="343"/>
      <c r="P132" s="343"/>
      <c r="Q132" s="343"/>
      <c r="R132" s="343"/>
      <c r="S132" s="343"/>
      <c r="T132" s="343"/>
      <c r="U132" s="343"/>
      <c r="V132" s="343"/>
      <c r="W132" s="358"/>
      <c r="X132" s="279"/>
      <c r="Y132" s="279"/>
      <c r="Z132" s="279"/>
      <c r="AA132" s="279"/>
      <c r="AB132" s="279"/>
      <c r="AC132" s="279"/>
      <c r="AD132" s="279"/>
      <c r="AE132" s="279"/>
      <c r="AF132" s="279"/>
      <c r="AG132" s="279"/>
      <c r="AH132" s="279"/>
      <c r="AI132" s="279"/>
      <c r="AJ132" s="279"/>
    </row>
    <row r="133" spans="1:36" ht="79.900000000000006" customHeight="1">
      <c r="A133" s="359"/>
      <c r="B133" s="408"/>
      <c r="C133" s="361"/>
      <c r="D133" s="355"/>
      <c r="E133" s="418"/>
      <c r="F133" s="366"/>
      <c r="G133" s="391"/>
      <c r="H133" s="343"/>
      <c r="I133" s="391"/>
      <c r="J133" s="343"/>
      <c r="K133" s="343"/>
      <c r="L133" s="343"/>
      <c r="M133" s="343"/>
      <c r="N133" s="343"/>
      <c r="O133" s="343"/>
      <c r="P133" s="343"/>
      <c r="Q133" s="343"/>
      <c r="R133" s="343"/>
      <c r="S133" s="343"/>
      <c r="T133" s="343"/>
      <c r="U133" s="343"/>
      <c r="V133" s="343"/>
      <c r="W133" s="358"/>
      <c r="X133" s="279"/>
      <c r="Y133" s="279"/>
      <c r="Z133" s="279"/>
      <c r="AA133" s="279"/>
      <c r="AB133" s="279"/>
      <c r="AC133" s="279"/>
      <c r="AD133" s="279"/>
      <c r="AE133" s="279"/>
      <c r="AF133" s="279"/>
      <c r="AG133" s="279"/>
      <c r="AH133" s="279"/>
      <c r="AI133" s="279"/>
      <c r="AJ133" s="279"/>
    </row>
  </sheetData>
  <sheetProtection password="CA1B" sheet="1" formatCells="0" formatColumns="0" formatRows="0"/>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2">
      <formula>IF(N(E4)&gt;N(E5),1,0)</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3">
      <formula>IF(N(E4)&gt;N(E5),1,0)</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4">
      <formula>IF(N(E4)&gt;N(E5),1,0)</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5">
      <formula>IF(N(E5)&gt;N(E4),1,0)</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6">
      <formula>IF(N(E5)&gt;N(E4),1,0)</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7">
      <formula>IF(N(E5)&gt;N(E4),1,0)</formula>
    </cfRule>
  </conditionalFormatting>
  <pageMargins left="0.62986111111111098" right="0.12986111111111101" top="0.12986111111111101" bottom="0.140277777777778" header="0.51180555555555496" footer="0.51180555555555496"/>
  <pageSetup paperSize="9" firstPageNumber="0" fitToWidth="2" fitToHeight="3" orientation="landscape"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3"/>
  <sheetViews>
    <sheetView zoomScaleNormal="100" workbookViewId="0">
      <pane xSplit="4" ySplit="3" topLeftCell="E4" activePane="bottomRight" state="frozen"/>
      <selection pane="topRight" activeCell="E1" sqref="E1"/>
      <selection pane="bottomLeft" activeCell="A4" sqref="A4"/>
      <selection pane="bottomRight" activeCell="E4" sqref="E4"/>
    </sheetView>
  </sheetViews>
  <sheetFormatPr defaultColWidth="8.7109375"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c r="B1" s="293"/>
      <c r="C1" s="320"/>
      <c r="D1" s="320"/>
      <c r="E1" s="320"/>
      <c r="F1" s="320"/>
      <c r="G1" s="320"/>
      <c r="H1" s="320"/>
      <c r="I1" s="320"/>
      <c r="J1" s="320"/>
      <c r="K1" s="320"/>
      <c r="L1" s="320"/>
      <c r="M1" s="320"/>
      <c r="N1" s="320"/>
      <c r="O1" s="320"/>
      <c r="P1" s="320"/>
      <c r="Q1" s="320"/>
      <c r="R1" s="320"/>
      <c r="S1" s="320"/>
      <c r="T1" s="320"/>
      <c r="U1" s="320"/>
      <c r="V1" s="320"/>
      <c r="W1" s="320"/>
      <c r="Y1" s="320"/>
      <c r="Z1" s="320"/>
      <c r="AA1" s="320"/>
      <c r="AB1" s="320"/>
      <c r="AC1" s="320"/>
      <c r="AD1" s="320"/>
      <c r="AE1" s="320"/>
      <c r="AF1" s="320"/>
      <c r="AG1" s="320"/>
    </row>
    <row r="2" spans="1:34" ht="32.450000000000003" customHeight="1">
      <c r="A2" s="321"/>
      <c r="B2" s="322"/>
      <c r="C2" s="323">
        <v>32</v>
      </c>
      <c r="D2" s="324" t="s">
        <v>1744</v>
      </c>
      <c r="E2" s="325"/>
      <c r="F2" s="325"/>
      <c r="G2" s="326">
        <v>16</v>
      </c>
      <c r="H2" s="324" t="s">
        <v>1744</v>
      </c>
      <c r="I2" s="325"/>
      <c r="J2" s="279"/>
      <c r="K2" s="326">
        <v>8</v>
      </c>
      <c r="L2" s="324" t="s">
        <v>1744</v>
      </c>
      <c r="M2" s="325"/>
      <c r="N2" s="279"/>
      <c r="O2" s="326">
        <v>4</v>
      </c>
      <c r="P2" s="324" t="s">
        <v>1745</v>
      </c>
      <c r="Q2" s="279"/>
      <c r="R2" s="279"/>
      <c r="S2" s="326">
        <v>2</v>
      </c>
      <c r="T2" s="324" t="s">
        <v>1746</v>
      </c>
      <c r="U2" s="279"/>
      <c r="V2" s="279"/>
      <c r="W2" s="326">
        <v>1</v>
      </c>
      <c r="X2" s="327" t="s">
        <v>1747</v>
      </c>
      <c r="Y2" s="279"/>
      <c r="Z2" s="279"/>
      <c r="AA2" s="279"/>
      <c r="AB2" s="279"/>
      <c r="AC2" s="279"/>
      <c r="AD2" s="279"/>
      <c r="AE2" s="279"/>
      <c r="AF2" s="279"/>
      <c r="AG2" s="279"/>
    </row>
    <row r="3" spans="1:34" ht="28.9" customHeight="1">
      <c r="A3" s="294"/>
      <c r="B3" s="328"/>
      <c r="C3" s="329"/>
      <c r="D3" s="330" t="s">
        <v>1748</v>
      </c>
      <c r="E3" s="331" t="str">
        <f ca="1">IF(OR(TRIM(D4)="-",TRIM(D5)="-"),"",VLOOKUP(MIN(C4,C5),Hřiště!$B$11:$E$42,4,0))</f>
        <v/>
      </c>
      <c r="F3" s="332"/>
      <c r="G3" s="333"/>
      <c r="H3" s="334"/>
      <c r="I3" s="335"/>
      <c r="J3" s="332"/>
      <c r="K3" s="332"/>
      <c r="L3" s="334"/>
      <c r="M3" s="335"/>
      <c r="N3" s="332"/>
      <c r="O3" s="332"/>
      <c r="P3" s="334"/>
      <c r="Q3" s="335"/>
      <c r="R3" s="332"/>
      <c r="S3" s="332"/>
      <c r="T3" s="334"/>
      <c r="U3" s="335"/>
      <c r="V3" s="332"/>
      <c r="W3" s="332"/>
      <c r="X3" s="336"/>
      <c r="Y3" s="335"/>
      <c r="Z3" s="332"/>
      <c r="AA3" s="332"/>
      <c r="AB3" s="335"/>
      <c r="AC3" s="335"/>
      <c r="AD3" s="332"/>
      <c r="AE3" s="332"/>
      <c r="AF3" s="332"/>
      <c r="AG3" s="332"/>
    </row>
    <row r="4" spans="1:34" ht="18">
      <c r="A4" s="337" t="str">
        <f ca="1">VLOOKUP(C4,Postupy!$A$3:$C$34,3,0)</f>
        <v>A1</v>
      </c>
      <c r="B4" s="338"/>
      <c r="C4" s="339">
        <v>1</v>
      </c>
      <c r="D4" s="419" t="str">
        <f ca="1">VLOOKUP(C4,Postupy!$A$3:$BG$34,59,0)</f>
        <v xml:space="preserve"> - </v>
      </c>
      <c r="E4" s="341">
        <f ca="1">VLOOKUP(C4,Postupy!$A$3:$BH$34,60,0)</f>
        <v>0</v>
      </c>
      <c r="F4" s="342"/>
      <c r="G4" s="343"/>
      <c r="H4" s="344"/>
      <c r="I4" s="343"/>
      <c r="J4" s="343"/>
      <c r="K4" s="343"/>
      <c r="L4" s="343"/>
      <c r="M4" s="343"/>
      <c r="N4" s="343"/>
      <c r="O4" s="343"/>
      <c r="P4" s="343"/>
      <c r="Q4" s="343"/>
      <c r="R4" s="343"/>
      <c r="S4" s="343"/>
      <c r="T4" s="343"/>
      <c r="U4" s="343"/>
      <c r="V4" s="343"/>
      <c r="W4" s="343"/>
      <c r="X4" s="346"/>
      <c r="Y4" s="279"/>
      <c r="Z4" s="279"/>
      <c r="AA4" s="279"/>
      <c r="AB4" s="279"/>
      <c r="AC4" s="279"/>
      <c r="AD4" s="279"/>
      <c r="AE4" s="279"/>
      <c r="AF4" s="279"/>
      <c r="AG4" s="279"/>
    </row>
    <row r="5" spans="1:34" ht="18.75">
      <c r="A5" s="337" t="str">
        <f ca="1">VLOOKUP(C5,Postupy!$A$3:$C$34,3,0)</f>
        <v/>
      </c>
      <c r="B5" s="338"/>
      <c r="C5" s="347">
        <v>32</v>
      </c>
      <c r="D5" s="419" t="str">
        <f ca="1">VLOOKUP(C5,Postupy!$A$3:$BG$34,59,0)</f>
        <v xml:space="preserve"> - </v>
      </c>
      <c r="E5" s="349">
        <f ca="1">VLOOKUP(C5,Postupy!$A$3:$BH$34,60,0)</f>
        <v>0</v>
      </c>
      <c r="F5" s="350"/>
      <c r="G5" s="351"/>
      <c r="H5" s="330" t="s">
        <v>1748</v>
      </c>
      <c r="I5" s="331" t="str">
        <f ca="1">IF(OR(TRIM(H6)="-",TRIM(H7)="-"),"",VLOOKUP(MIN(G6,G7),Hřiště!$B$11:$E$42,4,0))</f>
        <v/>
      </c>
      <c r="J5" s="343"/>
      <c r="K5" s="343"/>
      <c r="L5" s="343"/>
      <c r="M5" s="343"/>
      <c r="N5" s="343"/>
      <c r="O5" s="343"/>
      <c r="P5" s="352"/>
      <c r="Q5" s="343"/>
      <c r="R5" s="343"/>
      <c r="S5" s="343"/>
      <c r="T5" s="343"/>
      <c r="U5" s="343"/>
      <c r="V5" s="343"/>
      <c r="W5" s="343"/>
      <c r="X5" s="346"/>
      <c r="Y5" s="279"/>
      <c r="Z5" s="279"/>
      <c r="AA5" s="279"/>
      <c r="AB5" s="279"/>
      <c r="AC5" s="279"/>
      <c r="AD5" s="279"/>
      <c r="AE5" s="279"/>
      <c r="AF5" s="279"/>
      <c r="AG5" s="279"/>
    </row>
    <row r="6" spans="1:34" ht="18">
      <c r="A6" s="353"/>
      <c r="B6" s="354"/>
      <c r="C6" s="354">
        <f>C4+C5</f>
        <v>33</v>
      </c>
      <c r="D6" s="355"/>
      <c r="E6" s="391"/>
      <c r="F6" s="357"/>
      <c r="G6" s="339">
        <v>1</v>
      </c>
      <c r="H6" s="340" t="str">
        <f ca="1">IF(OR(TRIM(D4)="-",TRIM(D5)="-"), IF(TRIM(D4)="-",D5,D4),IF(AND(E4="",E5="")," ",IF(N(E4)=N(E5)," ",IF(N(E4)&gt;N(E5),D4,D5))))</f>
        <v xml:space="preserve"> - </v>
      </c>
      <c r="I6" s="341">
        <f ca="1">VLOOKUP(G6,Postupy!$A$3:$BJ$18,62,0)</f>
        <v>0</v>
      </c>
      <c r="J6" s="342"/>
      <c r="K6" s="343"/>
      <c r="L6" s="352"/>
      <c r="M6" s="343"/>
      <c r="N6" s="343"/>
      <c r="O6" s="343"/>
      <c r="P6" s="352"/>
      <c r="Q6" s="343"/>
      <c r="R6" s="343"/>
      <c r="S6" s="343"/>
      <c r="T6" s="343"/>
      <c r="U6" s="343"/>
      <c r="V6" s="343"/>
      <c r="W6" s="358"/>
      <c r="X6" s="279"/>
      <c r="Y6" s="279"/>
      <c r="Z6" s="279"/>
      <c r="AA6" s="279"/>
      <c r="AB6" s="279"/>
      <c r="AC6" s="279"/>
      <c r="AD6" s="279"/>
      <c r="AE6" s="279"/>
      <c r="AF6" s="279"/>
      <c r="AG6" s="279"/>
    </row>
    <row r="7" spans="1:34" ht="18.75">
      <c r="A7" s="359"/>
      <c r="B7" s="360"/>
      <c r="C7" s="361"/>
      <c r="D7" s="330" t="s">
        <v>1748</v>
      </c>
      <c r="E7" s="331" t="str">
        <f ca="1">IF(OR(TRIM(D8)="-",TRIM(D9)="-"),"",VLOOKUP(MIN(C8,C9),Hřiště!$B$11:$E$42,4,0))</f>
        <v/>
      </c>
      <c r="F7" s="357"/>
      <c r="G7" s="347">
        <v>16</v>
      </c>
      <c r="H7" s="348" t="str">
        <f ca="1">IF(OR(TRIM(D8)="-",TRIM(D9)="-"), IF(TRIM(D8)="-",D9,D8),IF(AND(E8="",E9="")," ",IF(N(E8)=N(E9)," ",IF(N(E8)&gt;N(E9),D8,D9))))</f>
        <v xml:space="preserve"> - </v>
      </c>
      <c r="I7" s="349">
        <f ca="1">VLOOKUP(G7,Postupy!$A$3:$BJ$18,62,0)</f>
        <v>0</v>
      </c>
      <c r="J7" s="350"/>
      <c r="K7" s="362"/>
      <c r="L7" s="363"/>
      <c r="M7" s="373"/>
      <c r="N7" s="343"/>
      <c r="O7" s="343"/>
      <c r="P7" s="352"/>
      <c r="Q7" s="343"/>
      <c r="R7" s="343"/>
      <c r="S7" s="343"/>
      <c r="T7" s="343"/>
      <c r="U7" s="343"/>
      <c r="V7" s="343"/>
      <c r="W7" s="358"/>
      <c r="X7" s="279"/>
      <c r="Y7" s="279"/>
      <c r="Z7" s="279"/>
      <c r="AA7" s="279"/>
      <c r="AB7" s="279"/>
      <c r="AC7" s="279"/>
      <c r="AD7" s="279"/>
      <c r="AE7" s="279"/>
      <c r="AF7" s="279"/>
      <c r="AG7" s="279"/>
    </row>
    <row r="8" spans="1:34" ht="18">
      <c r="A8" s="337" t="str">
        <f ca="1">VLOOKUP(C8,Postupy!$A$3:$C$34,3,0)</f>
        <v/>
      </c>
      <c r="B8" s="338"/>
      <c r="C8" s="339">
        <v>17</v>
      </c>
      <c r="D8" s="419" t="str">
        <f ca="1">VLOOKUP(C8,Postupy!$A$3:$BG$34,59,0)</f>
        <v xml:space="preserve"> - </v>
      </c>
      <c r="E8" s="341">
        <f ca="1">VLOOKUP(C8,Postupy!$A$3:$BH$34,60,0)</f>
        <v>0</v>
      </c>
      <c r="F8" s="365"/>
      <c r="G8" s="366"/>
      <c r="H8" s="367"/>
      <c r="I8" s="358"/>
      <c r="J8" s="358"/>
      <c r="K8" s="362"/>
      <c r="L8" s="363"/>
      <c r="M8" s="373"/>
      <c r="N8" s="343"/>
      <c r="O8" s="343"/>
      <c r="P8" s="352"/>
      <c r="Q8" s="343"/>
      <c r="R8" s="343"/>
      <c r="S8" s="343"/>
      <c r="T8" s="343"/>
      <c r="U8" s="343"/>
      <c r="V8" s="343"/>
      <c r="W8" s="358"/>
      <c r="X8" s="279"/>
      <c r="Y8" s="279"/>
      <c r="Z8" s="279"/>
      <c r="AA8" s="279"/>
      <c r="AB8" s="279"/>
      <c r="AC8" s="279"/>
      <c r="AD8" s="279"/>
      <c r="AE8" s="279"/>
      <c r="AF8" s="279"/>
      <c r="AG8" s="279"/>
    </row>
    <row r="9" spans="1:34" ht="18.75">
      <c r="A9" s="337" t="str">
        <f ca="1">VLOOKUP(C9,Postupy!$A$3:$C$34,3,0)</f>
        <v/>
      </c>
      <c r="B9" s="338"/>
      <c r="C9" s="347">
        <v>16</v>
      </c>
      <c r="D9" s="419" t="str">
        <f ca="1">VLOOKUP(C9,Postupy!$A$3:$BG$34,59,0)</f>
        <v xml:space="preserve"> - </v>
      </c>
      <c r="E9" s="349">
        <f ca="1">VLOOKUP(C9,Postupy!$A$3:$BH$34,60,0)</f>
        <v>0</v>
      </c>
      <c r="F9" s="344"/>
      <c r="G9" s="343"/>
      <c r="H9" s="369"/>
      <c r="I9" s="358"/>
      <c r="J9" s="358"/>
      <c r="K9" s="351"/>
      <c r="L9" s="330" t="s">
        <v>1748</v>
      </c>
      <c r="M9" s="331" t="str">
        <f ca="1">IF(OR(TRIM(L10)="-",TRIM(L11)="-"),"",VLOOKUP(MIN(K10,K11),Hřiště!$B$11:$E$42,4,0))</f>
        <v/>
      </c>
      <c r="N9" s="370"/>
      <c r="O9" s="343"/>
      <c r="P9" s="352"/>
      <c r="Q9" s="343"/>
      <c r="R9" s="343"/>
      <c r="S9" s="343"/>
      <c r="T9" s="343"/>
      <c r="U9" s="343"/>
      <c r="V9" s="343"/>
      <c r="W9" s="358"/>
      <c r="X9" s="279"/>
      <c r="Y9" s="279"/>
      <c r="Z9" s="279"/>
      <c r="AA9" s="279"/>
      <c r="AB9" s="279"/>
      <c r="AC9" s="279"/>
      <c r="AD9" s="279"/>
      <c r="AE9" s="279"/>
      <c r="AF9" s="279"/>
      <c r="AG9" s="279"/>
    </row>
    <row r="10" spans="1:34" ht="18">
      <c r="A10" s="353"/>
      <c r="B10" s="354"/>
      <c r="C10" s="354">
        <f>C8+C9</f>
        <v>33</v>
      </c>
      <c r="D10" s="355"/>
      <c r="E10" s="391"/>
      <c r="F10" s="366">
        <f>C6+C10</f>
        <v>66</v>
      </c>
      <c r="G10" s="343"/>
      <c r="H10" s="372"/>
      <c r="I10" s="343"/>
      <c r="J10" s="343"/>
      <c r="K10" s="339">
        <v>1</v>
      </c>
      <c r="L10" s="340" t="str">
        <f ca="1">IF(OR(TRIM(H6)="-",TRIM(H7)="-"), IF(TRIM(H6)="-",H7,H6),IF(AND(I6="",I7="")," ",IF(N(I6)=N(I7)," ",IF(N(I6)&gt;N(I7),H6,H7))))</f>
        <v xml:space="preserve"> - </v>
      </c>
      <c r="M10" s="341">
        <f ca="1">VLOOKUP(K10,Postupy!$A$3:$BL$10,64,0)</f>
        <v>0</v>
      </c>
      <c r="N10" s="342"/>
      <c r="O10" s="373"/>
      <c r="P10" s="363"/>
      <c r="Q10" s="373"/>
      <c r="R10" s="343"/>
      <c r="S10" s="343"/>
      <c r="T10" s="343"/>
      <c r="U10" s="343"/>
      <c r="V10" s="343"/>
      <c r="W10" s="358"/>
      <c r="X10" s="279"/>
      <c r="Y10" s="279"/>
      <c r="Z10" s="279"/>
      <c r="AA10" s="279"/>
      <c r="AB10" s="279"/>
      <c r="AC10" s="279"/>
      <c r="AD10" s="325"/>
      <c r="AE10" s="279"/>
      <c r="AF10" s="279"/>
      <c r="AG10" s="279"/>
      <c r="AH10" s="346"/>
    </row>
    <row r="11" spans="1:34" ht="18.75">
      <c r="A11" s="359"/>
      <c r="B11" s="360"/>
      <c r="C11" s="361"/>
      <c r="D11" s="330" t="s">
        <v>1748</v>
      </c>
      <c r="E11" s="331" t="str">
        <f ca="1">IF(OR(TRIM(D12)="-",TRIM(D13)="-"),"",VLOOKUP(MIN(C12,C13),Hřiště!$B$11:$E$42,4,0))</f>
        <v/>
      </c>
      <c r="F11" s="343"/>
      <c r="G11" s="343"/>
      <c r="H11" s="372"/>
      <c r="I11" s="343"/>
      <c r="J11" s="343"/>
      <c r="K11" s="347">
        <v>8</v>
      </c>
      <c r="L11" s="348" t="str">
        <f ca="1">IF(OR(TRIM(H14)="-",TRIM(H15)="-"), IF(TRIM(H14)="-",H15,H14),IF(AND(I14="",I15="")," ",IF(N(I14)=N(I15)," ",IF(N(I14)&gt;N(I15),H14,H15))))</f>
        <v xml:space="preserve"> -</v>
      </c>
      <c r="M11" s="349">
        <f ca="1">VLOOKUP(K11,Postupy!$A$3:$BL$10,64,0)</f>
        <v>0</v>
      </c>
      <c r="N11" s="350"/>
      <c r="O11" s="362"/>
      <c r="P11" s="363"/>
      <c r="Q11" s="373"/>
      <c r="R11" s="343"/>
      <c r="S11" s="343"/>
      <c r="T11" s="343"/>
      <c r="U11" s="343"/>
      <c r="V11" s="343"/>
      <c r="W11" s="358"/>
      <c r="X11" s="279"/>
      <c r="Y11" s="279"/>
      <c r="Z11" s="279"/>
      <c r="AA11" s="279"/>
      <c r="AB11" s="279"/>
      <c r="AC11" s="279"/>
      <c r="AD11" s="325"/>
      <c r="AE11" s="279"/>
      <c r="AF11" s="279"/>
      <c r="AG11" s="279"/>
      <c r="AH11" s="279"/>
    </row>
    <row r="12" spans="1:34" ht="18">
      <c r="A12" s="337" t="str">
        <f ca="1">VLOOKUP(C12,Postupy!$A$3:$C$34,3,0)</f>
        <v/>
      </c>
      <c r="B12" s="338"/>
      <c r="C12" s="339">
        <v>9</v>
      </c>
      <c r="D12" s="419" t="str">
        <f ca="1">VLOOKUP(C12,Postupy!$A$3:$BG$34,59,0)</f>
        <v xml:space="preserve"> - </v>
      </c>
      <c r="E12" s="341">
        <f ca="1">VLOOKUP(C12,Postupy!$A$3:$BH$34,60,0)</f>
        <v>0</v>
      </c>
      <c r="F12" s="351"/>
      <c r="G12" s="343"/>
      <c r="H12" s="369"/>
      <c r="I12" s="358"/>
      <c r="J12" s="358"/>
      <c r="K12" s="374"/>
      <c r="L12" s="375"/>
      <c r="M12" s="410"/>
      <c r="N12" s="343"/>
      <c r="O12" s="362"/>
      <c r="P12" s="363"/>
      <c r="Q12" s="373"/>
      <c r="R12" s="343"/>
      <c r="S12" s="343"/>
      <c r="T12" s="343"/>
      <c r="U12" s="343"/>
      <c r="V12" s="343"/>
      <c r="W12" s="358"/>
      <c r="X12" s="279"/>
      <c r="Y12" s="279"/>
      <c r="Z12" s="279"/>
      <c r="AA12" s="279"/>
      <c r="AB12" s="279"/>
      <c r="AC12" s="279"/>
      <c r="AD12" s="325"/>
      <c r="AE12" s="279"/>
      <c r="AF12" s="279"/>
      <c r="AG12" s="279"/>
      <c r="AH12" s="279"/>
    </row>
    <row r="13" spans="1:34" ht="18.75">
      <c r="A13" s="337" t="str">
        <f ca="1">VLOOKUP(C13,Postupy!$A$3:$C$34,3,0)</f>
        <v/>
      </c>
      <c r="B13" s="338"/>
      <c r="C13" s="347">
        <v>24</v>
      </c>
      <c r="D13" s="419" t="str">
        <f ca="1">VLOOKUP(C13,Postupy!$A$3:$BG$34,59,0)</f>
        <v xml:space="preserve"> - </v>
      </c>
      <c r="E13" s="349">
        <f ca="1">VLOOKUP(C13,Postupy!$A$3:$BH$34,60,0)</f>
        <v>0</v>
      </c>
      <c r="F13" s="377" t="s">
        <v>1749</v>
      </c>
      <c r="G13" s="351"/>
      <c r="H13" s="330" t="s">
        <v>1748</v>
      </c>
      <c r="I13" s="331" t="str">
        <f ca="1">IF(OR(TRIM(H14)="-",TRIM(H15)="-"),"",VLOOKUP(MIN(G14,G15),Hřiště!$B$11:$E$42,4,0))</f>
        <v/>
      </c>
      <c r="J13" s="358"/>
      <c r="K13" s="362"/>
      <c r="L13" s="372"/>
      <c r="M13" s="373"/>
      <c r="N13" s="343"/>
      <c r="O13" s="362"/>
      <c r="P13" s="363"/>
      <c r="Q13" s="373"/>
      <c r="R13" s="343"/>
      <c r="S13" s="343"/>
      <c r="T13" s="343"/>
      <c r="U13" s="343"/>
      <c r="V13" s="343"/>
      <c r="W13" s="358"/>
      <c r="X13" s="279"/>
      <c r="Y13" s="279"/>
      <c r="Z13" s="279"/>
      <c r="AA13" s="279"/>
      <c r="AB13" s="279"/>
      <c r="AC13" s="279"/>
      <c r="AD13" s="325"/>
      <c r="AE13" s="279"/>
      <c r="AF13" s="279"/>
      <c r="AG13" s="279"/>
      <c r="AH13" s="279"/>
    </row>
    <row r="14" spans="1:34" ht="18">
      <c r="A14" s="353"/>
      <c r="B14" s="354"/>
      <c r="C14" s="354">
        <f>C12+C13</f>
        <v>33</v>
      </c>
      <c r="D14" s="355"/>
      <c r="E14" s="391"/>
      <c r="F14" s="357"/>
      <c r="G14" s="339">
        <v>9</v>
      </c>
      <c r="H14" s="340" t="str">
        <f ca="1">IF(OR(TRIM(D12)="-",TRIM(D13)="-"), IF(TRIM(D12)="-",D13,D12),IF(AND(E12="",E13="")," ",IF(N(E12)=N(E13)," ",IF(N(E12)&gt;N(E13),D12,D13))))</f>
        <v xml:space="preserve"> - </v>
      </c>
      <c r="I14" s="341">
        <f ca="1">VLOOKUP(G14,Postupy!$A$3:$BJ$18,62,0)</f>
        <v>0</v>
      </c>
      <c r="J14" s="365"/>
      <c r="K14" s="362"/>
      <c r="L14" s="372"/>
      <c r="M14" s="373"/>
      <c r="N14" s="343"/>
      <c r="O14" s="362"/>
      <c r="P14" s="363"/>
      <c r="Q14" s="373"/>
      <c r="R14" s="343"/>
      <c r="S14" s="343"/>
      <c r="T14" s="343"/>
      <c r="U14" s="343"/>
      <c r="V14" s="343"/>
      <c r="W14" s="358"/>
      <c r="X14" s="279"/>
      <c r="Y14" s="279"/>
      <c r="Z14" s="279"/>
      <c r="AA14" s="279"/>
      <c r="AB14" s="279"/>
      <c r="AC14" s="279"/>
      <c r="AD14" s="325"/>
      <c r="AE14" s="279"/>
      <c r="AF14" s="279"/>
      <c r="AG14" s="279"/>
      <c r="AH14" s="279"/>
    </row>
    <row r="15" spans="1:34" ht="18.75">
      <c r="A15" s="359"/>
      <c r="B15" s="360"/>
      <c r="C15" s="361"/>
      <c r="D15" s="330" t="s">
        <v>1748</v>
      </c>
      <c r="E15" s="331" t="str">
        <f ca="1">IF(OR(TRIM(D16)="-",TRIM(D17)="-"),"",VLOOKUP(MIN(C16,C17),Hřiště!$B$11:$E$42,4,0))</f>
        <v/>
      </c>
      <c r="F15" s="370"/>
      <c r="G15" s="347">
        <v>8</v>
      </c>
      <c r="H15" s="348" t="str">
        <f ca="1">IF(OR(TRIM(D16)="-",TRIM(D17)="-"), IF(TRIM(D16)="-",D17,D16),IF(AND(E16="",E17="")," ",IF(N(E16)=N(E17)," ",IF(N(E16)&gt;N(E17),D16,D17))))</f>
        <v xml:space="preserve"> -</v>
      </c>
      <c r="I15" s="349">
        <f ca="1">VLOOKUP(G15,Postupy!$A$3:$BJ$18,62,0)</f>
        <v>0</v>
      </c>
      <c r="J15" s="344"/>
      <c r="K15" s="343"/>
      <c r="L15" s="372"/>
      <c r="M15" s="343"/>
      <c r="N15" s="343"/>
      <c r="O15" s="362"/>
      <c r="P15" s="363"/>
      <c r="Q15" s="373"/>
      <c r="R15" s="343"/>
      <c r="S15" s="343"/>
      <c r="T15" s="343"/>
      <c r="U15" s="343"/>
      <c r="V15" s="343"/>
      <c r="W15" s="358"/>
      <c r="X15" s="279"/>
      <c r="Y15" s="279"/>
      <c r="Z15" s="279"/>
      <c r="AA15" s="279"/>
      <c r="AB15" s="279"/>
      <c r="AC15" s="279"/>
      <c r="AD15" s="279"/>
      <c r="AE15" s="279"/>
      <c r="AF15" s="279"/>
      <c r="AG15" s="279"/>
    </row>
    <row r="16" spans="1:34" ht="18">
      <c r="A16" s="337" t="str">
        <f ca="1">VLOOKUP(C16,Postupy!$A$3:$C$34,3,0)</f>
        <v/>
      </c>
      <c r="B16" s="338"/>
      <c r="C16" s="339">
        <v>25</v>
      </c>
      <c r="D16" s="419" t="str">
        <f ca="1">VLOOKUP(C16,Postupy!$A$3:$BG$34,59,0)</f>
        <v xml:space="preserve"> - </v>
      </c>
      <c r="E16" s="341">
        <f ca="1">VLOOKUP(C16,Postupy!$A$3:$BH$34,60,0)</f>
        <v>0</v>
      </c>
      <c r="F16" s="378"/>
      <c r="G16" s="374"/>
      <c r="H16" s="375"/>
      <c r="I16" s="410"/>
      <c r="J16" s="343"/>
      <c r="K16" s="343"/>
      <c r="L16" s="369"/>
      <c r="M16" s="343"/>
      <c r="N16" s="343"/>
      <c r="O16" s="362"/>
      <c r="P16" s="363"/>
      <c r="Q16" s="373"/>
      <c r="R16" s="343"/>
      <c r="S16" s="343"/>
      <c r="T16" s="343"/>
      <c r="U16" s="343"/>
      <c r="V16" s="343"/>
      <c r="W16" s="358"/>
      <c r="X16" s="279"/>
      <c r="Y16" s="279"/>
      <c r="Z16" s="279"/>
      <c r="AA16" s="279"/>
      <c r="AB16" s="279"/>
      <c r="AC16" s="279"/>
      <c r="AD16" s="279"/>
      <c r="AE16" s="279"/>
      <c r="AF16" s="279"/>
      <c r="AG16" s="279"/>
    </row>
    <row r="17" spans="1:33" ht="18.75">
      <c r="A17" s="337" t="str">
        <f ca="1">VLOOKUP(C17,Postupy!$A$3:$C$34,3,0)</f>
        <v>B2</v>
      </c>
      <c r="B17" s="338"/>
      <c r="C17" s="347">
        <v>8</v>
      </c>
      <c r="D17" s="419" t="str">
        <f ca="1">VLOOKUP(C17,Postupy!$A$3:$BG$34,59,0)</f>
        <v xml:space="preserve"> -</v>
      </c>
      <c r="E17" s="349">
        <f ca="1">VLOOKUP(C17,Postupy!$A$3:$BH$34,60,0)</f>
        <v>0</v>
      </c>
      <c r="F17" s="379"/>
      <c r="G17" s="343"/>
      <c r="H17" s="369"/>
      <c r="I17" s="343"/>
      <c r="J17" s="343"/>
      <c r="K17" s="343"/>
      <c r="L17" s="380"/>
      <c r="M17" s="358"/>
      <c r="N17" s="358"/>
      <c r="O17" s="351"/>
      <c r="P17" s="330" t="s">
        <v>1748</v>
      </c>
      <c r="Q17" s="331" t="str">
        <f ca="1">IF(OR(TRIM(P18)="-",TRIM(P19)="-"),"",VLOOKUP(MIN(O18,O19),Hřiště!$B$11:$E$42,4,0))</f>
        <v/>
      </c>
      <c r="S17" s="370"/>
      <c r="T17" s="370"/>
      <c r="U17" s="370"/>
      <c r="V17" s="343"/>
      <c r="W17" s="358"/>
      <c r="X17" s="279"/>
      <c r="Y17" s="279"/>
      <c r="Z17" s="279"/>
      <c r="AA17" s="279"/>
      <c r="AB17" s="279"/>
      <c r="AC17" s="279"/>
      <c r="AD17" s="279"/>
      <c r="AE17" s="279"/>
      <c r="AF17" s="279"/>
      <c r="AG17" s="279"/>
    </row>
    <row r="18" spans="1:33" ht="18">
      <c r="A18" s="353"/>
      <c r="B18" s="354"/>
      <c r="C18" s="354">
        <f>C16+C17</f>
        <v>33</v>
      </c>
      <c r="D18" s="355"/>
      <c r="E18" s="391"/>
      <c r="F18" s="366">
        <f>C14+C18</f>
        <v>66</v>
      </c>
      <c r="G18" s="343"/>
      <c r="H18" s="372"/>
      <c r="I18" s="343"/>
      <c r="J18" s="343"/>
      <c r="K18" s="343"/>
      <c r="L18" s="381"/>
      <c r="M18" s="358"/>
      <c r="N18" s="358"/>
      <c r="O18" s="339">
        <v>1</v>
      </c>
      <c r="P18" s="340" t="str">
        <f ca="1">IF(OR(TRIM(L10)="-",TRIM(L11)="-"), IF(TRIM(L10)="-",L11,L10),IF(AND(M10="",M11="")," ",IF(N(M10)=N(M11)," ",IF(N(M10)&gt;N(M11),L10,L11))))</f>
        <v xml:space="preserve"> -</v>
      </c>
      <c r="Q18" s="341">
        <f ca="1">VLOOKUP(O18,Postupy!$A$3:$BN$6,66,0)</f>
        <v>0</v>
      </c>
      <c r="R18" s="358"/>
      <c r="S18" s="343"/>
      <c r="T18" s="343"/>
      <c r="U18" s="343"/>
      <c r="V18" s="343"/>
      <c r="W18" s="358"/>
      <c r="X18" s="279"/>
      <c r="Y18" s="279"/>
      <c r="Z18" s="279"/>
      <c r="AA18" s="279"/>
      <c r="AB18" s="279"/>
      <c r="AC18" s="279"/>
      <c r="AD18" s="279"/>
      <c r="AE18" s="279"/>
      <c r="AF18" s="279"/>
      <c r="AG18" s="279"/>
    </row>
    <row r="19" spans="1:33" ht="18.75">
      <c r="A19" s="359"/>
      <c r="B19" s="360"/>
      <c r="C19" s="361"/>
      <c r="D19" s="330" t="s">
        <v>1748</v>
      </c>
      <c r="E19" s="331" t="str">
        <f ca="1">IF(OR(TRIM(D20)="-",TRIM(D21)="-"),"",VLOOKUP(MIN(C20,C21),Hřiště!$B$11:$E$42,4,0))</f>
        <v/>
      </c>
      <c r="F19" s="343"/>
      <c r="G19" s="343"/>
      <c r="H19" s="372"/>
      <c r="I19" s="343"/>
      <c r="J19" s="343"/>
      <c r="K19" s="343"/>
      <c r="L19" s="381"/>
      <c r="M19" s="358"/>
      <c r="N19" s="357"/>
      <c r="O19" s="347">
        <v>4</v>
      </c>
      <c r="P19" s="348" t="str">
        <f ca="1">IF(OR(TRIM(L26)="-",TRIM(L27)="-"),IF(TRIM(L26)="-",L27,L26),IF(AND(M26="",M27="")," ",IF(N(M26)=N(M27)," ",IF(N(M26)&gt;N(M27),L26,L27))))</f>
        <v xml:space="preserve"> -</v>
      </c>
      <c r="Q19" s="349">
        <f ca="1">VLOOKUP(O19,Postupy!$A$3:$BN$6,66,0)</f>
        <v>0</v>
      </c>
      <c r="R19" s="350"/>
      <c r="S19" s="382"/>
      <c r="T19" s="343"/>
      <c r="U19" s="343"/>
      <c r="V19" s="343"/>
      <c r="W19" s="358"/>
      <c r="X19" s="279"/>
      <c r="Y19" s="279"/>
      <c r="Z19" s="279"/>
      <c r="AA19" s="279"/>
      <c r="AB19" s="279"/>
      <c r="AC19" s="279"/>
      <c r="AD19" s="279"/>
      <c r="AE19" s="279"/>
      <c r="AF19" s="279"/>
      <c r="AG19" s="279"/>
    </row>
    <row r="20" spans="1:33" ht="18">
      <c r="A20" s="337" t="str">
        <f ca="1">VLOOKUP(C20,Postupy!$A$3:$C$34,3,0)</f>
        <v>C2</v>
      </c>
      <c r="B20" s="338"/>
      <c r="C20" s="339">
        <v>5</v>
      </c>
      <c r="D20" s="419" t="str">
        <f ca="1">VLOOKUP(C20,Postupy!$A$3:$BG$34,59,0)</f>
        <v xml:space="preserve"> - </v>
      </c>
      <c r="E20" s="341">
        <f ca="1">VLOOKUP(C20,Postupy!$A$3:$BH$34,60,0)</f>
        <v>0</v>
      </c>
      <c r="F20" s="351"/>
      <c r="G20" s="343"/>
      <c r="H20" s="369"/>
      <c r="I20" s="343"/>
      <c r="J20" s="343"/>
      <c r="K20" s="343"/>
      <c r="L20" s="381"/>
      <c r="M20" s="358"/>
      <c r="N20" s="357"/>
      <c r="O20" s="374"/>
      <c r="P20" s="375"/>
      <c r="Q20" s="373"/>
      <c r="R20" s="358"/>
      <c r="S20" s="382"/>
      <c r="T20" s="383"/>
      <c r="U20" s="358"/>
      <c r="V20" s="343"/>
      <c r="W20" s="358"/>
      <c r="X20" s="279"/>
      <c r="Y20" s="279"/>
      <c r="Z20" s="279"/>
      <c r="AA20" s="279"/>
      <c r="AB20" s="279"/>
      <c r="AC20" s="325"/>
      <c r="AD20" s="279"/>
      <c r="AE20" s="279"/>
      <c r="AF20" s="279"/>
      <c r="AG20" s="279"/>
    </row>
    <row r="21" spans="1:33" ht="18.75">
      <c r="A21" s="337" t="str">
        <f ca="1">VLOOKUP(C21,Postupy!$A$3:$C$34,3,0)</f>
        <v/>
      </c>
      <c r="B21" s="338"/>
      <c r="C21" s="347">
        <v>28</v>
      </c>
      <c r="D21" s="419" t="str">
        <f ca="1">VLOOKUP(C21,Postupy!$A$3:$BG$34,59,0)</f>
        <v xml:space="preserve"> - </v>
      </c>
      <c r="E21" s="349">
        <f ca="1">VLOOKUP(C21,Postupy!$A$3:$BH$34,60,0)</f>
        <v>0</v>
      </c>
      <c r="F21" s="384"/>
      <c r="G21" s="351"/>
      <c r="H21" s="330" t="s">
        <v>1748</v>
      </c>
      <c r="I21" s="331" t="str">
        <f ca="1">IF(OR(TRIM(H22)="-",TRIM(H23)="-"),"",VLOOKUP(MIN(G22,G23),Hřiště!$B$11:$E$42,4,0))</f>
        <v/>
      </c>
      <c r="J21" s="343"/>
      <c r="K21" s="343"/>
      <c r="L21" s="381"/>
      <c r="M21" s="358"/>
      <c r="N21" s="357"/>
      <c r="O21" s="373"/>
      <c r="P21" s="372"/>
      <c r="Q21" s="358"/>
      <c r="R21" s="358"/>
      <c r="S21" s="382"/>
      <c r="T21" s="383"/>
      <c r="U21" s="358"/>
      <c r="V21" s="343"/>
      <c r="W21" s="358"/>
      <c r="X21" s="279"/>
      <c r="Y21" s="279"/>
      <c r="Z21" s="279"/>
      <c r="AA21" s="279"/>
      <c r="AB21" s="279"/>
      <c r="AC21" s="325"/>
      <c r="AD21" s="279"/>
      <c r="AE21" s="279"/>
      <c r="AF21" s="279"/>
      <c r="AG21" s="279"/>
    </row>
    <row r="22" spans="1:33" ht="18">
      <c r="A22" s="353"/>
      <c r="B22" s="354"/>
      <c r="C22" s="354">
        <f>C20+C21</f>
        <v>33</v>
      </c>
      <c r="D22" s="355"/>
      <c r="E22" s="391"/>
      <c r="F22" s="357"/>
      <c r="G22" s="339">
        <v>5</v>
      </c>
      <c r="H22" s="340" t="str">
        <f ca="1">IF(OR(TRIM(D20)="-",TRIM(D21)="-"), IF(TRIM(D20)="-",D21,D20),IF(AND(E20="",E21="")," ",IF(N(E20)=N(E21)," ",IF(N(E20)&gt;N(E21),D20,D21))))</f>
        <v xml:space="preserve"> - </v>
      </c>
      <c r="I22" s="341">
        <f ca="1">VLOOKUP(G22,Postupy!$A$3:$BJ$18,62,0)</f>
        <v>0</v>
      </c>
      <c r="J22" s="342"/>
      <c r="K22" s="343"/>
      <c r="L22" s="381"/>
      <c r="M22" s="358"/>
      <c r="N22" s="357"/>
      <c r="O22" s="373"/>
      <c r="P22" s="372"/>
      <c r="Q22" s="358"/>
      <c r="R22" s="358"/>
      <c r="S22" s="382"/>
      <c r="T22" s="383"/>
      <c r="U22" s="358"/>
      <c r="V22" s="343"/>
      <c r="W22" s="358"/>
      <c r="X22" s="279"/>
      <c r="Y22" s="279"/>
      <c r="Z22" s="279"/>
      <c r="AA22" s="279"/>
      <c r="AB22" s="279"/>
      <c r="AC22" s="325"/>
      <c r="AD22" s="279"/>
      <c r="AE22" s="279"/>
      <c r="AF22" s="279"/>
      <c r="AG22" s="279"/>
    </row>
    <row r="23" spans="1:33" ht="18.75">
      <c r="A23" s="359"/>
      <c r="B23" s="360"/>
      <c r="C23" s="361"/>
      <c r="D23" s="330" t="s">
        <v>1748</v>
      </c>
      <c r="E23" s="331" t="str">
        <f ca="1">IF(OR(TRIM(D24)="-",TRIM(D25)="-"),"",VLOOKUP(MIN(C24,C25),Hřiště!$B$11:$E$42,4,0))</f>
        <v/>
      </c>
      <c r="F23" s="357"/>
      <c r="G23" s="347">
        <v>12</v>
      </c>
      <c r="H23" s="348" t="str">
        <f ca="1">IF(OR(TRIM(D24)="-",TRIM(D25)="-"), IF(TRIM(D24)="-",D25,D24),IF(AND(E24="",E25="")," ",IF(N(E24)=N(E25)," ",IF(N(E24)&gt;N(E25),D24,D25))))</f>
        <v xml:space="preserve"> - </v>
      </c>
      <c r="I23" s="349">
        <f ca="1">VLOOKUP(G23,Postupy!$A$3:$BJ$18,62,0)</f>
        <v>0</v>
      </c>
      <c r="J23" s="350"/>
      <c r="K23" s="362"/>
      <c r="L23" s="385"/>
      <c r="M23" s="358"/>
      <c r="N23" s="357"/>
      <c r="O23" s="373"/>
      <c r="P23" s="369"/>
      <c r="Q23" s="358"/>
      <c r="R23" s="358"/>
      <c r="S23" s="382"/>
      <c r="T23" s="383"/>
      <c r="U23" s="358"/>
      <c r="V23" s="343"/>
      <c r="W23" s="358"/>
      <c r="X23" s="279"/>
      <c r="Y23" s="279"/>
      <c r="Z23" s="279"/>
      <c r="AA23" s="279"/>
      <c r="AB23" s="279"/>
      <c r="AC23" s="279"/>
      <c r="AD23" s="279"/>
      <c r="AE23" s="279"/>
      <c r="AF23" s="279"/>
      <c r="AG23" s="279"/>
    </row>
    <row r="24" spans="1:33" ht="18">
      <c r="A24" s="337" t="str">
        <f ca="1">VLOOKUP(C24,Postupy!$A$3:$C$34,3,0)</f>
        <v/>
      </c>
      <c r="B24" s="338"/>
      <c r="C24" s="339">
        <v>21</v>
      </c>
      <c r="D24" s="419" t="str">
        <f ca="1">VLOOKUP(C24,Postupy!$A$3:$BG$34,59,0)</f>
        <v xml:space="preserve"> - </v>
      </c>
      <c r="E24" s="341">
        <f ca="1">VLOOKUP(C24,Postupy!$A$3:$BH$34,60,0)</f>
        <v>0</v>
      </c>
      <c r="F24" s="365"/>
      <c r="G24" s="366"/>
      <c r="H24" s="375"/>
      <c r="I24" s="420"/>
      <c r="J24" s="358"/>
      <c r="K24" s="362"/>
      <c r="L24" s="387"/>
      <c r="M24" s="358"/>
      <c r="N24" s="357"/>
      <c r="O24" s="373"/>
      <c r="P24" s="380"/>
      <c r="Q24" s="358"/>
      <c r="R24" s="358"/>
      <c r="S24" s="382"/>
      <c r="T24" s="383"/>
      <c r="U24" s="358"/>
      <c r="V24" s="343"/>
      <c r="W24" s="358"/>
      <c r="X24" s="279"/>
      <c r="Y24" s="279"/>
      <c r="Z24" s="279"/>
      <c r="AA24" s="279"/>
      <c r="AB24" s="279"/>
      <c r="AC24" s="279"/>
      <c r="AD24" s="279"/>
      <c r="AE24" s="279"/>
      <c r="AF24" s="279"/>
      <c r="AG24" s="279"/>
    </row>
    <row r="25" spans="1:33" ht="18.75">
      <c r="A25" s="337" t="str">
        <f ca="1">VLOOKUP(C25,Postupy!$A$3:$C$34,3,0)</f>
        <v/>
      </c>
      <c r="B25" s="338"/>
      <c r="C25" s="347">
        <v>12</v>
      </c>
      <c r="D25" s="419" t="str">
        <f ca="1">VLOOKUP(C25,Postupy!$A$3:$BG$34,59,0)</f>
        <v xml:space="preserve"> - </v>
      </c>
      <c r="E25" s="349">
        <f ca="1">VLOOKUP(C25,Postupy!$A$3:$BH$34,60,0)</f>
        <v>0</v>
      </c>
      <c r="F25" s="344"/>
      <c r="G25" s="343"/>
      <c r="H25" s="369"/>
      <c r="I25" s="358"/>
      <c r="J25" s="358"/>
      <c r="K25" s="351"/>
      <c r="L25" s="330" t="s">
        <v>1748</v>
      </c>
      <c r="M25" s="331" t="str">
        <f ca="1">IF(OR(TRIM(L26)="-",TRIM(L27)="-"),"",VLOOKUP(MIN(K26,K27),Hřiště!$B$11:$E$42,4,0))</f>
        <v/>
      </c>
      <c r="N25" s="388"/>
      <c r="O25" s="373"/>
      <c r="P25" s="385"/>
      <c r="Q25" s="358"/>
      <c r="R25" s="358"/>
      <c r="S25" s="382"/>
      <c r="T25" s="383"/>
      <c r="U25" s="358"/>
      <c r="V25" s="343"/>
      <c r="W25" s="358"/>
      <c r="X25" s="279"/>
      <c r="Y25" s="279"/>
      <c r="Z25" s="279"/>
      <c r="AA25" s="279"/>
      <c r="AB25" s="279"/>
      <c r="AC25" s="279"/>
      <c r="AD25" s="279"/>
      <c r="AE25" s="279"/>
      <c r="AF25" s="279"/>
      <c r="AG25" s="279"/>
    </row>
    <row r="26" spans="1:33" ht="18">
      <c r="A26" s="353"/>
      <c r="B26" s="354"/>
      <c r="C26" s="354">
        <f>C24+C25</f>
        <v>33</v>
      </c>
      <c r="D26" s="355"/>
      <c r="E26" s="391"/>
      <c r="F26" s="366">
        <f>C22+C26</f>
        <v>66</v>
      </c>
      <c r="G26" s="343"/>
      <c r="H26" s="372"/>
      <c r="I26" s="343"/>
      <c r="J26" s="343"/>
      <c r="K26" s="339">
        <v>5</v>
      </c>
      <c r="L26" s="340" t="str">
        <f ca="1">IF(OR(TRIM(H22)="-",TRIM(H23)="-"), IF(TRIM(H22)="-",H23,H22),IF(AND(I22="",I23="")," ",IF(N(I22)=N(I23)," ",IF(N(I22)&gt;N(I23),H22,H23))))</f>
        <v xml:space="preserve"> - </v>
      </c>
      <c r="M26" s="341">
        <f ca="1">VLOOKUP(K26,Postupy!$A$3:$BL$10,64,0)</f>
        <v>0</v>
      </c>
      <c r="N26" s="365"/>
      <c r="O26" s="343"/>
      <c r="P26" s="381"/>
      <c r="Q26" s="358"/>
      <c r="R26" s="358"/>
      <c r="S26" s="382"/>
      <c r="T26" s="383"/>
      <c r="U26" s="343"/>
      <c r="V26" s="343"/>
      <c r="W26" s="343"/>
      <c r="X26" s="279"/>
      <c r="Y26" s="346"/>
      <c r="Z26" s="279"/>
      <c r="AA26" s="279"/>
      <c r="AB26" s="279"/>
      <c r="AC26" s="346"/>
      <c r="AD26" s="279"/>
      <c r="AE26" s="279"/>
      <c r="AF26" s="279"/>
      <c r="AG26" s="279"/>
    </row>
    <row r="27" spans="1:33" ht="18.75">
      <c r="A27" s="359"/>
      <c r="B27" s="360"/>
      <c r="C27" s="361"/>
      <c r="D27" s="330" t="s">
        <v>1748</v>
      </c>
      <c r="E27" s="331" t="str">
        <f ca="1">IF(OR(TRIM(D28)="-",TRIM(D29)="-"),"",VLOOKUP(MIN(C28,C29),Hřiště!$B$11:$E$42,4,0))</f>
        <v/>
      </c>
      <c r="F27" s="343"/>
      <c r="G27" s="343"/>
      <c r="H27" s="372"/>
      <c r="I27" s="343"/>
      <c r="J27" s="343"/>
      <c r="K27" s="347">
        <v>4</v>
      </c>
      <c r="L27" s="348" t="str">
        <f ca="1">IF(OR(TRIM(H30)="-",TRIM(H31)="-"), IF(TRIM(H30)="-",H31,H30),IF(AND(I30="",I31="")," ",IF(N(I30)=N(I31)," ",IF(N(I30)&gt;N(I31),H30,H31))))</f>
        <v xml:space="preserve"> -</v>
      </c>
      <c r="M27" s="349">
        <f ca="1">VLOOKUP(K27,Postupy!$A$3:$BL$10,64,0)</f>
        <v>0</v>
      </c>
      <c r="N27" s="344"/>
      <c r="O27" s="343"/>
      <c r="P27" s="381"/>
      <c r="Q27" s="358"/>
      <c r="R27" s="358"/>
      <c r="S27" s="382"/>
      <c r="T27" s="383"/>
      <c r="U27" s="343"/>
      <c r="V27" s="343"/>
      <c r="W27" s="343"/>
      <c r="X27" s="279"/>
      <c r="Y27" s="346"/>
      <c r="Z27" s="279"/>
      <c r="AA27" s="279"/>
      <c r="AB27" s="279"/>
      <c r="AC27" s="346"/>
      <c r="AD27" s="279"/>
      <c r="AE27" s="279"/>
      <c r="AF27" s="279"/>
      <c r="AG27" s="279"/>
    </row>
    <row r="28" spans="1:33" ht="18">
      <c r="A28" s="337" t="str">
        <f ca="1">VLOOKUP(C28,Postupy!$A$3:$C$34,3,0)</f>
        <v/>
      </c>
      <c r="B28" s="338"/>
      <c r="C28" s="339">
        <v>13</v>
      </c>
      <c r="D28" s="419" t="str">
        <f ca="1">VLOOKUP(C28,Postupy!$A$3:$BG$34,59,0)</f>
        <v xml:space="preserve"> - </v>
      </c>
      <c r="E28" s="341">
        <f ca="1">VLOOKUP(C28,Postupy!$A$3:$BH$34,60,0)</f>
        <v>0</v>
      </c>
      <c r="F28" s="351"/>
      <c r="G28" s="343"/>
      <c r="H28" s="369"/>
      <c r="I28" s="343"/>
      <c r="J28" s="358"/>
      <c r="K28" s="374"/>
      <c r="L28" s="375"/>
      <c r="M28" s="410"/>
      <c r="N28" s="343"/>
      <c r="O28" s="343"/>
      <c r="P28" s="381"/>
      <c r="Q28" s="358"/>
      <c r="R28" s="358"/>
      <c r="S28" s="382"/>
      <c r="T28" s="389"/>
      <c r="U28" s="358"/>
      <c r="V28" s="343"/>
      <c r="W28" s="358"/>
      <c r="X28" s="279"/>
      <c r="Y28" s="279"/>
      <c r="Z28" s="279"/>
      <c r="AA28" s="279"/>
      <c r="AB28" s="279"/>
      <c r="AC28" s="279"/>
      <c r="AD28" s="279"/>
      <c r="AE28" s="279"/>
      <c r="AF28" s="279"/>
      <c r="AG28" s="279"/>
    </row>
    <row r="29" spans="1:33" ht="18.75">
      <c r="A29" s="337" t="str">
        <f ca="1">VLOOKUP(C29,Postupy!$A$3:$C$34,3,0)</f>
        <v/>
      </c>
      <c r="B29" s="338"/>
      <c r="C29" s="347">
        <v>20</v>
      </c>
      <c r="D29" s="419" t="str">
        <f ca="1">VLOOKUP(C29,Postupy!$A$3:$BG$34,59,0)</f>
        <v xml:space="preserve"> - </v>
      </c>
      <c r="E29" s="349">
        <f ca="1">VLOOKUP(C29,Postupy!$A$3:$BH$34,60,0)</f>
        <v>0</v>
      </c>
      <c r="F29" s="377" t="s">
        <v>1749</v>
      </c>
      <c r="G29" s="351"/>
      <c r="H29" s="330" t="s">
        <v>1748</v>
      </c>
      <c r="I29" s="331" t="str">
        <f ca="1">IF(OR(TRIM(H30)="-",TRIM(H31)="-"),"",VLOOKUP(MIN(G30,G31),Hřiště!$B$11:$E$42,4,0))</f>
        <v/>
      </c>
      <c r="J29" s="358"/>
      <c r="K29" s="362"/>
      <c r="L29" s="372"/>
      <c r="M29" s="373"/>
      <c r="N29" s="343"/>
      <c r="O29" s="343"/>
      <c r="P29" s="381"/>
      <c r="Q29" s="358"/>
      <c r="R29" s="358"/>
      <c r="S29" s="382"/>
      <c r="T29" s="389"/>
      <c r="U29" s="358"/>
      <c r="V29" s="343"/>
      <c r="W29" s="358"/>
      <c r="X29" s="390"/>
      <c r="Y29" s="279"/>
      <c r="Z29" s="279"/>
      <c r="AA29" s="279"/>
      <c r="AB29" s="279"/>
      <c r="AC29" s="279"/>
      <c r="AD29" s="279"/>
      <c r="AE29" s="279"/>
      <c r="AF29" s="279"/>
      <c r="AG29" s="279"/>
    </row>
    <row r="30" spans="1:33" ht="18">
      <c r="A30" s="353"/>
      <c r="B30" s="354"/>
      <c r="C30" s="354">
        <f>C28+C29</f>
        <v>33</v>
      </c>
      <c r="D30" s="355"/>
      <c r="E30" s="391"/>
      <c r="F30" s="391"/>
      <c r="G30" s="339">
        <v>13</v>
      </c>
      <c r="H30" s="340" t="str">
        <f ca="1">IF(OR(TRIM(D28)="-",TRIM(D29)="-"), IF(TRIM(D28)="-",D29,D28),IF(AND(E28="",E29="")," ",IF(N(E28)=N(E29)," ",IF(N(E28)&gt;N(E29),D28,D29))))</f>
        <v xml:space="preserve"> - </v>
      </c>
      <c r="I30" s="341">
        <f ca="1">VLOOKUP(G30,Postupy!$A$3:$BJ$18,62,0)</f>
        <v>0</v>
      </c>
      <c r="J30" s="365"/>
      <c r="K30" s="362"/>
      <c r="L30" s="372"/>
      <c r="M30" s="373"/>
      <c r="N30" s="343"/>
      <c r="O30" s="343"/>
      <c r="P30" s="381"/>
      <c r="Q30" s="358"/>
      <c r="R30" s="358"/>
      <c r="S30" s="382"/>
      <c r="T30" s="389"/>
      <c r="U30" s="358"/>
      <c r="V30" s="343"/>
      <c r="W30" s="358"/>
      <c r="X30" s="390"/>
      <c r="Y30" s="279"/>
      <c r="Z30" s="279"/>
      <c r="AA30" s="279"/>
      <c r="AB30" s="279"/>
      <c r="AC30" s="279"/>
      <c r="AD30" s="279"/>
      <c r="AE30" s="279"/>
      <c r="AF30" s="279"/>
      <c r="AG30" s="279"/>
    </row>
    <row r="31" spans="1:33" ht="18.75">
      <c r="A31" s="359"/>
      <c r="B31" s="360"/>
      <c r="C31" s="361"/>
      <c r="D31" s="330" t="s">
        <v>1748</v>
      </c>
      <c r="E31" s="331" t="str">
        <f ca="1">IF(OR(TRIM(D32)="-",TRIM(D33)="-"),"",VLOOKUP(MIN(C32,C33),Hřiště!$B$11:$E$42,4,0))</f>
        <v/>
      </c>
      <c r="F31" s="370"/>
      <c r="G31" s="347">
        <v>4</v>
      </c>
      <c r="H31" s="348" t="str">
        <f ca="1">IF(OR(TRIM(D32)="-",TRIM(D33)="-"), IF(TRIM(D32)="-",D33,D32),IF(AND(E32="",E33="")," ",IF(N(E32)=N(E33)," ",IF(N(E32)&gt;N(E33),D32,D33))))</f>
        <v xml:space="preserve"> -</v>
      </c>
      <c r="I31" s="349">
        <f ca="1">VLOOKUP(G31,Postupy!$A$3:$BJ$18,62,0)</f>
        <v>0</v>
      </c>
      <c r="J31" s="344"/>
      <c r="K31" s="343"/>
      <c r="L31" s="372"/>
      <c r="M31" s="343"/>
      <c r="N31" s="343"/>
      <c r="O31" s="343"/>
      <c r="P31" s="381"/>
      <c r="Q31" s="358"/>
      <c r="R31" s="358"/>
      <c r="S31" s="382"/>
      <c r="T31" s="389"/>
      <c r="U31" s="358"/>
      <c r="V31" s="343"/>
      <c r="W31" s="358"/>
      <c r="X31" s="390"/>
      <c r="Y31" s="279"/>
      <c r="Z31" s="279"/>
      <c r="AA31" s="279"/>
      <c r="AB31" s="279"/>
      <c r="AC31" s="279"/>
      <c r="AD31" s="279"/>
      <c r="AE31" s="279"/>
      <c r="AF31" s="279"/>
      <c r="AG31" s="279"/>
    </row>
    <row r="32" spans="1:33" ht="18.75">
      <c r="A32" s="337" t="str">
        <f ca="1">VLOOKUP(C32,Postupy!$A$3:$C$34,3,0)</f>
        <v/>
      </c>
      <c r="B32" s="338"/>
      <c r="C32" s="339">
        <v>29</v>
      </c>
      <c r="D32" s="419" t="str">
        <f ca="1">VLOOKUP(C32,Postupy!$A$3:$BG$34,59,0)</f>
        <v xml:space="preserve"> - </v>
      </c>
      <c r="E32" s="341">
        <f ca="1">VLOOKUP(C32,Postupy!$A$3:$BH$34,60,0)</f>
        <v>0</v>
      </c>
      <c r="F32" s="378"/>
      <c r="G32" s="374"/>
      <c r="H32" s="375"/>
      <c r="I32" s="410"/>
      <c r="J32" s="343"/>
      <c r="K32" s="343"/>
      <c r="L32" s="369"/>
      <c r="M32" s="343"/>
      <c r="N32" s="343"/>
      <c r="O32" s="343"/>
      <c r="P32" s="381"/>
      <c r="Q32" s="358"/>
      <c r="R32" s="358"/>
      <c r="S32" s="382"/>
      <c r="T32" s="397" t="s">
        <v>1746</v>
      </c>
      <c r="U32" s="358"/>
      <c r="V32" s="343"/>
      <c r="W32" s="358"/>
      <c r="X32" s="390"/>
      <c r="Y32" s="279"/>
      <c r="Z32" s="279"/>
      <c r="AA32" s="279"/>
      <c r="AB32" s="279"/>
      <c r="AC32" s="279"/>
      <c r="AD32" s="279"/>
      <c r="AE32" s="279"/>
      <c r="AF32" s="279"/>
      <c r="AG32" s="279"/>
    </row>
    <row r="33" spans="1:33" ht="18.75">
      <c r="A33" s="337" t="str">
        <f ca="1">VLOOKUP(C33,Postupy!$A$3:$C$34,3,0)</f>
        <v>D1</v>
      </c>
      <c r="B33" s="338"/>
      <c r="C33" s="347">
        <v>4</v>
      </c>
      <c r="D33" s="419" t="str">
        <f ca="1">VLOOKUP(C33,Postupy!$A$3:$BG$34,59,0)</f>
        <v xml:space="preserve"> -</v>
      </c>
      <c r="E33" s="349">
        <f ca="1">VLOOKUP(C33,Postupy!$A$3:$BH$34,60,0)</f>
        <v>0</v>
      </c>
      <c r="F33" s="379"/>
      <c r="G33" s="343"/>
      <c r="H33" s="369"/>
      <c r="I33" s="343"/>
      <c r="J33" s="343"/>
      <c r="K33" s="343"/>
      <c r="L33" s="380"/>
      <c r="M33" s="343"/>
      <c r="N33" s="343"/>
      <c r="O33" s="343"/>
      <c r="P33" s="381"/>
      <c r="Q33" s="358"/>
      <c r="R33" s="358"/>
      <c r="S33" s="382"/>
      <c r="T33" s="330" t="s">
        <v>1748</v>
      </c>
      <c r="U33" s="331" t="str">
        <f ca="1">IF(OR(TRIM(T34)="-",TRIM(T35)="-"),"",VLOOKUP(MIN(S34,S35),Hřiště!$B$11:$E$42,4,0))</f>
        <v/>
      </c>
      <c r="V33" s="343"/>
      <c r="W33" s="358"/>
      <c r="X33" s="421"/>
      <c r="Y33" s="279"/>
      <c r="Z33" s="279"/>
      <c r="AA33" s="279"/>
      <c r="AB33" s="279"/>
      <c r="AC33" s="279"/>
      <c r="AD33" s="279"/>
      <c r="AE33" s="279"/>
      <c r="AF33" s="279"/>
      <c r="AG33" s="279"/>
    </row>
    <row r="34" spans="1:33" ht="18">
      <c r="A34" s="399"/>
      <c r="B34" s="401"/>
      <c r="C34" s="401">
        <f>C32+C33</f>
        <v>33</v>
      </c>
      <c r="D34" s="402"/>
      <c r="E34" s="422"/>
      <c r="F34" s="423">
        <f>C30+C34</f>
        <v>66</v>
      </c>
      <c r="G34" s="404"/>
      <c r="H34" s="424"/>
      <c r="I34" s="404"/>
      <c r="J34" s="404"/>
      <c r="K34" s="404"/>
      <c r="L34" s="425"/>
      <c r="M34" s="404"/>
      <c r="N34" s="404"/>
      <c r="O34" s="404"/>
      <c r="P34" s="425"/>
      <c r="Q34" s="404"/>
      <c r="R34" s="426"/>
      <c r="S34" s="393">
        <v>1</v>
      </c>
      <c r="T34" s="340" t="str">
        <f ca="1">IF(OR(TRIM(P18)="-",TRIM(P19)="-"), IF(TRIM(P18)="-",P19,P18),IF(AND(Q18="",Q19="")," ",IF(N(Q18)=N(Q19)," ",IF(N(Q18)&gt;N(Q19),P18,P19))))</f>
        <v xml:space="preserve"> -</v>
      </c>
      <c r="U34" s="341">
        <f ca="1">VLOOKUP(S34,Postupy!$A$3:$BP$6,68,0)</f>
        <v>0</v>
      </c>
      <c r="V34" s="365"/>
      <c r="W34" s="393">
        <v>1</v>
      </c>
      <c r="X34" s="406" t="str">
        <f ca="1">IF(AND(U34="",U35="")," ",IF(N(U34)=N(U35)," ",IF(N(U34)&gt;N(U35),T34,T35)))</f>
        <v xml:space="preserve"> </v>
      </c>
      <c r="Y34" s="407">
        <v>1</v>
      </c>
      <c r="Z34" s="279"/>
      <c r="AA34" s="279"/>
      <c r="AB34" s="279"/>
      <c r="AC34" s="279"/>
      <c r="AD34" s="279"/>
      <c r="AE34" s="279"/>
      <c r="AF34" s="279"/>
      <c r="AG34" s="279"/>
    </row>
    <row r="35" spans="1:33" ht="18.75">
      <c r="A35" s="353"/>
      <c r="B35" s="360"/>
      <c r="C35" s="409"/>
      <c r="D35" s="330" t="s">
        <v>1748</v>
      </c>
      <c r="E35" s="331" t="str">
        <f ca="1">IF(OR(TRIM(D36)="-",TRIM(D37)="-"),"",VLOOKUP(MIN(C36,C37),Hřiště!$B$11:$E$42,4,0))</f>
        <v/>
      </c>
      <c r="F35" s="410"/>
      <c r="G35" s="344"/>
      <c r="H35" s="427"/>
      <c r="I35" s="344"/>
      <c r="J35" s="344"/>
      <c r="K35" s="344"/>
      <c r="L35" s="428"/>
      <c r="M35" s="344"/>
      <c r="N35" s="344"/>
      <c r="O35" s="344"/>
      <c r="P35" s="428"/>
      <c r="Q35" s="344"/>
      <c r="R35" s="344"/>
      <c r="S35" s="347">
        <v>2</v>
      </c>
      <c r="T35" s="348" t="str">
        <f ca="1">IF(OR(TRIM(P50)="-",TRIM(P51)="-"), IF(TRIM(P50)="-",P51,P50),IF(AND(Q50="",Q51="")," ",IF(N(Q50)=N(Q51)," ",IF(N(Q50)&gt;N(Q51),P50,P51))))</f>
        <v xml:space="preserve"> -</v>
      </c>
      <c r="U35" s="349">
        <f ca="1">VLOOKUP(S35,Postupy!$A$3:$BP$6,68,0)</f>
        <v>0</v>
      </c>
      <c r="V35" s="343"/>
      <c r="W35" s="393">
        <v>2</v>
      </c>
      <c r="X35" s="412" t="str">
        <f ca="1">IF(AND(U34="",U35="")," ",IF(N(U35)=N(U34)," ",IF(N(U35)&gt;N(U34),T34,T35)))</f>
        <v xml:space="preserve"> </v>
      </c>
      <c r="Y35" s="413">
        <v>2</v>
      </c>
      <c r="Z35" s="279"/>
      <c r="AA35" s="279"/>
      <c r="AB35" s="279"/>
      <c r="AC35" s="279"/>
      <c r="AD35" s="279"/>
      <c r="AE35" s="279"/>
      <c r="AF35" s="279"/>
      <c r="AG35" s="279"/>
    </row>
    <row r="36" spans="1:33" ht="18">
      <c r="A36" s="337" t="str">
        <f ca="1">VLOOKUP(C36,Postupy!$A$3:$C$34,3,0)</f>
        <v>C1</v>
      </c>
      <c r="B36" s="338"/>
      <c r="C36" s="339">
        <v>3</v>
      </c>
      <c r="D36" s="419" t="str">
        <f ca="1">VLOOKUP(C36,Postupy!$A$3:$BG$34,59,0)</f>
        <v xml:space="preserve"> - </v>
      </c>
      <c r="E36" s="341">
        <f ca="1">VLOOKUP(C36,Postupy!$A$3:$BH$34,60,0)</f>
        <v>0</v>
      </c>
      <c r="F36" s="351"/>
      <c r="G36" s="343"/>
      <c r="H36" s="369"/>
      <c r="I36" s="343"/>
      <c r="J36" s="343"/>
      <c r="K36" s="343"/>
      <c r="L36" s="392"/>
      <c r="M36" s="343"/>
      <c r="N36" s="343"/>
      <c r="O36" s="343"/>
      <c r="P36" s="381"/>
      <c r="Q36" s="358"/>
      <c r="R36" s="358"/>
      <c r="S36" s="374"/>
      <c r="T36" s="394"/>
      <c r="U36" s="373"/>
      <c r="V36" s="343"/>
      <c r="W36" s="343"/>
      <c r="X36" s="390"/>
      <c r="Y36" s="346"/>
      <c r="Z36" s="279"/>
      <c r="AA36" s="279"/>
      <c r="AB36" s="279"/>
      <c r="AC36" s="279"/>
      <c r="AD36" s="279"/>
      <c r="AE36" s="279"/>
      <c r="AF36" s="279"/>
      <c r="AG36" s="279"/>
    </row>
    <row r="37" spans="1:33" ht="18.75">
      <c r="A37" s="337" t="str">
        <f ca="1">VLOOKUP(C37,Postupy!$A$3:$C$34,3,0)</f>
        <v/>
      </c>
      <c r="B37" s="338"/>
      <c r="C37" s="347">
        <v>30</v>
      </c>
      <c r="D37" s="419" t="str">
        <f ca="1">VLOOKUP(C37,Postupy!$A$3:$BG$34,59,0)</f>
        <v xml:space="preserve"> - </v>
      </c>
      <c r="E37" s="349">
        <f ca="1">VLOOKUP(C37,Postupy!$A$3:$BH$34,60,0)</f>
        <v>0</v>
      </c>
      <c r="F37" s="384"/>
      <c r="G37" s="351"/>
      <c r="H37" s="330" t="s">
        <v>1748</v>
      </c>
      <c r="I37" s="331" t="str">
        <f ca="1">IF(OR(TRIM(H38)="-",TRIM(H39)="-"),"",VLOOKUP(MIN(G38,G39),Hřiště!$B$11:$E$42,4,0))</f>
        <v/>
      </c>
      <c r="J37" s="343"/>
      <c r="K37" s="343"/>
      <c r="L37" s="392"/>
      <c r="M37" s="343"/>
      <c r="N37" s="343"/>
      <c r="O37" s="343"/>
      <c r="P37" s="381"/>
      <c r="Q37" s="358"/>
      <c r="R37" s="358"/>
      <c r="S37" s="362"/>
      <c r="T37" s="352"/>
      <c r="U37" s="373"/>
      <c r="V37" s="343"/>
      <c r="W37" s="343"/>
      <c r="X37" s="390"/>
      <c r="Y37" s="279"/>
      <c r="Z37" s="279"/>
      <c r="AA37" s="279"/>
      <c r="AB37" s="279"/>
      <c r="AC37" s="279"/>
      <c r="AD37" s="279"/>
      <c r="AE37" s="279"/>
      <c r="AF37" s="279"/>
      <c r="AG37" s="279"/>
    </row>
    <row r="38" spans="1:33" ht="18">
      <c r="A38" s="353"/>
      <c r="B38" s="354"/>
      <c r="C38" s="354">
        <f>C36+C37</f>
        <v>33</v>
      </c>
      <c r="D38" s="355"/>
      <c r="E38" s="391"/>
      <c r="F38" s="357"/>
      <c r="G38" s="339">
        <v>3</v>
      </c>
      <c r="H38" s="340" t="str">
        <f ca="1">IF(OR(TRIM(D36)="-",TRIM(D37)="-"), IF(TRIM(D36)="-",D37,D36),IF(AND(E36="",E37="")," ",IF(N(E36)=N(E37)," ",IF(N(E36)&gt;N(E37),D36,D37))))</f>
        <v xml:space="preserve"> - </v>
      </c>
      <c r="I38" s="341">
        <f ca="1">VLOOKUP(G38,Postupy!$A$3:$BJ$18,62,0)</f>
        <v>0</v>
      </c>
      <c r="J38" s="342"/>
      <c r="K38" s="343"/>
      <c r="L38" s="392"/>
      <c r="M38" s="343"/>
      <c r="N38" s="343"/>
      <c r="O38" s="343"/>
      <c r="P38" s="381"/>
      <c r="Q38" s="358"/>
      <c r="R38" s="358"/>
      <c r="S38" s="362"/>
      <c r="T38" s="352"/>
      <c r="U38" s="373"/>
      <c r="V38" s="343"/>
      <c r="W38" s="343"/>
      <c r="X38" s="279"/>
      <c r="Y38" s="279"/>
      <c r="Z38" s="279"/>
      <c r="AA38" s="279"/>
      <c r="AB38" s="279"/>
      <c r="AC38" s="279"/>
      <c r="AD38" s="279"/>
      <c r="AE38" s="279"/>
      <c r="AF38" s="279"/>
      <c r="AG38" s="279"/>
    </row>
    <row r="39" spans="1:33" ht="18.75">
      <c r="A39" s="359"/>
      <c r="B39" s="360"/>
      <c r="C39" s="361"/>
      <c r="D39" s="330" t="s">
        <v>1748</v>
      </c>
      <c r="E39" s="331" t="str">
        <f ca="1">IF(OR(TRIM(D40)="-",TRIM(D41)="-"),"",VLOOKUP(MIN(C40,C41),Hřiště!$B$11:$E$42,4,0))</f>
        <v/>
      </c>
      <c r="F39" s="357"/>
      <c r="G39" s="347">
        <v>14</v>
      </c>
      <c r="H39" s="348" t="str">
        <f ca="1">IF(OR(TRIM(D40)="-",TRIM(D41)="-"), IF(TRIM(D40)="-",D41,D40),IF(AND(E40="",E41="")," ",IF(N(E40)=N(E41)," ",IF(N(E40)&gt;N(E41),D40,D41))))</f>
        <v xml:space="preserve"> - </v>
      </c>
      <c r="I39" s="349">
        <f ca="1">VLOOKUP(G39,Postupy!$A$3:$BJ$18,62,0)</f>
        <v>0</v>
      </c>
      <c r="J39" s="350"/>
      <c r="K39" s="362"/>
      <c r="L39" s="355"/>
      <c r="M39" s="373"/>
      <c r="N39" s="343"/>
      <c r="O39" s="343"/>
      <c r="P39" s="381"/>
      <c r="Q39" s="358"/>
      <c r="R39" s="358"/>
      <c r="S39" s="362"/>
      <c r="T39" s="352"/>
      <c r="U39" s="373"/>
      <c r="V39" s="343"/>
      <c r="W39" s="343"/>
      <c r="X39" s="279"/>
      <c r="Y39" s="279"/>
      <c r="Z39" s="279"/>
      <c r="AA39" s="279"/>
      <c r="AB39" s="279"/>
      <c r="AC39" s="279"/>
      <c r="AD39" s="279"/>
      <c r="AE39" s="279"/>
      <c r="AF39" s="279"/>
      <c r="AG39" s="279"/>
    </row>
    <row r="40" spans="1:33" ht="18">
      <c r="A40" s="337" t="str">
        <f ca="1">VLOOKUP(C40,Postupy!$A$3:$C$34,3,0)</f>
        <v/>
      </c>
      <c r="B40" s="338"/>
      <c r="C40" s="339">
        <v>19</v>
      </c>
      <c r="D40" s="419" t="str">
        <f ca="1">VLOOKUP(C40,Postupy!$A$3:$BG$34,59,0)</f>
        <v xml:space="preserve"> - </v>
      </c>
      <c r="E40" s="341">
        <f ca="1">VLOOKUP(C40,Postupy!$A$3:$BH$34,60,0)</f>
        <v>0</v>
      </c>
      <c r="F40" s="365"/>
      <c r="G40" s="374"/>
      <c r="H40" s="375"/>
      <c r="I40" s="410"/>
      <c r="J40" s="358"/>
      <c r="K40" s="362"/>
      <c r="L40" s="387"/>
      <c r="M40" s="373"/>
      <c r="N40" s="343"/>
      <c r="O40" s="343"/>
      <c r="P40" s="381"/>
      <c r="Q40" s="358"/>
      <c r="R40" s="358"/>
      <c r="S40" s="362"/>
      <c r="T40" s="343"/>
      <c r="U40" s="373"/>
      <c r="V40" s="343"/>
      <c r="W40" s="343"/>
      <c r="X40" s="279"/>
      <c r="Y40" s="279"/>
      <c r="Z40" s="279"/>
      <c r="AA40" s="279"/>
      <c r="AB40" s="279"/>
      <c r="AC40" s="279"/>
      <c r="AD40" s="279"/>
      <c r="AE40" s="279"/>
      <c r="AF40" s="279"/>
      <c r="AG40" s="279"/>
    </row>
    <row r="41" spans="1:33" ht="18.75">
      <c r="A41" s="337" t="str">
        <f ca="1">VLOOKUP(C41,Postupy!$A$3:$C$34,3,0)</f>
        <v/>
      </c>
      <c r="B41" s="338"/>
      <c r="C41" s="347">
        <v>14</v>
      </c>
      <c r="D41" s="419" t="str">
        <f ca="1">VLOOKUP(C41,Postupy!$A$3:$BG$34,59,0)</f>
        <v xml:space="preserve"> - </v>
      </c>
      <c r="E41" s="349">
        <f ca="1">VLOOKUP(C41,Postupy!$A$3:$BH$34,60,0)</f>
        <v>0</v>
      </c>
      <c r="F41" s="344"/>
      <c r="G41" s="343"/>
      <c r="H41" s="369"/>
      <c r="I41" s="358"/>
      <c r="J41" s="358"/>
      <c r="K41" s="351"/>
      <c r="L41" s="330" t="s">
        <v>1748</v>
      </c>
      <c r="M41" s="331" t="str">
        <f ca="1">IF(OR(TRIM(L42)="-",TRIM(L43)="-"),"",VLOOKUP(MIN(K42,K43),Hřiště!$B$11:$E$42,4,0))</f>
        <v/>
      </c>
      <c r="N41" s="370"/>
      <c r="O41" s="343"/>
      <c r="P41" s="381"/>
      <c r="Q41" s="358"/>
      <c r="R41" s="358"/>
      <c r="S41" s="362"/>
      <c r="T41" s="343"/>
      <c r="U41" s="373"/>
      <c r="V41" s="343"/>
      <c r="W41" s="343"/>
      <c r="X41" s="279"/>
      <c r="Y41" s="279"/>
      <c r="Z41" s="279"/>
      <c r="AA41" s="279"/>
      <c r="AB41" s="279"/>
      <c r="AC41" s="279"/>
      <c r="AD41" s="279"/>
      <c r="AE41" s="279"/>
      <c r="AF41" s="279"/>
      <c r="AG41" s="279"/>
    </row>
    <row r="42" spans="1:33" ht="18">
      <c r="A42" s="353"/>
      <c r="B42" s="354"/>
      <c r="C42" s="354">
        <f>C40+C41</f>
        <v>33</v>
      </c>
      <c r="D42" s="355"/>
      <c r="E42" s="391"/>
      <c r="F42" s="366">
        <f>C38+C42</f>
        <v>66</v>
      </c>
      <c r="G42" s="343"/>
      <c r="H42" s="372"/>
      <c r="I42" s="343"/>
      <c r="J42" s="343"/>
      <c r="K42" s="339">
        <v>3</v>
      </c>
      <c r="L42" s="340" t="str">
        <f ca="1">IF(OR(TRIM(H38)="-",TRIM(H39)="-"), IF(TRIM(H38)="-",H39,H38),IF(AND(I38="",I39="")," ",IF(N(I38)=N(I39)," ",IF(N(I38)&gt;N(I39),H38,H39))))</f>
        <v xml:space="preserve"> - </v>
      </c>
      <c r="M42" s="341">
        <f ca="1">VLOOKUP(K42,Postupy!$A$3:$BL$10,64,0)</f>
        <v>0</v>
      </c>
      <c r="N42" s="342"/>
      <c r="O42" s="373"/>
      <c r="P42" s="381"/>
      <c r="Q42" s="358"/>
      <c r="R42" s="358"/>
      <c r="S42" s="362"/>
      <c r="T42" s="373"/>
      <c r="U42" s="373"/>
      <c r="V42" s="343"/>
      <c r="W42" s="343"/>
      <c r="X42" s="279"/>
      <c r="Y42" s="279"/>
      <c r="Z42" s="279"/>
      <c r="AA42" s="279"/>
      <c r="AB42" s="346"/>
      <c r="AC42" s="279"/>
      <c r="AD42" s="279"/>
      <c r="AE42" s="279"/>
      <c r="AF42" s="279"/>
      <c r="AG42" s="279"/>
    </row>
    <row r="43" spans="1:33" ht="18.75">
      <c r="A43" s="359"/>
      <c r="B43" s="360"/>
      <c r="C43" s="361"/>
      <c r="D43" s="330" t="s">
        <v>1748</v>
      </c>
      <c r="E43" s="331" t="str">
        <f ca="1">IF(OR(TRIM(D44)="-",TRIM(D45)="-"),"",VLOOKUP(MIN(C44,C45),Hřiště!$B$11:$E$42,4,0))</f>
        <v/>
      </c>
      <c r="F43" s="343"/>
      <c r="G43" s="343"/>
      <c r="H43" s="372"/>
      <c r="I43" s="343"/>
      <c r="J43" s="343"/>
      <c r="K43" s="347">
        <v>6</v>
      </c>
      <c r="L43" s="348" t="str">
        <f ca="1">IF(OR(TRIM(H46)="-",TRIM(H47)="-"), IF(TRIM(H46)="-",H47,H46),IF(AND(I46="",I47="")," ",IF(N(I46)=N(I47)," ",IF(N(I46)&gt;N(I47),H46,H47))))</f>
        <v xml:space="preserve"> -</v>
      </c>
      <c r="M43" s="349">
        <f ca="1">VLOOKUP(K43,Postupy!$A$3:$BL$10,64,0)</f>
        <v>0</v>
      </c>
      <c r="N43" s="350"/>
      <c r="O43" s="362"/>
      <c r="P43" s="381"/>
      <c r="Q43" s="358"/>
      <c r="R43" s="358"/>
      <c r="S43" s="362"/>
      <c r="T43" s="373"/>
      <c r="U43" s="373"/>
      <c r="V43" s="343"/>
      <c r="W43" s="343"/>
      <c r="X43" s="279"/>
      <c r="Y43" s="346"/>
      <c r="Z43" s="279"/>
      <c r="AA43" s="279"/>
      <c r="AB43" s="346"/>
      <c r="AC43" s="279"/>
      <c r="AD43" s="279"/>
      <c r="AE43" s="346"/>
      <c r="AF43" s="346"/>
      <c r="AG43" s="346"/>
    </row>
    <row r="44" spans="1:33" ht="18">
      <c r="A44" s="337" t="str">
        <f ca="1">VLOOKUP(C44,Postupy!$A$3:$C$34,3,0)</f>
        <v/>
      </c>
      <c r="B44" s="338"/>
      <c r="C44" s="339">
        <v>11</v>
      </c>
      <c r="D44" s="419" t="str">
        <f ca="1">VLOOKUP(C44,Postupy!$A$3:$BG$34,59,0)</f>
        <v xml:space="preserve"> - </v>
      </c>
      <c r="E44" s="341">
        <f ca="1">VLOOKUP(C44,Postupy!$A$3:$BH$34,60,0)</f>
        <v>0</v>
      </c>
      <c r="F44" s="351"/>
      <c r="G44" s="343"/>
      <c r="H44" s="369"/>
      <c r="I44" s="343"/>
      <c r="J44" s="358"/>
      <c r="K44" s="374"/>
      <c r="L44" s="375"/>
      <c r="M44" s="410"/>
      <c r="N44" s="343"/>
      <c r="O44" s="362"/>
      <c r="P44" s="381"/>
      <c r="Q44" s="358"/>
      <c r="R44" s="358"/>
      <c r="S44" s="362"/>
      <c r="T44" s="373"/>
      <c r="U44" s="373"/>
      <c r="V44" s="343"/>
      <c r="W44" s="343"/>
      <c r="X44" s="279"/>
      <c r="Y44" s="279"/>
      <c r="Z44" s="279"/>
      <c r="AA44" s="279"/>
      <c r="AB44" s="279"/>
      <c r="AC44" s="279"/>
      <c r="AD44" s="279"/>
      <c r="AE44" s="279"/>
      <c r="AF44" s="279"/>
      <c r="AG44" s="279"/>
    </row>
    <row r="45" spans="1:33" ht="18.75">
      <c r="A45" s="337" t="str">
        <f ca="1">VLOOKUP(C45,Postupy!$A$3:$C$34,3,0)</f>
        <v/>
      </c>
      <c r="B45" s="338"/>
      <c r="C45" s="347">
        <v>22</v>
      </c>
      <c r="D45" s="419" t="str">
        <f ca="1">VLOOKUP(C45,Postupy!$A$3:$BG$34,59,0)</f>
        <v xml:space="preserve"> - </v>
      </c>
      <c r="E45" s="349">
        <f ca="1">VLOOKUP(C45,Postupy!$A$3:$BH$34,60,0)</f>
        <v>0</v>
      </c>
      <c r="F45" s="377" t="s">
        <v>1749</v>
      </c>
      <c r="G45" s="351"/>
      <c r="H45" s="330" t="s">
        <v>1748</v>
      </c>
      <c r="I45" s="331" t="str">
        <f ca="1">IF(OR(TRIM(H46)="-",TRIM(H47)="-"),"",VLOOKUP(MIN(G46,G47),Hřiště!$B$11:$E$42,4,0))</f>
        <v/>
      </c>
      <c r="J45" s="358"/>
      <c r="K45" s="362"/>
      <c r="L45" s="372"/>
      <c r="M45" s="373"/>
      <c r="N45" s="343"/>
      <c r="O45" s="362"/>
      <c r="P45" s="381"/>
      <c r="Q45" s="358"/>
      <c r="R45" s="358"/>
      <c r="S45" s="362"/>
      <c r="T45" s="373"/>
      <c r="U45" s="373"/>
      <c r="V45" s="343"/>
      <c r="W45" s="343"/>
      <c r="X45" s="279"/>
      <c r="Y45" s="279"/>
      <c r="Z45" s="279"/>
      <c r="AA45" s="279"/>
      <c r="AB45" s="279"/>
      <c r="AC45" s="279"/>
      <c r="AD45" s="279"/>
      <c r="AE45" s="279"/>
      <c r="AF45" s="279"/>
      <c r="AG45" s="279"/>
    </row>
    <row r="46" spans="1:33" ht="18">
      <c r="A46" s="353"/>
      <c r="B46" s="354"/>
      <c r="C46" s="354">
        <f>C44+C45</f>
        <v>33</v>
      </c>
      <c r="D46" s="355"/>
      <c r="E46" s="391"/>
      <c r="F46" s="357"/>
      <c r="G46" s="339">
        <v>11</v>
      </c>
      <c r="H46" s="340" t="str">
        <f ca="1">IF(OR(TRIM(D44)="-",TRIM(D45)="-"), IF(TRIM(D44)="-",D45,D44),IF(AND(E44="",E45="")," ",IF(N(E44)=N(E45)," ",IF(N(E44)&gt;N(E45),D44,D45))))</f>
        <v xml:space="preserve"> - </v>
      </c>
      <c r="I46" s="341">
        <f ca="1">VLOOKUP(G46,Postupy!$A$3:$BJ$18,62,0)</f>
        <v>0</v>
      </c>
      <c r="J46" s="365"/>
      <c r="K46" s="362"/>
      <c r="L46" s="372"/>
      <c r="M46" s="373"/>
      <c r="N46" s="343"/>
      <c r="O46" s="362"/>
      <c r="P46" s="381"/>
      <c r="Q46" s="358"/>
      <c r="R46" s="358"/>
      <c r="S46" s="362"/>
      <c r="T46" s="373"/>
      <c r="U46" s="373"/>
      <c r="V46" s="343"/>
      <c r="W46" s="343"/>
      <c r="X46" s="279"/>
      <c r="Y46" s="279"/>
      <c r="Z46" s="279"/>
      <c r="AA46" s="279"/>
      <c r="AB46" s="279"/>
      <c r="AC46" s="279"/>
      <c r="AD46" s="279"/>
      <c r="AE46" s="279"/>
      <c r="AF46" s="279"/>
      <c r="AG46" s="279"/>
    </row>
    <row r="47" spans="1:33" ht="18.75">
      <c r="A47" s="359"/>
      <c r="B47" s="360"/>
      <c r="C47" s="361"/>
      <c r="D47" s="330" t="s">
        <v>1748</v>
      </c>
      <c r="E47" s="331" t="str">
        <f ca="1">IF(OR(TRIM(D48)="-",TRIM(D49)="-"),"",VLOOKUP(MIN(C48,C49),Hřiště!$B$11:$E$42,4,0))</f>
        <v/>
      </c>
      <c r="F47" s="370"/>
      <c r="G47" s="347">
        <v>6</v>
      </c>
      <c r="H47" s="348" t="str">
        <f ca="1">IF(OR(TRIM(D48)="-",TRIM(D49)="-"), IF(TRIM(D48)="-",D49,D48),IF(AND(E48="",E49="")," ",IF(N(E48)=N(E49)," ",IF(N(E48)&gt;N(E49),D48,D49))))</f>
        <v xml:space="preserve"> -</v>
      </c>
      <c r="I47" s="349">
        <f ca="1">VLOOKUP(G47,Postupy!$A$3:$BJ$18,62,0)</f>
        <v>0</v>
      </c>
      <c r="J47" s="344"/>
      <c r="K47" s="343"/>
      <c r="L47" s="372"/>
      <c r="M47" s="343"/>
      <c r="N47" s="343"/>
      <c r="O47" s="362"/>
      <c r="P47" s="381"/>
      <c r="Q47" s="358"/>
      <c r="R47" s="358"/>
      <c r="S47" s="362"/>
      <c r="T47" s="373"/>
      <c r="U47" s="373"/>
      <c r="V47" s="343"/>
      <c r="W47" s="343"/>
      <c r="X47" s="279"/>
      <c r="Y47" s="279"/>
      <c r="Z47" s="279"/>
      <c r="AA47" s="279"/>
      <c r="AB47" s="279"/>
      <c r="AC47" s="279"/>
      <c r="AD47" s="279"/>
      <c r="AE47" s="279"/>
      <c r="AF47" s="279"/>
      <c r="AG47" s="279"/>
    </row>
    <row r="48" spans="1:33" ht="18">
      <c r="A48" s="337" t="str">
        <f ca="1">VLOOKUP(C48,Postupy!$A$3:$C$34,3,0)</f>
        <v/>
      </c>
      <c r="B48" s="338"/>
      <c r="C48" s="339">
        <v>27</v>
      </c>
      <c r="D48" s="419" t="str">
        <f ca="1">VLOOKUP(C48,Postupy!$A$3:$BG$34,59,0)</f>
        <v xml:space="preserve"> - </v>
      </c>
      <c r="E48" s="341">
        <f ca="1">VLOOKUP(C48,Postupy!$A$3:$BH$34,60,0)</f>
        <v>0</v>
      </c>
      <c r="F48" s="378"/>
      <c r="G48" s="374"/>
      <c r="H48" s="375"/>
      <c r="I48" s="410"/>
      <c r="J48" s="343"/>
      <c r="K48" s="343"/>
      <c r="L48" s="369"/>
      <c r="M48" s="343"/>
      <c r="N48" s="343"/>
      <c r="O48" s="362"/>
      <c r="P48" s="387"/>
      <c r="Q48" s="358"/>
      <c r="R48" s="358"/>
      <c r="S48" s="362"/>
      <c r="T48" s="373"/>
      <c r="U48" s="373"/>
      <c r="V48" s="343"/>
      <c r="W48" s="358"/>
      <c r="X48" s="279"/>
      <c r="Y48" s="279"/>
      <c r="Z48" s="279"/>
      <c r="AA48" s="279"/>
      <c r="AB48" s="279"/>
      <c r="AC48" s="279"/>
      <c r="AD48" s="279"/>
      <c r="AE48" s="279"/>
      <c r="AF48" s="279"/>
      <c r="AG48" s="279"/>
    </row>
    <row r="49" spans="1:33" ht="18.75">
      <c r="A49" s="337" t="str">
        <f ca="1">VLOOKUP(C49,Postupy!$A$3:$C$34,3,0)</f>
        <v>D2</v>
      </c>
      <c r="B49" s="338"/>
      <c r="C49" s="347">
        <v>6</v>
      </c>
      <c r="D49" s="419" t="str">
        <f ca="1">VLOOKUP(C49,Postupy!$A$3:$BG$34,59,0)</f>
        <v xml:space="preserve"> -</v>
      </c>
      <c r="E49" s="349">
        <f ca="1">VLOOKUP(C49,Postupy!$A$3:$BH$34,60,0)</f>
        <v>0</v>
      </c>
      <c r="F49" s="379"/>
      <c r="G49" s="343"/>
      <c r="H49" s="369"/>
      <c r="I49" s="343"/>
      <c r="J49" s="343"/>
      <c r="K49" s="343"/>
      <c r="L49" s="380"/>
      <c r="M49" s="358"/>
      <c r="N49" s="358"/>
      <c r="O49" s="362"/>
      <c r="P49" s="330" t="s">
        <v>1748</v>
      </c>
      <c r="Q49" s="331" t="str">
        <f ca="1">IF(OR(TRIM(P50)="-",TRIM(P51)="-"),"",VLOOKUP(MIN(O50,O51),Hřiště!$B$11:$E$42,4,0))</f>
        <v/>
      </c>
      <c r="R49" s="358"/>
      <c r="S49" s="362"/>
      <c r="T49" s="373"/>
      <c r="U49" s="373"/>
      <c r="V49" s="343"/>
      <c r="W49" s="343"/>
      <c r="X49" s="279"/>
      <c r="Y49" s="279"/>
      <c r="Z49" s="279"/>
      <c r="AA49" s="279"/>
      <c r="AB49" s="279"/>
      <c r="AC49" s="279"/>
      <c r="AD49" s="279"/>
      <c r="AE49" s="279"/>
      <c r="AF49" s="279"/>
      <c r="AG49" s="279"/>
    </row>
    <row r="50" spans="1:33" ht="18">
      <c r="A50" s="353"/>
      <c r="B50" s="354"/>
      <c r="C50" s="354">
        <f>C48+C49</f>
        <v>33</v>
      </c>
      <c r="D50" s="355"/>
      <c r="E50" s="391"/>
      <c r="F50" s="366">
        <f>C46+C50</f>
        <v>66</v>
      </c>
      <c r="G50" s="343"/>
      <c r="H50" s="372"/>
      <c r="I50" s="343"/>
      <c r="J50" s="343"/>
      <c r="K50" s="343"/>
      <c r="L50" s="381"/>
      <c r="M50" s="358"/>
      <c r="N50" s="358"/>
      <c r="O50" s="339">
        <v>3</v>
      </c>
      <c r="P50" s="340" t="str">
        <f ca="1">IF(OR(TRIM(L42)="-",TRIM(L43)="-"), IF(TRIM(L42)="-",L43,L42),IF(AND(M42="",M43="")," ",IF(N(M42)=N(M43)," ",IF(N(M42)&gt;N(M43),L42,L43))))</f>
        <v xml:space="preserve"> -</v>
      </c>
      <c r="Q50" s="341">
        <f ca="1">VLOOKUP(O50,Postupy!$A$3:$BN$6,66,0)</f>
        <v>0</v>
      </c>
      <c r="R50" s="365"/>
      <c r="S50" s="362"/>
      <c r="T50" s="373"/>
      <c r="U50" s="373"/>
      <c r="V50" s="343"/>
      <c r="W50" s="343"/>
      <c r="X50" s="279"/>
      <c r="Y50" s="279"/>
      <c r="Z50" s="279"/>
      <c r="AA50" s="279"/>
      <c r="AB50" s="279"/>
      <c r="AC50" s="279"/>
      <c r="AD50" s="279"/>
      <c r="AE50" s="279"/>
      <c r="AF50" s="279"/>
      <c r="AG50" s="279"/>
    </row>
    <row r="51" spans="1:33" ht="18.75">
      <c r="A51" s="359"/>
      <c r="B51" s="360"/>
      <c r="C51" s="361"/>
      <c r="D51" s="330" t="s">
        <v>1748</v>
      </c>
      <c r="E51" s="331" t="str">
        <f ca="1">IF(OR(TRIM(D52)="-",TRIM(D53)="-"),"",VLOOKUP(MIN(C52,C53),Hřiště!$B$11:$E$42,4,0))</f>
        <v/>
      </c>
      <c r="F51" s="343"/>
      <c r="G51" s="343"/>
      <c r="H51" s="372"/>
      <c r="I51" s="343"/>
      <c r="J51" s="343"/>
      <c r="K51" s="343"/>
      <c r="L51" s="381"/>
      <c r="M51" s="358"/>
      <c r="N51" s="358"/>
      <c r="O51" s="347">
        <v>2</v>
      </c>
      <c r="P51" s="348" t="str">
        <f ca="1">IF(OR(TRIM(L58)="-",TRIM(L59)="-"),IF(TRIM(L58)="-",L59,L58),IF(AND(M58="",M59="")," ",IF(N(M58)=N(M59)," ",IF(N(M58)&gt;N(M59),L58,L59))))</f>
        <v xml:space="preserve"> -</v>
      </c>
      <c r="Q51" s="349">
        <f ca="1">VLOOKUP(O51,Postupy!$A$3:$BN$6,66,0)</f>
        <v>0</v>
      </c>
      <c r="R51" s="343"/>
      <c r="S51" s="343"/>
      <c r="T51" s="373"/>
      <c r="U51" s="343"/>
      <c r="V51" s="343"/>
      <c r="W51" s="358"/>
      <c r="X51" s="279"/>
      <c r="Y51" s="279"/>
      <c r="Z51" s="279"/>
      <c r="AA51" s="279"/>
      <c r="AB51" s="279"/>
      <c r="AC51" s="279"/>
      <c r="AD51" s="279"/>
      <c r="AE51" s="279"/>
      <c r="AF51" s="279"/>
      <c r="AG51" s="279"/>
    </row>
    <row r="52" spans="1:33" ht="18">
      <c r="A52" s="337" t="str">
        <f ca="1">VLOOKUP(C52,Postupy!$A$3:$C$34,3,0)</f>
        <v>A2</v>
      </c>
      <c r="B52" s="338"/>
      <c r="C52" s="339">
        <v>7</v>
      </c>
      <c r="D52" s="419" t="str">
        <f ca="1">VLOOKUP(C52,Postupy!$A$3:$BG$34,59,0)</f>
        <v xml:space="preserve"> - </v>
      </c>
      <c r="E52" s="341">
        <f ca="1">VLOOKUP(C52,Postupy!$A$3:$BH$34,60,0)</f>
        <v>0</v>
      </c>
      <c r="F52" s="351"/>
      <c r="G52" s="343"/>
      <c r="H52" s="369"/>
      <c r="I52" s="343"/>
      <c r="J52" s="343"/>
      <c r="K52" s="343"/>
      <c r="L52" s="381"/>
      <c r="M52" s="358"/>
      <c r="N52" s="357"/>
      <c r="O52" s="374"/>
      <c r="P52" s="394"/>
      <c r="Q52" s="373"/>
      <c r="R52" s="343"/>
      <c r="S52" s="343"/>
      <c r="U52" s="343"/>
      <c r="V52" s="343"/>
      <c r="W52" s="358"/>
      <c r="X52" s="279"/>
      <c r="Y52" s="279"/>
      <c r="Z52" s="279"/>
      <c r="AA52" s="279"/>
      <c r="AB52" s="279"/>
      <c r="AC52" s="279"/>
      <c r="AD52" s="279"/>
      <c r="AE52" s="279"/>
      <c r="AF52" s="279"/>
      <c r="AG52" s="279"/>
    </row>
    <row r="53" spans="1:33" ht="18.75">
      <c r="A53" s="337" t="str">
        <f ca="1">VLOOKUP(C53,Postupy!$A$3:$C$34,3,0)</f>
        <v/>
      </c>
      <c r="B53" s="338"/>
      <c r="C53" s="347">
        <v>26</v>
      </c>
      <c r="D53" s="419" t="str">
        <f ca="1">VLOOKUP(C53,Postupy!$A$3:$BG$34,59,0)</f>
        <v xml:space="preserve"> - </v>
      </c>
      <c r="E53" s="349">
        <f ca="1">VLOOKUP(C53,Postupy!$A$3:$BH$34,60,0)</f>
        <v>0</v>
      </c>
      <c r="F53" s="384"/>
      <c r="G53" s="351"/>
      <c r="H53" s="330" t="s">
        <v>1748</v>
      </c>
      <c r="I53" s="331" t="str">
        <f ca="1">IF(OR(TRIM(H54)="-",TRIM(H55)="-"),"",VLOOKUP(MIN(G54,G55),Hřiště!$B$11:$E$42,4,0))</f>
        <v/>
      </c>
      <c r="J53" s="343"/>
      <c r="K53" s="343"/>
      <c r="L53" s="381"/>
      <c r="M53" s="358"/>
      <c r="N53" s="357"/>
      <c r="O53" s="373"/>
      <c r="P53" s="352"/>
      <c r="Q53" s="373"/>
      <c r="R53" s="343"/>
      <c r="S53" s="343"/>
      <c r="T53" s="416" t="s">
        <v>1750</v>
      </c>
      <c r="U53" s="343"/>
      <c r="V53" s="343"/>
      <c r="W53" s="343"/>
      <c r="X53" s="279"/>
      <c r="Y53" s="279"/>
      <c r="Z53" s="279"/>
      <c r="AA53" s="279"/>
      <c r="AB53" s="279"/>
      <c r="AC53" s="279"/>
      <c r="AD53" s="279"/>
      <c r="AE53" s="279"/>
      <c r="AF53" s="279"/>
      <c r="AG53" s="279"/>
    </row>
    <row r="54" spans="1:33" ht="18">
      <c r="A54" s="353"/>
      <c r="B54" s="354"/>
      <c r="C54" s="354">
        <f>C52+C53</f>
        <v>33</v>
      </c>
      <c r="D54" s="355"/>
      <c r="E54" s="391"/>
      <c r="F54" s="357"/>
      <c r="G54" s="339">
        <v>7</v>
      </c>
      <c r="H54" s="340" t="str">
        <f ca="1">IF(OR(TRIM(D52)="-",TRIM(D53)="-"), IF(TRIM(D52)="-",D53,D52),IF(AND(E52="",E53="")," ",IF(N(E52)=N(E53)," ",IF(N(E52)&gt;N(E53),D52,D53))))</f>
        <v xml:space="preserve"> - </v>
      </c>
      <c r="I54" s="341">
        <f ca="1">VLOOKUP(G54,Postupy!$A$3:$BJ$18,62,0)</f>
        <v>0</v>
      </c>
      <c r="J54" s="342"/>
      <c r="K54" s="343"/>
      <c r="L54" s="381"/>
      <c r="M54" s="358"/>
      <c r="N54" s="357"/>
      <c r="O54" s="373"/>
      <c r="P54" s="352"/>
      <c r="Q54" s="373"/>
      <c r="R54" s="343"/>
      <c r="S54" s="343"/>
      <c r="T54" s="417" t="s">
        <v>1751</v>
      </c>
      <c r="U54" s="343"/>
      <c r="V54" s="343"/>
      <c r="W54" s="343"/>
      <c r="X54" s="279"/>
      <c r="Y54" s="279"/>
      <c r="Z54" s="279"/>
      <c r="AA54" s="279"/>
      <c r="AB54" s="279"/>
      <c r="AC54" s="279"/>
      <c r="AD54" s="279"/>
      <c r="AE54" s="279"/>
      <c r="AF54" s="279"/>
      <c r="AG54" s="279"/>
    </row>
    <row r="55" spans="1:33" ht="18.75">
      <c r="A55" s="359"/>
      <c r="B55" s="360"/>
      <c r="C55" s="361"/>
      <c r="D55" s="330" t="s">
        <v>1748</v>
      </c>
      <c r="E55" s="331" t="str">
        <f ca="1">IF(OR(TRIM(D56)="-",TRIM(D57)="-"),"",VLOOKUP(MIN(C56,C57),Hřiště!$B$11:$E$42,4,0))</f>
        <v/>
      </c>
      <c r="F55" s="357"/>
      <c r="G55" s="347">
        <v>10</v>
      </c>
      <c r="H55" s="348" t="str">
        <f ca="1">IF(OR(TRIM(D56)="-",TRIM(D57)="-"), IF(TRIM(D56)="-",D57,D56),IF(AND(E56="",E57="")," ",IF(N(E56)=N(E57)," ",IF(N(E56)&gt;N(E57),D56,D57))))</f>
        <v xml:space="preserve"> - </v>
      </c>
      <c r="I55" s="349">
        <f ca="1">VLOOKUP(G55,Postupy!$A$3:$BJ$18,62,0)</f>
        <v>0</v>
      </c>
      <c r="J55" s="350"/>
      <c r="K55" s="362"/>
      <c r="L55" s="381"/>
      <c r="M55" s="358"/>
      <c r="N55" s="357"/>
      <c r="O55" s="373"/>
      <c r="P55" s="352"/>
      <c r="Q55" s="373"/>
      <c r="R55" s="343"/>
      <c r="S55" s="343"/>
      <c r="T55" s="330" t="s">
        <v>1748</v>
      </c>
      <c r="U55" s="331" t="str">
        <f ca="1">IF(OR(TRIM(T56)="-",TRIM(T57)="-"),"",VLOOKUP(MIN(S56,S57),Hřiště!$B$11:$E$42,4,0))</f>
        <v/>
      </c>
      <c r="V55" s="343"/>
      <c r="W55" s="343"/>
      <c r="X55" s="279"/>
      <c r="Y55" s="279"/>
      <c r="Z55" s="279"/>
      <c r="AA55" s="279"/>
      <c r="AB55" s="279"/>
      <c r="AC55" s="279"/>
      <c r="AD55" s="279"/>
      <c r="AE55" s="279"/>
      <c r="AF55" s="279"/>
      <c r="AG55" s="279"/>
    </row>
    <row r="56" spans="1:33" ht="18">
      <c r="A56" s="337" t="str">
        <f ca="1">VLOOKUP(C56,Postupy!$A$3:$C$34,3,0)</f>
        <v/>
      </c>
      <c r="B56" s="338"/>
      <c r="C56" s="339">
        <v>23</v>
      </c>
      <c r="D56" s="419" t="str">
        <f ca="1">VLOOKUP(C56,Postupy!$A$3:$BG$34,59,0)</f>
        <v xml:space="preserve"> - </v>
      </c>
      <c r="E56" s="341">
        <f ca="1">VLOOKUP(C56,Postupy!$A$3:$BH$34,60,0)</f>
        <v>0</v>
      </c>
      <c r="F56" s="365"/>
      <c r="G56" s="374"/>
      <c r="H56" s="375"/>
      <c r="I56" s="410"/>
      <c r="J56" s="358"/>
      <c r="K56" s="362"/>
      <c r="L56" s="387"/>
      <c r="M56" s="358"/>
      <c r="N56" s="357"/>
      <c r="O56" s="373"/>
      <c r="P56" s="352"/>
      <c r="Q56" s="373"/>
      <c r="R56" s="343"/>
      <c r="S56" s="339">
        <v>4</v>
      </c>
      <c r="T56" s="340" t="str">
        <f ca="1">IF(OR(TRIM(P18)="-",TRIM(P19)="-"), IF(TRIM(P18)="-",P19,P18),IF(AND(Q18="",Q19="")," ",IF(N(Q19)=N(Q18)," ",IF(N(Q19)&gt;N(Q18),P18,P19))))</f>
        <v xml:space="preserve"> -</v>
      </c>
      <c r="U56" s="341">
        <f ca="1">VLOOKUP(S56,Postupy!$A$3:$BP$6,68,0)</f>
        <v>0</v>
      </c>
      <c r="V56" s="365"/>
      <c r="W56" s="393">
        <v>3</v>
      </c>
      <c r="X56" s="412" t="str">
        <f ca="1">IF(AND(U56="",U57="")," ",IF(N(U56)=N(U57)," ",IF(N(U56)=N(U57)," ",IF(N(U56)&gt;N(U57),T56,T57))))</f>
        <v xml:space="preserve"> </v>
      </c>
      <c r="Y56" s="413">
        <v>3</v>
      </c>
      <c r="Z56" s="279"/>
      <c r="AA56" s="279"/>
      <c r="AB56" s="279"/>
      <c r="AC56" s="279"/>
      <c r="AD56" s="279"/>
      <c r="AE56" s="279"/>
      <c r="AF56" s="279"/>
      <c r="AG56" s="279"/>
    </row>
    <row r="57" spans="1:33" ht="18.75">
      <c r="A57" s="337" t="str">
        <f ca="1">VLOOKUP(C57,Postupy!$A$3:$C$34,3,0)</f>
        <v/>
      </c>
      <c r="B57" s="338"/>
      <c r="C57" s="347">
        <v>10</v>
      </c>
      <c r="D57" s="419" t="str">
        <f ca="1">VLOOKUP(C57,Postupy!$A$3:$BG$34,59,0)</f>
        <v xml:space="preserve"> - </v>
      </c>
      <c r="E57" s="349">
        <f ca="1">VLOOKUP(C57,Postupy!$A$3:$BH$34,60,0)</f>
        <v>0</v>
      </c>
      <c r="F57" s="344"/>
      <c r="G57" s="343"/>
      <c r="H57" s="369"/>
      <c r="I57" s="343"/>
      <c r="J57" s="358"/>
      <c r="K57" s="351"/>
      <c r="L57" s="330" t="s">
        <v>1748</v>
      </c>
      <c r="M57" s="331" t="str">
        <f ca="1">IF(OR(TRIM(L58)="-",TRIM(L59)="-"),"",VLOOKUP(MIN(K58,K59),Hřiště!$B$11:$E$42,4,0))</f>
        <v/>
      </c>
      <c r="N57" s="388"/>
      <c r="O57" s="373"/>
      <c r="P57" s="352"/>
      <c r="Q57" s="373"/>
      <c r="R57" s="343"/>
      <c r="S57" s="347">
        <v>3</v>
      </c>
      <c r="T57" s="348" t="str">
        <f ca="1">IF(OR(TRIM(P50)="-",TRIM(P51)="-"), IF(TRIM(P50)="-",P51,P50),IF(AND(Q50="",Q51="")," ",IF(N(Q51)=N(Q50)," ",IF(N(Q51)&gt;N(Q50),P50,P51))))</f>
        <v xml:space="preserve"> -</v>
      </c>
      <c r="U57" s="349">
        <f ca="1">VLOOKUP(S57,Postupy!$A$3:$BP$6,68,0)</f>
        <v>0</v>
      </c>
      <c r="V57" s="350"/>
      <c r="W57" s="393">
        <v>4</v>
      </c>
      <c r="X57" s="412" t="str">
        <f ca="1">IF(AND(U56="",U57="")," ",IF(N(U57)&gt;N(U56),T56,T57))</f>
        <v xml:space="preserve"> -</v>
      </c>
      <c r="Y57" s="413">
        <v>4</v>
      </c>
      <c r="Z57" s="279"/>
      <c r="AA57" s="279"/>
      <c r="AB57" s="279"/>
      <c r="AC57" s="279"/>
      <c r="AD57" s="279"/>
      <c r="AE57" s="279"/>
      <c r="AF57" s="279"/>
      <c r="AG57" s="279"/>
    </row>
    <row r="58" spans="1:33" ht="18">
      <c r="A58" s="353"/>
      <c r="B58" s="354"/>
      <c r="C58" s="354">
        <f>C56+C57</f>
        <v>33</v>
      </c>
      <c r="D58" s="355"/>
      <c r="E58" s="391"/>
      <c r="F58" s="366">
        <f>C54+C58</f>
        <v>66</v>
      </c>
      <c r="G58" s="343"/>
      <c r="H58" s="372"/>
      <c r="I58" s="343"/>
      <c r="J58" s="343"/>
      <c r="K58" s="339">
        <v>7</v>
      </c>
      <c r="L58" s="340" t="str">
        <f ca="1">IF(OR(TRIM(H54)="-",TRIM(H55)="-"), IF(TRIM(H54)="-",H55,H54),IF(AND(I54="",I55="")," ",IF(N(I54)=N(I55)," ",IF(N(I54)&gt;N(I55),H54,H55))))</f>
        <v xml:space="preserve"> - </v>
      </c>
      <c r="M58" s="341">
        <f ca="1">VLOOKUP(K58,Postupy!$A$3:$BL$10,64,0)</f>
        <v>0</v>
      </c>
      <c r="N58" s="365"/>
      <c r="O58" s="343"/>
      <c r="P58" s="352"/>
      <c r="Q58" s="343"/>
      <c r="R58" s="343"/>
      <c r="S58" s="343"/>
      <c r="T58" s="373"/>
      <c r="U58" s="373"/>
      <c r="V58" s="373"/>
      <c r="W58" s="343"/>
      <c r="X58" s="279"/>
      <c r="Y58" s="279"/>
      <c r="Z58" s="279"/>
      <c r="AA58" s="279"/>
      <c r="AB58" s="279"/>
      <c r="AC58" s="279"/>
      <c r="AD58" s="279"/>
      <c r="AE58" s="279"/>
      <c r="AF58" s="279"/>
      <c r="AG58" s="279"/>
    </row>
    <row r="59" spans="1:33" ht="18.75">
      <c r="A59" s="359"/>
      <c r="B59" s="360"/>
      <c r="C59" s="361"/>
      <c r="D59" s="330" t="s">
        <v>1748</v>
      </c>
      <c r="E59" s="331" t="str">
        <f ca="1">IF(OR(TRIM(D60)="-",TRIM(D61)="-"),"",VLOOKUP(MIN(C60,C61),Hřiště!$B$11:$E$42,4,0))</f>
        <v/>
      </c>
      <c r="F59" s="343"/>
      <c r="G59" s="343"/>
      <c r="H59" s="372"/>
      <c r="I59" s="343"/>
      <c r="J59" s="343"/>
      <c r="K59" s="347">
        <v>2</v>
      </c>
      <c r="L59" s="348" t="str">
        <f ca="1">IF(OR(TRIM(H62)="-",TRIM(H63)="-"), IF(TRIM(H62)="-",H63,H62),IF(AND(I62="",I63="")," ",IF(N(I62)=N(I63)," ",IF(N(I62)&gt;N(I63),H62,H63))))</f>
        <v xml:space="preserve"> -</v>
      </c>
      <c r="M59" s="349">
        <f ca="1">VLOOKUP(K59,Postupy!$A$3:$BL$10,64,0)</f>
        <v>0</v>
      </c>
      <c r="N59" s="344"/>
      <c r="O59" s="343"/>
      <c r="P59" s="352"/>
      <c r="Q59" s="343"/>
      <c r="R59" s="343"/>
      <c r="S59" s="343"/>
      <c r="T59" s="343"/>
      <c r="U59" s="343"/>
      <c r="V59" s="343"/>
      <c r="W59" s="358"/>
      <c r="X59" s="279"/>
      <c r="Y59" s="279"/>
      <c r="Z59" s="279"/>
      <c r="AA59" s="279"/>
      <c r="AB59" s="279"/>
      <c r="AC59" s="279"/>
      <c r="AD59" s="279"/>
      <c r="AE59" s="279"/>
      <c r="AF59" s="279"/>
      <c r="AG59" s="279"/>
    </row>
    <row r="60" spans="1:33" ht="18">
      <c r="A60" s="337" t="str">
        <f ca="1">VLOOKUP(C60,Postupy!$A$3:$C$34,3,0)</f>
        <v/>
      </c>
      <c r="B60" s="338"/>
      <c r="C60" s="339">
        <v>15</v>
      </c>
      <c r="D60" s="419" t="str">
        <f ca="1">VLOOKUP(C60,Postupy!$A$3:$BG$34,59,0)</f>
        <v xml:space="preserve"> - </v>
      </c>
      <c r="E60" s="341">
        <f ca="1">VLOOKUP(C60,Postupy!$A$3:$BH$34,60,0)</f>
        <v>0</v>
      </c>
      <c r="F60" s="351"/>
      <c r="G60" s="343"/>
      <c r="H60" s="369"/>
      <c r="I60" s="358"/>
      <c r="J60" s="358"/>
      <c r="K60" s="374"/>
      <c r="L60" s="394"/>
      <c r="M60" s="410"/>
      <c r="N60" s="343"/>
      <c r="O60" s="343"/>
      <c r="P60" s="343"/>
      <c r="Q60" s="343"/>
      <c r="R60" s="343"/>
      <c r="S60" s="343"/>
      <c r="T60" s="343"/>
      <c r="U60" s="343"/>
      <c r="V60" s="343"/>
      <c r="W60" s="358"/>
      <c r="X60" s="279"/>
      <c r="Y60" s="279"/>
      <c r="Z60" s="279"/>
      <c r="AA60" s="279"/>
      <c r="AB60" s="279"/>
      <c r="AC60" s="279"/>
      <c r="AD60" s="279"/>
      <c r="AE60" s="279"/>
      <c r="AF60" s="279"/>
      <c r="AG60" s="279"/>
    </row>
    <row r="61" spans="1:33" ht="18.75">
      <c r="A61" s="337" t="str">
        <f ca="1">VLOOKUP(C61,Postupy!$A$3:$C$34,3,0)</f>
        <v/>
      </c>
      <c r="B61" s="338"/>
      <c r="C61" s="347">
        <v>18</v>
      </c>
      <c r="D61" s="419" t="str">
        <f ca="1">VLOOKUP(C61,Postupy!$A$3:$BG$34,59,0)</f>
        <v xml:space="preserve"> - </v>
      </c>
      <c r="E61" s="349">
        <f ca="1">VLOOKUP(C61,Postupy!$A$3:$BH$34,60,0)</f>
        <v>0</v>
      </c>
      <c r="F61" s="377" t="s">
        <v>1749</v>
      </c>
      <c r="G61" s="351"/>
      <c r="H61" s="330" t="s">
        <v>1748</v>
      </c>
      <c r="I61" s="331" t="str">
        <f ca="1">IF(OR(TRIM(H62)="-",TRIM(H63)="-"),"",VLOOKUP(MIN(G62,G63),Hřiště!$B$11:$E$42,4,0))</f>
        <v/>
      </c>
      <c r="J61" s="358"/>
      <c r="K61" s="362"/>
      <c r="L61" s="352"/>
      <c r="M61" s="373"/>
      <c r="N61" s="343"/>
      <c r="O61" s="343"/>
      <c r="P61" s="343"/>
      <c r="Q61" s="343"/>
      <c r="R61" s="343"/>
      <c r="S61" s="343"/>
      <c r="T61" s="343"/>
      <c r="U61" s="343"/>
      <c r="V61" s="343"/>
      <c r="W61" s="358"/>
      <c r="X61" s="279"/>
      <c r="Y61" s="279"/>
      <c r="Z61" s="279"/>
      <c r="AA61" s="279"/>
      <c r="AB61" s="279"/>
      <c r="AC61" s="279"/>
      <c r="AD61" s="279"/>
      <c r="AE61" s="279"/>
      <c r="AF61" s="279"/>
      <c r="AG61" s="279"/>
    </row>
    <row r="62" spans="1:33" ht="18">
      <c r="A62" s="353"/>
      <c r="B62" s="354"/>
      <c r="C62" s="354">
        <f>C60+C61</f>
        <v>33</v>
      </c>
      <c r="D62" s="355"/>
      <c r="E62" s="391"/>
      <c r="F62" s="391"/>
      <c r="G62" s="339">
        <v>15</v>
      </c>
      <c r="H62" s="340" t="str">
        <f ca="1">IF(OR(TRIM(D60)="-",TRIM(D61)="-"), IF(TRIM(D60)="-",D61,D60),IF(AND(E60="",E61="")," ",IF(N(E60)=N(E61)," ",IF(N(E60)&gt;N(E61),D60,D61))))</f>
        <v xml:space="preserve"> - </v>
      </c>
      <c r="I62" s="341">
        <f ca="1">VLOOKUP(G62,Postupy!$A$3:$BJ$18,62,0)</f>
        <v>0</v>
      </c>
      <c r="J62" s="365"/>
      <c r="K62" s="362"/>
      <c r="L62" s="352"/>
      <c r="M62" s="373"/>
      <c r="N62" s="343"/>
      <c r="O62" s="343"/>
      <c r="P62" s="343"/>
      <c r="Q62" s="343"/>
      <c r="R62" s="343"/>
      <c r="S62" s="343"/>
      <c r="T62" s="343"/>
      <c r="U62" s="343"/>
      <c r="V62" s="343"/>
      <c r="W62" s="358"/>
      <c r="X62" s="279"/>
      <c r="Y62" s="279"/>
      <c r="Z62" s="279"/>
      <c r="AA62" s="279"/>
      <c r="AB62" s="279"/>
      <c r="AC62" s="279"/>
      <c r="AD62" s="279"/>
      <c r="AE62" s="279"/>
      <c r="AF62" s="279"/>
      <c r="AG62" s="279"/>
    </row>
    <row r="63" spans="1:33" ht="18.75">
      <c r="A63" s="359"/>
      <c r="B63" s="360"/>
      <c r="C63" s="361"/>
      <c r="D63" s="330" t="s">
        <v>1748</v>
      </c>
      <c r="E63" s="331" t="str">
        <f ca="1">IF(OR(TRIM(D64)="-",TRIM(D65)="-"),"",VLOOKUP(MIN(C64,C65),Hřiště!$B$11:$E$42,4,0))</f>
        <v/>
      </c>
      <c r="F63" s="370"/>
      <c r="G63" s="347">
        <v>2</v>
      </c>
      <c r="H63" s="348" t="str">
        <f ca="1">IF(OR(TRIM(D64)="-",TRIM(D65)="-"), IF(TRIM(D64)="-",D65,D64),IF(AND(E64="",E65="")," ",IF(N(E64)=N(E65)," ",IF(N(E64)&gt;N(E65),D64,D65))))</f>
        <v xml:space="preserve"> -</v>
      </c>
      <c r="I63" s="349">
        <f ca="1">VLOOKUP(G63,Postupy!$A$3:$BJ$18,62,0)</f>
        <v>0</v>
      </c>
      <c r="J63" s="344"/>
      <c r="K63" s="343"/>
      <c r="L63" s="352"/>
      <c r="M63" s="343"/>
      <c r="N63" s="343"/>
      <c r="O63" s="343"/>
      <c r="P63" s="343"/>
      <c r="Q63" s="343"/>
      <c r="R63" s="343"/>
      <c r="S63" s="343"/>
      <c r="T63" s="343"/>
      <c r="U63" s="343"/>
      <c r="V63" s="343"/>
      <c r="W63" s="358"/>
      <c r="X63" s="279"/>
      <c r="Y63" s="279"/>
      <c r="Z63" s="279"/>
      <c r="AA63" s="279"/>
      <c r="AB63" s="279"/>
      <c r="AC63" s="279"/>
      <c r="AD63" s="279"/>
      <c r="AE63" s="279"/>
      <c r="AF63" s="279"/>
      <c r="AG63" s="279"/>
    </row>
    <row r="64" spans="1:33" ht="18">
      <c r="A64" s="337" t="str">
        <f ca="1">VLOOKUP(C64,Postupy!$A$3:$C$34,3,0)</f>
        <v/>
      </c>
      <c r="B64" s="338"/>
      <c r="C64" s="339">
        <v>31</v>
      </c>
      <c r="D64" s="419" t="str">
        <f ca="1">VLOOKUP(C64,Postupy!$A$3:$BG$34,59,0)</f>
        <v xml:space="preserve"> - </v>
      </c>
      <c r="E64" s="341">
        <f ca="1">VLOOKUP(C64,Postupy!$A$3:$BH$34,60,0)</f>
        <v>0</v>
      </c>
      <c r="F64" s="378"/>
      <c r="G64" s="374"/>
      <c r="H64" s="395"/>
      <c r="I64" s="410"/>
      <c r="J64" s="343"/>
      <c r="K64" s="343"/>
      <c r="L64" s="396"/>
      <c r="M64" s="343"/>
      <c r="N64" s="343"/>
      <c r="O64" s="343"/>
      <c r="P64" s="343"/>
      <c r="Q64" s="343"/>
      <c r="R64" s="343"/>
      <c r="S64" s="343"/>
      <c r="T64" s="343"/>
      <c r="U64" s="343"/>
      <c r="V64" s="343"/>
      <c r="W64" s="358"/>
      <c r="X64" s="279"/>
      <c r="Y64" s="279"/>
      <c r="Z64" s="279"/>
      <c r="AA64" s="279"/>
      <c r="AB64" s="279"/>
      <c r="AC64" s="279"/>
      <c r="AD64" s="279"/>
      <c r="AE64" s="279"/>
      <c r="AF64" s="279"/>
      <c r="AG64" s="279"/>
    </row>
    <row r="65" spans="1:33" ht="18">
      <c r="A65" s="337" t="str">
        <f ca="1">VLOOKUP(C65,Postupy!$A$3:$C$34,3,0)</f>
        <v>B1</v>
      </c>
      <c r="B65" s="338"/>
      <c r="C65" s="347">
        <v>2</v>
      </c>
      <c r="D65" s="419" t="str">
        <f ca="1">VLOOKUP(C65,Postupy!$A$3:$BG$34,59,0)</f>
        <v xml:space="preserve"> -</v>
      </c>
      <c r="E65" s="349">
        <f ca="1">VLOOKUP(C65,Postupy!$A$3:$BH$34,60,0)</f>
        <v>0</v>
      </c>
      <c r="F65" s="379"/>
      <c r="G65" s="343"/>
      <c r="H65" s="358"/>
      <c r="I65" s="343"/>
      <c r="J65" s="343"/>
      <c r="K65" s="343"/>
      <c r="L65" s="398"/>
      <c r="M65" s="343"/>
      <c r="N65" s="343"/>
      <c r="O65" s="343"/>
      <c r="P65" s="343"/>
      <c r="Q65" s="343"/>
      <c r="R65" s="343"/>
      <c r="S65" s="343"/>
      <c r="T65" s="343"/>
      <c r="U65" s="343"/>
      <c r="V65" s="343"/>
      <c r="W65" s="358"/>
      <c r="X65" s="279"/>
      <c r="Y65" s="279"/>
      <c r="Z65" s="279"/>
      <c r="AA65" s="279"/>
      <c r="AB65" s="279"/>
      <c r="AC65" s="279"/>
      <c r="AD65" s="279"/>
      <c r="AE65" s="279"/>
      <c r="AF65" s="279"/>
      <c r="AG65" s="279"/>
    </row>
    <row r="66" spans="1:33">
      <c r="A66" s="353"/>
      <c r="B66" s="408"/>
      <c r="C66" s="354">
        <f>C64+C65</f>
        <v>33</v>
      </c>
      <c r="D66" s="355"/>
      <c r="E66" s="391"/>
      <c r="F66" s="366">
        <f>C62+C66</f>
        <v>66</v>
      </c>
      <c r="G66" s="343"/>
      <c r="H66" s="343"/>
      <c r="I66" s="343"/>
      <c r="J66" s="343"/>
      <c r="K66" s="343"/>
      <c r="L66" s="343"/>
      <c r="M66" s="343"/>
      <c r="N66" s="343"/>
      <c r="O66" s="343"/>
      <c r="P66" s="343"/>
      <c r="Q66" s="343"/>
      <c r="R66" s="343"/>
      <c r="S66" s="343"/>
      <c r="T66" s="343"/>
      <c r="U66" s="343"/>
      <c r="V66" s="343"/>
      <c r="W66" s="358"/>
      <c r="X66" s="279"/>
      <c r="Y66" s="279"/>
      <c r="Z66" s="279"/>
      <c r="AA66" s="279"/>
      <c r="AB66" s="279"/>
      <c r="AC66" s="279"/>
      <c r="AD66" s="279"/>
      <c r="AE66" s="279"/>
      <c r="AF66" s="279"/>
      <c r="AG66" s="279"/>
    </row>
    <row r="67" spans="1:33" ht="18">
      <c r="A67" s="359"/>
      <c r="B67" s="408"/>
      <c r="C67" s="361"/>
      <c r="D67" s="355"/>
      <c r="E67" s="418"/>
      <c r="F67" s="366"/>
      <c r="G67" s="391"/>
      <c r="H67" s="343"/>
      <c r="I67" s="391"/>
      <c r="J67" s="343"/>
      <c r="K67" s="343"/>
      <c r="L67" s="343"/>
      <c r="M67" s="343"/>
      <c r="N67" s="343"/>
      <c r="O67" s="343"/>
      <c r="P67" s="343"/>
      <c r="Q67" s="343"/>
      <c r="R67" s="343"/>
      <c r="S67" s="343"/>
      <c r="T67" s="343"/>
      <c r="U67" s="343"/>
      <c r="V67" s="343"/>
      <c r="W67" s="358"/>
      <c r="X67" s="279"/>
      <c r="Y67" s="279"/>
      <c r="Z67" s="279"/>
      <c r="AA67" s="279"/>
      <c r="AB67" s="279"/>
      <c r="AC67" s="279"/>
      <c r="AD67" s="279"/>
      <c r="AE67" s="279"/>
      <c r="AF67" s="279"/>
      <c r="AG67" s="279"/>
    </row>
    <row r="68" spans="1:33">
      <c r="A68" s="279"/>
      <c r="B68" s="366"/>
      <c r="C68" s="408"/>
      <c r="D68" s="391"/>
      <c r="E68" s="391"/>
      <c r="F68" s="366"/>
      <c r="G68" s="343"/>
      <c r="H68" s="358"/>
      <c r="I68" s="343"/>
      <c r="J68" s="343"/>
      <c r="K68" s="343"/>
      <c r="L68" s="343"/>
      <c r="M68" s="343"/>
      <c r="N68" s="343"/>
      <c r="O68" s="343"/>
      <c r="P68" s="343"/>
      <c r="Q68" s="343"/>
      <c r="R68" s="343"/>
      <c r="S68" s="343"/>
      <c r="T68" s="343"/>
      <c r="U68" s="343"/>
      <c r="V68" s="343"/>
      <c r="W68" s="358"/>
      <c r="X68" s="279"/>
      <c r="Y68" s="279"/>
      <c r="Z68" s="279"/>
      <c r="AA68" s="279"/>
      <c r="AB68" s="279"/>
      <c r="AC68" s="279"/>
      <c r="AD68" s="279"/>
      <c r="AE68" s="279"/>
      <c r="AF68" s="279"/>
      <c r="AG68" s="279"/>
    </row>
    <row r="69" spans="1:33">
      <c r="A69" s="279"/>
      <c r="B69" s="366"/>
      <c r="C69" s="408"/>
      <c r="D69" s="391"/>
      <c r="E69" s="391"/>
      <c r="F69" s="366"/>
      <c r="G69" s="343"/>
      <c r="H69" s="358"/>
      <c r="I69" s="343"/>
      <c r="J69" s="343"/>
      <c r="K69" s="343"/>
      <c r="L69" s="343"/>
      <c r="M69" s="343"/>
      <c r="N69" s="343"/>
      <c r="O69" s="343"/>
      <c r="P69" s="343"/>
      <c r="Q69" s="343"/>
      <c r="R69" s="343"/>
      <c r="S69" s="343"/>
      <c r="T69" s="343"/>
      <c r="U69" s="343"/>
      <c r="V69" s="343"/>
      <c r="W69" s="358"/>
      <c r="X69" s="279"/>
      <c r="Y69" s="279"/>
      <c r="Z69" s="279"/>
      <c r="AA69" s="279"/>
      <c r="AB69" s="279"/>
      <c r="AC69" s="279"/>
      <c r="AD69" s="279"/>
      <c r="AE69" s="279"/>
      <c r="AF69" s="279"/>
      <c r="AG69" s="279"/>
    </row>
    <row r="70" spans="1:33">
      <c r="A70" s="279"/>
      <c r="B70" s="366"/>
      <c r="C70" s="408"/>
      <c r="D70" s="391"/>
      <c r="E70" s="391"/>
      <c r="F70" s="366"/>
      <c r="G70" s="343"/>
      <c r="H70" s="358"/>
      <c r="I70" s="343"/>
      <c r="J70" s="343"/>
      <c r="K70" s="343"/>
      <c r="L70" s="343"/>
      <c r="M70" s="343"/>
      <c r="N70" s="343"/>
      <c r="O70" s="343"/>
      <c r="P70" s="343"/>
      <c r="Q70" s="343"/>
      <c r="R70" s="343"/>
      <c r="S70" s="343"/>
      <c r="T70" s="343"/>
      <c r="U70" s="343"/>
      <c r="V70" s="343"/>
      <c r="W70" s="358"/>
      <c r="X70" s="279"/>
      <c r="Y70" s="279"/>
      <c r="Z70" s="279"/>
      <c r="AA70" s="279"/>
      <c r="AB70" s="279"/>
      <c r="AC70" s="279"/>
      <c r="AD70" s="279"/>
      <c r="AE70" s="279"/>
      <c r="AF70" s="279"/>
      <c r="AG70" s="279"/>
    </row>
    <row r="71" spans="1:33">
      <c r="A71" s="279"/>
      <c r="B71" s="366"/>
      <c r="C71" s="408"/>
      <c r="D71" s="391"/>
      <c r="E71" s="391"/>
      <c r="F71" s="366"/>
      <c r="G71" s="343"/>
      <c r="H71" s="358"/>
      <c r="I71" s="343"/>
      <c r="J71" s="343"/>
      <c r="K71" s="343"/>
      <c r="L71" s="343"/>
      <c r="M71" s="343"/>
      <c r="N71" s="343"/>
      <c r="O71" s="343"/>
      <c r="P71" s="343"/>
      <c r="Q71" s="343"/>
      <c r="R71" s="343"/>
      <c r="S71" s="343"/>
      <c r="T71" s="343"/>
      <c r="U71" s="343"/>
      <c r="V71" s="343"/>
      <c r="W71" s="358"/>
      <c r="X71" s="279"/>
      <c r="Y71" s="279"/>
      <c r="Z71" s="279"/>
      <c r="AA71" s="279"/>
      <c r="AB71" s="279"/>
      <c r="AC71" s="279"/>
      <c r="AD71" s="279"/>
      <c r="AE71" s="279"/>
      <c r="AF71" s="279"/>
      <c r="AG71" s="279"/>
    </row>
    <row r="72" spans="1:33">
      <c r="A72" s="279"/>
      <c r="B72" s="366"/>
      <c r="C72" s="408"/>
      <c r="D72" s="391"/>
      <c r="E72" s="391"/>
      <c r="F72" s="366"/>
      <c r="G72" s="343"/>
      <c r="H72" s="358"/>
      <c r="I72" s="343"/>
      <c r="J72" s="343"/>
      <c r="K72" s="343"/>
      <c r="L72" s="343"/>
      <c r="M72" s="343"/>
      <c r="N72" s="343"/>
      <c r="O72" s="343"/>
      <c r="P72" s="343"/>
      <c r="Q72" s="343"/>
      <c r="R72" s="343"/>
      <c r="S72" s="343"/>
      <c r="T72" s="343"/>
      <c r="U72" s="343"/>
      <c r="V72" s="343"/>
      <c r="W72" s="358"/>
      <c r="X72" s="279"/>
      <c r="Y72" s="279"/>
      <c r="Z72" s="279"/>
      <c r="AA72" s="279"/>
      <c r="AB72" s="279"/>
      <c r="AC72" s="279"/>
      <c r="AD72" s="279"/>
      <c r="AE72" s="279"/>
      <c r="AF72" s="279"/>
      <c r="AG72" s="279"/>
    </row>
    <row r="73" spans="1:33">
      <c r="A73" s="279"/>
      <c r="B73" s="366"/>
      <c r="C73" s="408"/>
      <c r="D73" s="391"/>
      <c r="E73" s="391"/>
      <c r="F73" s="366"/>
      <c r="G73" s="343"/>
      <c r="H73" s="358"/>
      <c r="I73" s="343"/>
      <c r="J73" s="343"/>
      <c r="K73" s="343"/>
      <c r="L73" s="343"/>
      <c r="M73" s="343"/>
      <c r="N73" s="343"/>
      <c r="O73" s="343"/>
      <c r="P73" s="343"/>
      <c r="Q73" s="343"/>
      <c r="R73" s="343"/>
      <c r="S73" s="343"/>
      <c r="T73" s="343"/>
      <c r="U73" s="343"/>
      <c r="V73" s="343"/>
      <c r="W73" s="358"/>
      <c r="X73" s="279"/>
      <c r="Y73" s="279"/>
      <c r="Z73" s="279"/>
      <c r="AA73" s="279"/>
      <c r="AB73" s="279"/>
      <c r="AC73" s="279"/>
      <c r="AD73" s="279"/>
      <c r="AE73" s="279"/>
      <c r="AF73" s="279"/>
      <c r="AG73" s="279"/>
    </row>
    <row r="74" spans="1:33">
      <c r="A74" s="279"/>
      <c r="B74" s="366"/>
      <c r="C74" s="408"/>
      <c r="D74" s="391"/>
      <c r="E74" s="391"/>
      <c r="F74" s="366"/>
      <c r="G74" s="343"/>
      <c r="H74" s="358"/>
      <c r="I74" s="343"/>
      <c r="J74" s="343"/>
      <c r="K74" s="343"/>
      <c r="L74" s="343"/>
      <c r="M74" s="343"/>
      <c r="N74" s="343"/>
      <c r="O74" s="343"/>
      <c r="P74" s="343"/>
      <c r="Q74" s="343"/>
      <c r="R74" s="343"/>
      <c r="S74" s="343"/>
      <c r="T74" s="343"/>
      <c r="U74" s="343"/>
      <c r="V74" s="343"/>
      <c r="W74" s="358"/>
      <c r="X74" s="279"/>
      <c r="Y74" s="279"/>
      <c r="Z74" s="279"/>
      <c r="AA74" s="279"/>
      <c r="AB74" s="279"/>
      <c r="AC74" s="279"/>
      <c r="AD74" s="279"/>
      <c r="AE74" s="279"/>
      <c r="AF74" s="279"/>
      <c r="AG74" s="279"/>
    </row>
    <row r="75" spans="1:33">
      <c r="A75" s="279"/>
      <c r="B75" s="366"/>
      <c r="C75" s="408"/>
      <c r="D75" s="391"/>
      <c r="E75" s="391"/>
      <c r="F75" s="366"/>
      <c r="G75" s="343"/>
      <c r="H75" s="358"/>
      <c r="I75" s="343"/>
      <c r="J75" s="343"/>
      <c r="K75" s="343"/>
      <c r="L75" s="343"/>
      <c r="M75" s="343"/>
      <c r="N75" s="343"/>
      <c r="O75" s="343"/>
      <c r="P75" s="343"/>
      <c r="Q75" s="343"/>
      <c r="R75" s="343"/>
      <c r="S75" s="343"/>
      <c r="T75" s="343"/>
      <c r="U75" s="343"/>
      <c r="V75" s="343"/>
      <c r="W75" s="358"/>
      <c r="X75" s="279"/>
      <c r="Y75" s="279"/>
      <c r="Z75" s="279"/>
      <c r="AA75" s="279"/>
      <c r="AB75" s="279"/>
      <c r="AC75" s="279"/>
      <c r="AD75" s="279"/>
      <c r="AE75" s="279"/>
      <c r="AF75" s="279"/>
      <c r="AG75" s="279"/>
    </row>
    <row r="76" spans="1:33">
      <c r="A76" s="279"/>
      <c r="B76" s="366"/>
      <c r="C76" s="408"/>
      <c r="D76" s="391"/>
      <c r="E76" s="391"/>
      <c r="F76" s="366"/>
      <c r="G76" s="343"/>
      <c r="H76" s="358"/>
      <c r="I76" s="343"/>
      <c r="J76" s="343"/>
      <c r="K76" s="343"/>
      <c r="L76" s="343"/>
      <c r="M76" s="343"/>
      <c r="N76" s="343"/>
      <c r="O76" s="343"/>
      <c r="P76" s="343"/>
      <c r="Q76" s="343"/>
      <c r="R76" s="343"/>
      <c r="S76" s="343"/>
      <c r="T76" s="343"/>
      <c r="U76" s="343"/>
      <c r="V76" s="343"/>
      <c r="W76" s="358"/>
      <c r="X76" s="279"/>
      <c r="Y76" s="279"/>
      <c r="Z76" s="279"/>
      <c r="AA76" s="279"/>
      <c r="AB76" s="279"/>
      <c r="AC76" s="279"/>
      <c r="AD76" s="279"/>
      <c r="AE76" s="279"/>
      <c r="AF76" s="279"/>
      <c r="AG76" s="279"/>
    </row>
    <row r="77" spans="1:33">
      <c r="A77" s="279"/>
      <c r="B77" s="366"/>
      <c r="C77" s="408"/>
      <c r="D77" s="391"/>
      <c r="E77" s="391"/>
      <c r="F77" s="366"/>
      <c r="G77" s="343"/>
      <c r="H77" s="358"/>
      <c r="I77" s="343"/>
      <c r="J77" s="343"/>
      <c r="K77" s="343"/>
      <c r="L77" s="343"/>
      <c r="M77" s="343"/>
      <c r="N77" s="343"/>
      <c r="O77" s="343"/>
      <c r="P77" s="343"/>
      <c r="Q77" s="343"/>
      <c r="R77" s="343"/>
      <c r="S77" s="343"/>
      <c r="T77" s="343"/>
      <c r="U77" s="343"/>
      <c r="V77" s="343"/>
      <c r="W77" s="358"/>
      <c r="X77" s="279"/>
      <c r="Y77" s="279"/>
      <c r="Z77" s="279"/>
      <c r="AA77" s="279"/>
      <c r="AB77" s="279"/>
      <c r="AC77" s="279"/>
      <c r="AD77" s="279"/>
      <c r="AE77" s="279"/>
      <c r="AF77" s="279"/>
      <c r="AG77" s="279"/>
    </row>
    <row r="78" spans="1:33">
      <c r="A78" s="279"/>
      <c r="B78" s="366"/>
      <c r="C78" s="408"/>
      <c r="D78" s="391"/>
      <c r="E78" s="391"/>
      <c r="F78" s="366"/>
      <c r="G78" s="343"/>
      <c r="H78" s="358"/>
      <c r="I78" s="343"/>
      <c r="J78" s="343"/>
      <c r="K78" s="343"/>
      <c r="L78" s="343"/>
      <c r="M78" s="343"/>
      <c r="N78" s="343"/>
      <c r="O78" s="343"/>
      <c r="P78" s="343"/>
      <c r="Q78" s="343"/>
      <c r="R78" s="343"/>
      <c r="S78" s="343"/>
      <c r="T78" s="343"/>
      <c r="U78" s="343"/>
      <c r="V78" s="343"/>
      <c r="W78" s="358"/>
      <c r="X78" s="279"/>
      <c r="Y78" s="279"/>
      <c r="Z78" s="279"/>
      <c r="AA78" s="279"/>
      <c r="AB78" s="279"/>
      <c r="AC78" s="279"/>
      <c r="AD78" s="279"/>
      <c r="AE78" s="279"/>
      <c r="AF78" s="279"/>
      <c r="AG78" s="279"/>
    </row>
    <row r="79" spans="1:33">
      <c r="A79" s="279"/>
      <c r="B79" s="366"/>
      <c r="C79" s="408"/>
      <c r="D79" s="391"/>
      <c r="E79" s="391"/>
      <c r="F79" s="366"/>
      <c r="G79" s="343"/>
      <c r="H79" s="358"/>
      <c r="I79" s="343"/>
      <c r="J79" s="343"/>
      <c r="K79" s="343"/>
      <c r="L79" s="343"/>
      <c r="M79" s="343"/>
      <c r="N79" s="343"/>
      <c r="O79" s="343"/>
      <c r="P79" s="343"/>
      <c r="Q79" s="343"/>
      <c r="R79" s="343"/>
      <c r="S79" s="343"/>
      <c r="T79" s="343"/>
      <c r="U79" s="343"/>
      <c r="V79" s="343"/>
      <c r="W79" s="358"/>
      <c r="X79" s="279"/>
      <c r="Y79" s="279"/>
      <c r="Z79" s="279"/>
      <c r="AA79" s="279"/>
      <c r="AB79" s="279"/>
      <c r="AC79" s="279"/>
      <c r="AD79" s="279"/>
      <c r="AE79" s="279"/>
      <c r="AF79" s="279"/>
      <c r="AG79" s="279"/>
    </row>
    <row r="80" spans="1:33">
      <c r="A80" s="279"/>
      <c r="B80" s="366"/>
      <c r="C80" s="408"/>
      <c r="D80" s="391"/>
      <c r="E80" s="391"/>
      <c r="F80" s="366"/>
      <c r="G80" s="343"/>
      <c r="H80" s="358"/>
      <c r="I80" s="343"/>
      <c r="J80" s="343"/>
      <c r="K80" s="343"/>
      <c r="L80" s="343"/>
      <c r="M80" s="343"/>
      <c r="N80" s="343"/>
      <c r="O80" s="343"/>
      <c r="P80" s="343"/>
      <c r="Q80" s="343"/>
      <c r="R80" s="343"/>
      <c r="S80" s="343"/>
      <c r="T80" s="343"/>
      <c r="U80" s="343"/>
      <c r="V80" s="343"/>
      <c r="W80" s="358"/>
      <c r="X80" s="279"/>
      <c r="Y80" s="279"/>
      <c r="Z80" s="279"/>
      <c r="AA80" s="279"/>
      <c r="AB80" s="279"/>
      <c r="AC80" s="279"/>
      <c r="AD80" s="279"/>
      <c r="AE80" s="279"/>
      <c r="AF80" s="279"/>
      <c r="AG80" s="279"/>
    </row>
    <row r="81" spans="1:33">
      <c r="A81" s="279"/>
      <c r="B81" s="366"/>
      <c r="C81" s="408"/>
      <c r="D81" s="391"/>
      <c r="E81" s="391"/>
      <c r="F81" s="366"/>
      <c r="G81" s="343"/>
      <c r="H81" s="358"/>
      <c r="I81" s="343"/>
      <c r="J81" s="343"/>
      <c r="K81" s="343"/>
      <c r="L81" s="343"/>
      <c r="M81" s="343"/>
      <c r="N81" s="343"/>
      <c r="O81" s="343"/>
      <c r="P81" s="343"/>
      <c r="Q81" s="343"/>
      <c r="R81" s="343"/>
      <c r="S81" s="343"/>
      <c r="T81" s="343"/>
      <c r="U81" s="343"/>
      <c r="V81" s="343"/>
      <c r="W81" s="358"/>
      <c r="X81" s="279"/>
      <c r="Y81" s="279"/>
      <c r="Z81" s="279"/>
      <c r="AA81" s="279"/>
      <c r="AB81" s="279"/>
      <c r="AC81" s="279"/>
      <c r="AD81" s="279"/>
      <c r="AE81" s="279"/>
      <c r="AF81" s="279"/>
      <c r="AG81" s="279"/>
    </row>
    <row r="82" spans="1:33">
      <c r="A82" s="279"/>
      <c r="B82" s="366"/>
      <c r="C82" s="408"/>
      <c r="D82" s="391"/>
      <c r="E82" s="391"/>
      <c r="F82" s="366"/>
      <c r="G82" s="343"/>
      <c r="H82" s="358"/>
      <c r="I82" s="343"/>
      <c r="J82" s="343"/>
      <c r="K82" s="343"/>
      <c r="L82" s="343"/>
      <c r="M82" s="343"/>
      <c r="N82" s="343"/>
      <c r="O82" s="343"/>
      <c r="P82" s="343"/>
      <c r="Q82" s="343"/>
      <c r="R82" s="343"/>
      <c r="S82" s="343"/>
      <c r="T82" s="343"/>
      <c r="U82" s="343"/>
      <c r="V82" s="343"/>
      <c r="W82" s="358"/>
      <c r="X82" s="279"/>
      <c r="Y82" s="279"/>
      <c r="Z82" s="279"/>
      <c r="AA82" s="279"/>
      <c r="AB82" s="279"/>
      <c r="AC82" s="279"/>
      <c r="AD82" s="279"/>
      <c r="AE82" s="279"/>
      <c r="AF82" s="279"/>
      <c r="AG82" s="279"/>
    </row>
    <row r="83" spans="1:33">
      <c r="A83" s="279"/>
      <c r="B83" s="366"/>
      <c r="C83" s="408"/>
      <c r="D83" s="391"/>
      <c r="E83" s="391"/>
      <c r="F83" s="366"/>
      <c r="G83" s="343"/>
      <c r="H83" s="358"/>
      <c r="I83" s="343"/>
      <c r="J83" s="343"/>
      <c r="K83" s="343"/>
      <c r="L83" s="343"/>
      <c r="M83" s="343"/>
      <c r="N83" s="343"/>
      <c r="O83" s="343"/>
      <c r="P83" s="343"/>
      <c r="Q83" s="343"/>
      <c r="R83" s="343"/>
      <c r="S83" s="343"/>
      <c r="T83" s="343"/>
      <c r="U83" s="343"/>
      <c r="V83" s="343"/>
      <c r="W83" s="358"/>
      <c r="X83" s="279"/>
      <c r="Y83" s="279"/>
      <c r="Z83" s="279"/>
      <c r="AA83" s="279"/>
      <c r="AB83" s="279"/>
      <c r="AC83" s="279"/>
      <c r="AD83" s="279"/>
      <c r="AE83" s="279"/>
      <c r="AF83" s="279"/>
      <c r="AG83" s="279"/>
    </row>
    <row r="84" spans="1:33">
      <c r="A84" s="279"/>
      <c r="B84" s="366"/>
      <c r="C84" s="408"/>
      <c r="D84" s="391"/>
      <c r="E84" s="391"/>
      <c r="F84" s="366"/>
      <c r="G84" s="343"/>
      <c r="H84" s="358"/>
      <c r="I84" s="343"/>
      <c r="J84" s="343"/>
      <c r="K84" s="343"/>
      <c r="L84" s="343"/>
      <c r="M84" s="343"/>
      <c r="N84" s="343"/>
      <c r="O84" s="343"/>
      <c r="P84" s="343"/>
      <c r="Q84" s="343"/>
      <c r="R84" s="343"/>
      <c r="S84" s="343"/>
      <c r="T84" s="343"/>
      <c r="U84" s="343"/>
      <c r="V84" s="343"/>
      <c r="W84" s="358"/>
      <c r="X84" s="279"/>
      <c r="Y84" s="279"/>
      <c r="Z84" s="279"/>
      <c r="AA84" s="279"/>
      <c r="AB84" s="279"/>
      <c r="AC84" s="279"/>
      <c r="AD84" s="279"/>
      <c r="AE84" s="279"/>
      <c r="AF84" s="279"/>
      <c r="AG84" s="279"/>
    </row>
    <row r="85" spans="1:33">
      <c r="A85" s="279"/>
      <c r="B85" s="366"/>
      <c r="C85" s="408"/>
      <c r="D85" s="391"/>
      <c r="E85" s="391"/>
      <c r="F85" s="366"/>
      <c r="G85" s="343"/>
      <c r="H85" s="358"/>
      <c r="I85" s="343"/>
      <c r="J85" s="343"/>
      <c r="K85" s="343"/>
      <c r="L85" s="343"/>
      <c r="M85" s="343"/>
      <c r="N85" s="343"/>
      <c r="O85" s="343"/>
      <c r="P85" s="343"/>
      <c r="Q85" s="343"/>
      <c r="R85" s="343"/>
      <c r="S85" s="343"/>
      <c r="T85" s="343"/>
      <c r="U85" s="343"/>
      <c r="V85" s="343"/>
      <c r="W85" s="358"/>
      <c r="X85" s="279"/>
      <c r="Y85" s="279"/>
      <c r="Z85" s="279"/>
      <c r="AA85" s="279"/>
      <c r="AB85" s="279"/>
      <c r="AC85" s="279"/>
      <c r="AD85" s="279"/>
      <c r="AE85" s="279"/>
      <c r="AF85" s="279"/>
      <c r="AG85" s="279"/>
    </row>
    <row r="86" spans="1:33">
      <c r="A86" s="279"/>
      <c r="B86" s="366"/>
      <c r="C86" s="408"/>
      <c r="D86" s="391"/>
      <c r="E86" s="391"/>
      <c r="F86" s="366"/>
      <c r="G86" s="343"/>
      <c r="H86" s="358"/>
      <c r="I86" s="343"/>
      <c r="J86" s="343"/>
      <c r="K86" s="343"/>
      <c r="L86" s="343"/>
      <c r="M86" s="343"/>
      <c r="N86" s="343"/>
      <c r="O86" s="343"/>
      <c r="P86" s="343"/>
      <c r="Q86" s="343"/>
      <c r="R86" s="343"/>
      <c r="S86" s="343"/>
      <c r="T86" s="343"/>
      <c r="U86" s="343"/>
      <c r="V86" s="343"/>
      <c r="W86" s="358"/>
      <c r="X86" s="279"/>
      <c r="Y86" s="279"/>
      <c r="Z86" s="279"/>
      <c r="AA86" s="279"/>
      <c r="AB86" s="279"/>
      <c r="AC86" s="279"/>
      <c r="AD86" s="279"/>
      <c r="AE86" s="279"/>
      <c r="AF86" s="279"/>
      <c r="AG86" s="279"/>
    </row>
    <row r="87" spans="1:33">
      <c r="A87" s="279"/>
      <c r="B87" s="366"/>
      <c r="C87" s="408"/>
      <c r="D87" s="391"/>
      <c r="E87" s="391"/>
      <c r="F87" s="366"/>
      <c r="G87" s="343"/>
      <c r="H87" s="358"/>
      <c r="I87" s="343"/>
      <c r="J87" s="343"/>
      <c r="K87" s="343"/>
      <c r="L87" s="343"/>
      <c r="M87" s="343"/>
      <c r="N87" s="343"/>
      <c r="O87" s="343"/>
      <c r="P87" s="343"/>
      <c r="Q87" s="343"/>
      <c r="R87" s="343"/>
      <c r="S87" s="343"/>
      <c r="T87" s="343"/>
      <c r="U87" s="343"/>
      <c r="V87" s="343"/>
      <c r="W87" s="358"/>
      <c r="X87" s="279"/>
      <c r="Y87" s="279"/>
      <c r="Z87" s="279"/>
      <c r="AA87" s="279"/>
      <c r="AB87" s="279"/>
      <c r="AC87" s="279"/>
      <c r="AD87" s="279"/>
      <c r="AE87" s="279"/>
      <c r="AF87" s="279"/>
      <c r="AG87" s="279"/>
    </row>
    <row r="88" spans="1:33">
      <c r="A88" s="279"/>
      <c r="B88" s="366"/>
      <c r="C88" s="408"/>
      <c r="D88" s="391"/>
      <c r="E88" s="391"/>
      <c r="F88" s="366"/>
      <c r="G88" s="343"/>
      <c r="H88" s="358"/>
      <c r="I88" s="343"/>
      <c r="J88" s="343"/>
      <c r="K88" s="343"/>
      <c r="L88" s="343"/>
      <c r="M88" s="343"/>
      <c r="N88" s="343"/>
      <c r="O88" s="343"/>
      <c r="P88" s="343"/>
      <c r="Q88" s="343"/>
      <c r="R88" s="343"/>
      <c r="S88" s="343"/>
      <c r="T88" s="343"/>
      <c r="U88" s="343"/>
      <c r="V88" s="343"/>
      <c r="W88" s="358"/>
      <c r="X88" s="279"/>
      <c r="Y88" s="279"/>
      <c r="Z88" s="279"/>
      <c r="AA88" s="279"/>
      <c r="AB88" s="279"/>
      <c r="AC88" s="279"/>
      <c r="AD88" s="279"/>
      <c r="AE88" s="279"/>
      <c r="AF88" s="279"/>
      <c r="AG88" s="279"/>
    </row>
    <row r="89" spans="1:33">
      <c r="A89" s="279"/>
      <c r="B89" s="366"/>
      <c r="C89" s="408"/>
      <c r="D89" s="391"/>
      <c r="E89" s="391"/>
      <c r="F89" s="366"/>
      <c r="G89" s="343"/>
      <c r="H89" s="358"/>
      <c r="I89" s="343"/>
      <c r="J89" s="343"/>
      <c r="K89" s="343"/>
      <c r="L89" s="343"/>
      <c r="M89" s="343"/>
      <c r="N89" s="343"/>
      <c r="O89" s="343"/>
      <c r="P89" s="343"/>
      <c r="Q89" s="343"/>
      <c r="R89" s="343"/>
      <c r="S89" s="343"/>
      <c r="T89" s="343"/>
      <c r="U89" s="343"/>
      <c r="V89" s="343"/>
      <c r="W89" s="358"/>
      <c r="X89" s="279"/>
      <c r="Y89" s="279"/>
      <c r="Z89" s="279"/>
      <c r="AA89" s="279"/>
      <c r="AB89" s="279"/>
      <c r="AC89" s="279"/>
      <c r="AD89" s="279"/>
      <c r="AE89" s="279"/>
      <c r="AF89" s="279"/>
      <c r="AG89" s="279"/>
    </row>
    <row r="90" spans="1:33">
      <c r="A90" s="279"/>
      <c r="B90" s="366"/>
      <c r="C90" s="408"/>
      <c r="D90" s="391"/>
      <c r="E90" s="391"/>
      <c r="F90" s="366"/>
      <c r="G90" s="343"/>
      <c r="H90" s="358"/>
      <c r="I90" s="343"/>
      <c r="J90" s="343"/>
      <c r="K90" s="343"/>
      <c r="L90" s="343"/>
      <c r="M90" s="343"/>
      <c r="N90" s="343"/>
      <c r="O90" s="343"/>
      <c r="P90" s="343"/>
      <c r="Q90" s="343"/>
      <c r="R90" s="343"/>
      <c r="S90" s="343"/>
      <c r="T90" s="343"/>
      <c r="U90" s="343"/>
      <c r="V90" s="343"/>
      <c r="W90" s="358"/>
      <c r="X90" s="279"/>
      <c r="Y90" s="279"/>
      <c r="Z90" s="279"/>
      <c r="AA90" s="279"/>
      <c r="AB90" s="279"/>
      <c r="AC90" s="279"/>
      <c r="AD90" s="279"/>
      <c r="AE90" s="279"/>
      <c r="AF90" s="279"/>
      <c r="AG90" s="279"/>
    </row>
    <row r="91" spans="1:33">
      <c r="A91" s="279"/>
      <c r="B91" s="366"/>
      <c r="C91" s="408"/>
      <c r="D91" s="391"/>
      <c r="E91" s="391"/>
      <c r="F91" s="366"/>
      <c r="G91" s="343"/>
      <c r="H91" s="358"/>
      <c r="I91" s="343"/>
      <c r="J91" s="343"/>
      <c r="K91" s="343"/>
      <c r="L91" s="343"/>
      <c r="M91" s="343"/>
      <c r="N91" s="343"/>
      <c r="O91" s="343"/>
      <c r="P91" s="343"/>
      <c r="Q91" s="343"/>
      <c r="R91" s="343"/>
      <c r="S91" s="343"/>
      <c r="T91" s="343"/>
      <c r="U91" s="343"/>
      <c r="V91" s="343"/>
      <c r="W91" s="358"/>
      <c r="X91" s="279"/>
      <c r="Y91" s="279"/>
      <c r="Z91" s="279"/>
      <c r="AA91" s="279"/>
      <c r="AB91" s="279"/>
      <c r="AC91" s="279"/>
      <c r="AD91" s="279"/>
      <c r="AE91" s="279"/>
      <c r="AF91" s="279"/>
      <c r="AG91" s="279"/>
    </row>
    <row r="92" spans="1:33">
      <c r="A92" s="279"/>
      <c r="B92" s="366"/>
      <c r="C92" s="408"/>
      <c r="D92" s="391"/>
      <c r="E92" s="391"/>
      <c r="F92" s="366"/>
      <c r="G92" s="343"/>
      <c r="H92" s="358"/>
      <c r="I92" s="343"/>
      <c r="J92" s="343"/>
      <c r="K92" s="343"/>
      <c r="L92" s="343"/>
      <c r="M92" s="343"/>
      <c r="N92" s="343"/>
      <c r="O92" s="343"/>
      <c r="P92" s="343"/>
      <c r="Q92" s="343"/>
      <c r="R92" s="343"/>
      <c r="S92" s="343"/>
      <c r="T92" s="343"/>
      <c r="U92" s="343"/>
      <c r="V92" s="343"/>
      <c r="W92" s="358"/>
      <c r="X92" s="279"/>
      <c r="Y92" s="279"/>
      <c r="Z92" s="279"/>
      <c r="AA92" s="279"/>
      <c r="AB92" s="279"/>
      <c r="AC92" s="279"/>
      <c r="AD92" s="279"/>
      <c r="AE92" s="279"/>
      <c r="AF92" s="279"/>
      <c r="AG92" s="279"/>
    </row>
    <row r="93" spans="1:33">
      <c r="A93" s="279"/>
      <c r="B93" s="366"/>
      <c r="C93" s="408"/>
      <c r="D93" s="391"/>
      <c r="E93" s="391"/>
      <c r="F93" s="366"/>
      <c r="G93" s="343"/>
      <c r="H93" s="358"/>
      <c r="I93" s="343"/>
      <c r="J93" s="343"/>
      <c r="K93" s="343"/>
      <c r="L93" s="343"/>
      <c r="M93" s="343"/>
      <c r="N93" s="343"/>
      <c r="O93" s="343"/>
      <c r="P93" s="343"/>
      <c r="Q93" s="343"/>
      <c r="R93" s="343"/>
      <c r="S93" s="343"/>
      <c r="T93" s="343"/>
      <c r="U93" s="343"/>
      <c r="V93" s="343"/>
      <c r="W93" s="358"/>
      <c r="X93" s="279"/>
      <c r="Y93" s="279"/>
      <c r="Z93" s="279"/>
      <c r="AA93" s="279"/>
      <c r="AB93" s="279"/>
      <c r="AC93" s="279"/>
      <c r="AD93" s="279"/>
      <c r="AE93" s="279"/>
      <c r="AF93" s="279"/>
      <c r="AG93" s="279"/>
    </row>
  </sheetData>
  <sheetProtection password="CA1B" sheet="1" formatCells="0" formatColumns="0" formatRows="0"/>
  <conditionalFormatting sqref="H62 H6 P50 D56 D4 D8 D12 D16 D20 D24 D28 D32 D36 D40 D44 D48 D52 D60 H14 H22 H30 H38 H46 H54 L42 L26 L10 P18 L58 T34 T56 D64">
    <cfRule type="expression" dxfId="41" priority="2">
      <formula>IF(N(E4)&gt;N(E5),1,0)</formula>
    </cfRule>
  </conditionalFormatting>
  <conditionalFormatting sqref="C4 K26 G6 C8 C12 C16 C20 C24 C28 C32 C36 C40 C44 C48 C52 C56 C60 C64 G14 G22 G30 G38 G46 G54 G62 K58 K42 K10 O18 O50 S56">
    <cfRule type="expression" dxfId="40" priority="3">
      <formula>IF(N(E4)&gt;N(E5),1,0)</formula>
    </cfRule>
  </conditionalFormatting>
  <conditionalFormatting sqref="I54 I22 E64 E4 Q50 Q18 U34 E8 E12 E16 E20 E24 E28 E32 E36 E40 E44 E48 I6 I14 M58 I30 I38 I46 E52 M42 M26 E60 I62 M10 E56 U56">
    <cfRule type="expression" dxfId="39" priority="4">
      <formula>IF(N(E4)&gt;N(E5),1,0)</formula>
    </cfRule>
  </conditionalFormatting>
  <conditionalFormatting sqref="C5 K27 G7 C9 C13 C17 C21 C25 C29 C33 C37 C41 C45 C49 C53 C57 C61 C65 G15 G23 G31 G39 G47 G55 G63 K59 K43 K11 O19 O51 S35 S57">
    <cfRule type="expression" dxfId="38" priority="5">
      <formula>IF(N(E5)&gt;N(E4),1,0)</formula>
    </cfRule>
  </conditionalFormatting>
  <conditionalFormatting sqref="T57 H63 H7 T35 L59 P19 L11 L27 L43 H55 H47 H39 H31 H23 H15 P51">
    <cfRule type="expression" dxfId="37" priority="6">
      <formula>IF(N(I7)&gt;N(I6),1,0)</formula>
    </cfRule>
  </conditionalFormatting>
  <conditionalFormatting sqref="I55 I23 E65 E5 Q51 Q19 U35 E9 E13 E17 E21 E25 E29 E33 E37 E41 E45 E49 I7 I15 M59 I31 I39 I47 E53 M43 M27 E61 I63 M11 E57 U57">
    <cfRule type="expression" dxfId="36" priority="7">
      <formula>IF(N(E5)&gt;N(E4),1,0)</formula>
    </cfRule>
  </conditionalFormatting>
  <conditionalFormatting sqref="D5 D9 D13 D17 D21 D25 D29 D33 D37 D41 D45 D49 D53 D57 D61 D65">
    <cfRule type="expression" dxfId="35" priority="8">
      <formula>IF(N(E5)&gt;N(E4),1,0)</formula>
    </cfRule>
  </conditionalFormatting>
  <pageMargins left="0.78749999999999998" right="0.95" top="0.15" bottom="0.140277777777778" header="0.51180555555555496" footer="0.51180555555555496"/>
  <pageSetup paperSize="9" firstPageNumber="0" fitToWidth="2" fitToHeight="2" orientation="landscape"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1"/>
  <sheetViews>
    <sheetView zoomScaleNormal="100" workbookViewId="0">
      <pane xSplit="4" ySplit="3" topLeftCell="E4" activePane="bottomRight" state="frozen"/>
      <selection pane="topRight" activeCell="E1" sqref="E1"/>
      <selection pane="bottomLeft" activeCell="A4" sqref="A4"/>
      <selection pane="bottomRight" activeCell="E4" sqref="E4"/>
    </sheetView>
  </sheetViews>
  <sheetFormatPr defaultColWidth="8.7109375"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c r="B1" s="293"/>
      <c r="C1" s="320"/>
      <c r="D1" s="320"/>
      <c r="E1" s="320"/>
      <c r="F1" s="320"/>
      <c r="G1" s="320"/>
      <c r="H1" s="320"/>
      <c r="I1" s="320"/>
      <c r="J1" s="320"/>
      <c r="K1" s="320"/>
      <c r="L1" s="320"/>
      <c r="M1" s="320"/>
      <c r="N1" s="320"/>
      <c r="O1" s="320"/>
      <c r="P1" s="320"/>
      <c r="R1" s="279"/>
      <c r="S1" s="279"/>
      <c r="T1" s="279"/>
      <c r="U1" s="279"/>
      <c r="V1" s="325"/>
      <c r="W1" s="279"/>
      <c r="X1" s="279"/>
      <c r="Y1" s="279"/>
      <c r="Z1" s="325"/>
      <c r="AA1" s="279"/>
    </row>
    <row r="2" spans="1:30" ht="32.450000000000003" customHeight="1">
      <c r="A2" s="321"/>
      <c r="B2" s="322"/>
      <c r="C2" s="323">
        <v>16</v>
      </c>
      <c r="D2" s="324" t="s">
        <v>1744</v>
      </c>
      <c r="E2" s="325"/>
      <c r="F2" s="279"/>
      <c r="G2" s="326">
        <v>8</v>
      </c>
      <c r="H2" s="324" t="s">
        <v>1744</v>
      </c>
      <c r="I2" s="325"/>
      <c r="J2" s="279"/>
      <c r="K2" s="326">
        <v>4</v>
      </c>
      <c r="L2" s="324" t="s">
        <v>1745</v>
      </c>
      <c r="M2" s="279"/>
      <c r="N2" s="279"/>
      <c r="O2" s="326">
        <v>2</v>
      </c>
      <c r="P2" s="324" t="s">
        <v>1746</v>
      </c>
      <c r="Q2" s="279"/>
      <c r="R2" s="279"/>
      <c r="S2" s="326">
        <v>1</v>
      </c>
      <c r="T2" s="327" t="s">
        <v>1747</v>
      </c>
      <c r="U2" s="279"/>
      <c r="V2" s="279"/>
      <c r="W2" s="279"/>
      <c r="X2" s="279"/>
      <c r="Y2" s="279"/>
      <c r="Z2" s="325"/>
      <c r="AA2" s="279"/>
    </row>
    <row r="3" spans="1:30" ht="28.9" customHeight="1">
      <c r="A3" s="279"/>
      <c r="B3" s="328"/>
      <c r="C3" s="429"/>
      <c r="D3" s="330" t="s">
        <v>1748</v>
      </c>
      <c r="E3" s="331" t="str">
        <f ca="1">IF(OR(TRIM(D4)="-",TRIM(D5)="-"),"",VLOOKUP(MIN(C4,C5),Hřiště!$B$11:$E$42,4,0))</f>
        <v/>
      </c>
      <c r="F3" s="332"/>
      <c r="G3" s="332"/>
      <c r="H3" s="334"/>
      <c r="I3" s="335"/>
      <c r="J3" s="332"/>
      <c r="K3" s="332"/>
      <c r="L3" s="334"/>
      <c r="M3" s="335"/>
      <c r="N3" s="332"/>
      <c r="O3" s="332"/>
      <c r="P3" s="334"/>
      <c r="Q3" s="335"/>
      <c r="R3" s="332"/>
      <c r="S3" s="332"/>
      <c r="T3" s="336"/>
      <c r="U3" s="430"/>
      <c r="V3" s="325"/>
      <c r="W3" s="279"/>
      <c r="X3" s="279"/>
      <c r="Y3" s="279"/>
      <c r="Z3" s="325"/>
      <c r="AA3" s="279"/>
    </row>
    <row r="4" spans="1:30" ht="18">
      <c r="A4" s="337" t="str">
        <f ca="1">VLOOKUP(C4,Postupy!$A$3:$C$18,3,0)</f>
        <v>A1</v>
      </c>
      <c r="B4" s="279"/>
      <c r="C4" s="339">
        <v>1</v>
      </c>
      <c r="D4" s="419" t="str">
        <f ca="1">VLOOKUP(C4,Postupy!$A$3:$AT$18,46,0)</f>
        <v xml:space="preserve"> - </v>
      </c>
      <c r="E4" s="341">
        <f ca="1">VLOOKUP(C4,Postupy!$A$3:$AU$18,47,0)</f>
        <v>0</v>
      </c>
      <c r="F4" s="431"/>
      <c r="G4" s="279"/>
      <c r="H4" s="432"/>
      <c r="I4" s="279"/>
      <c r="J4" s="279"/>
      <c r="K4" s="279"/>
      <c r="L4" s="390"/>
      <c r="M4" s="279"/>
      <c r="N4" s="279"/>
      <c r="O4" s="279"/>
      <c r="P4" s="279"/>
      <c r="Q4" s="279"/>
      <c r="R4" s="279"/>
      <c r="S4" s="279"/>
      <c r="T4" s="346"/>
      <c r="U4" s="279"/>
      <c r="V4" s="279"/>
      <c r="W4" s="279"/>
      <c r="X4" s="279"/>
      <c r="Y4" s="279"/>
      <c r="Z4" s="279"/>
      <c r="AA4" s="279"/>
      <c r="AB4" s="279"/>
    </row>
    <row r="5" spans="1:30" ht="18.75">
      <c r="A5" s="337" t="str">
        <f ca="1">VLOOKUP(C5,Postupy!$A$3:$C$18,3,0)</f>
        <v/>
      </c>
      <c r="B5" s="279"/>
      <c r="C5" s="347">
        <v>16</v>
      </c>
      <c r="D5" s="419" t="str">
        <f ca="1">VLOOKUP(C5,Postupy!$A$3:$AT$18,46,0)</f>
        <v xml:space="preserve"> - </v>
      </c>
      <c r="E5" s="349">
        <f ca="1">VLOOKUP(C5,Postupy!$A$3:$AU$18,47,0)</f>
        <v>0</v>
      </c>
      <c r="F5" s="433"/>
      <c r="G5" s="434"/>
      <c r="H5" s="330" t="s">
        <v>1748</v>
      </c>
      <c r="I5" s="331" t="str">
        <f ca="1">IF(OR(TRIM(H6)="-",TRIM(H7)="-"),"",VLOOKUP(MIN(G6,G7),Hřiště!$B$11:$E$42,4,0))</f>
        <v/>
      </c>
      <c r="J5" s="279"/>
      <c r="K5" s="279"/>
      <c r="L5" s="390"/>
      <c r="M5" s="279"/>
      <c r="N5" s="279"/>
      <c r="O5" s="279"/>
      <c r="P5" s="279"/>
      <c r="Q5" s="279"/>
      <c r="R5" s="279"/>
      <c r="S5" s="279"/>
      <c r="T5" s="346"/>
      <c r="U5" s="279"/>
      <c r="V5" s="279"/>
      <c r="W5" s="279"/>
      <c r="X5" s="279"/>
      <c r="Y5" s="279"/>
      <c r="Z5" s="279"/>
      <c r="AA5" s="279"/>
      <c r="AB5" s="279"/>
    </row>
    <row r="6" spans="1:30" ht="18">
      <c r="A6" s="353"/>
      <c r="B6" s="408"/>
      <c r="C6" s="293"/>
      <c r="D6" s="435"/>
      <c r="E6" s="293"/>
      <c r="F6" s="279"/>
      <c r="G6" s="339">
        <v>1</v>
      </c>
      <c r="H6" s="340" t="str">
        <f ca="1">IF(OR(TRIM(D4)="-",TRIM(D5)="-"), IF(TRIM(D4)="-",D5,D4),IF(AND(E4="",E5="")," ",IF(N(E4)=N(E5)," ",IF(N(E4)&gt;N(E5),D4,D5))))</f>
        <v xml:space="preserve"> - </v>
      </c>
      <c r="I6" s="341">
        <f ca="1">VLOOKUP(G6,Postupy!$A$3:$AW$18,49,0)</f>
        <v>0</v>
      </c>
      <c r="J6" s="431"/>
      <c r="K6" s="325"/>
      <c r="L6" s="436"/>
      <c r="M6" s="325"/>
      <c r="N6" s="279"/>
      <c r="O6" s="279"/>
      <c r="P6" s="279"/>
      <c r="Q6" s="279"/>
      <c r="R6" s="279"/>
      <c r="S6" s="279"/>
      <c r="T6" s="279"/>
      <c r="U6" s="279"/>
      <c r="V6" s="325"/>
      <c r="W6" s="279"/>
      <c r="X6" s="279"/>
      <c r="Y6" s="279"/>
      <c r="Z6" s="325"/>
      <c r="AA6" s="279"/>
      <c r="AB6" s="279"/>
      <c r="AC6" s="279"/>
      <c r="AD6" s="346"/>
    </row>
    <row r="7" spans="1:30" ht="18.75">
      <c r="A7" s="359"/>
      <c r="B7" s="328"/>
      <c r="C7" s="279"/>
      <c r="D7" s="330" t="s">
        <v>1748</v>
      </c>
      <c r="E7" s="331" t="str">
        <f ca="1">IF(OR(TRIM(D8)="-",TRIM(D9)="-"),"",VLOOKUP(MIN(C8,C9),Hřiště!$B$11:$E$42,4,0))</f>
        <v/>
      </c>
      <c r="F7" s="279"/>
      <c r="G7" s="347">
        <v>8</v>
      </c>
      <c r="H7" s="348" t="str">
        <f ca="1">IF(OR(TRIM(D8)="-",TRIM(D9)="-"), IF(TRIM(D8)="-",D9,D8),IF(AND(E8="",E9="")," ",IF(N(E8)=N(E9)," ",IF(N(E8)&gt;N(E9),D8,D9))))</f>
        <v xml:space="preserve"> -</v>
      </c>
      <c r="I7" s="349">
        <f ca="1">VLOOKUP(G7,Postupy!$A$3:$AW$18,49,0)</f>
        <v>0</v>
      </c>
      <c r="J7" s="433"/>
      <c r="K7" s="434"/>
      <c r="L7" s="436"/>
      <c r="M7" s="325"/>
      <c r="N7" s="279"/>
      <c r="O7" s="279"/>
      <c r="P7" s="279"/>
      <c r="Q7" s="279"/>
      <c r="R7" s="279"/>
      <c r="S7" s="279"/>
      <c r="T7" s="279"/>
      <c r="U7" s="279"/>
      <c r="V7" s="325"/>
      <c r="W7" s="279"/>
      <c r="X7" s="279"/>
      <c r="Y7" s="279"/>
      <c r="Z7" s="325"/>
      <c r="AA7" s="279"/>
      <c r="AB7" s="279"/>
      <c r="AC7" s="279"/>
      <c r="AD7" s="279"/>
    </row>
    <row r="8" spans="1:30" ht="18">
      <c r="A8" s="337" t="str">
        <f ca="1">VLOOKUP(C8,Postupy!$A$3:$C$18,3,0)</f>
        <v/>
      </c>
      <c r="B8" s="279"/>
      <c r="C8" s="339">
        <v>9</v>
      </c>
      <c r="D8" s="419" t="str">
        <f ca="1">VLOOKUP(C8,Postupy!$A$3:$AT$18,46,0)</f>
        <v xml:space="preserve"> - </v>
      </c>
      <c r="E8" s="341">
        <f ca="1">VLOOKUP(C8,Postupy!$A$3:$AU$18,47,0)</f>
        <v>0</v>
      </c>
      <c r="F8" s="437"/>
      <c r="G8" s="434"/>
      <c r="H8" s="438"/>
      <c r="I8" s="325"/>
      <c r="J8" s="279"/>
      <c r="K8" s="434"/>
      <c r="L8" s="436"/>
      <c r="M8" s="325"/>
      <c r="N8" s="279"/>
      <c r="O8" s="279"/>
      <c r="P8" s="279"/>
      <c r="Q8" s="279"/>
      <c r="R8" s="279"/>
      <c r="S8" s="279"/>
      <c r="T8" s="279"/>
      <c r="U8" s="279"/>
      <c r="V8" s="325"/>
      <c r="W8" s="279"/>
      <c r="X8" s="279"/>
      <c r="Y8" s="279"/>
      <c r="Z8" s="325"/>
      <c r="AA8" s="279"/>
      <c r="AB8" s="279"/>
      <c r="AC8" s="279"/>
      <c r="AD8" s="279"/>
    </row>
    <row r="9" spans="1:30" ht="18.75">
      <c r="A9" s="337" t="str">
        <f ca="1">VLOOKUP(C9,Postupy!$A$3:$C$18,3,0)</f>
        <v>B2</v>
      </c>
      <c r="B9" s="279"/>
      <c r="C9" s="347">
        <v>8</v>
      </c>
      <c r="D9" s="419" t="str">
        <f ca="1">VLOOKUP(C9,Postupy!$A$3:$AT$18,46,0)</f>
        <v xml:space="preserve"> -</v>
      </c>
      <c r="E9" s="349">
        <f ca="1">VLOOKUP(C9,Postupy!$A$3:$AU$18,47,0)</f>
        <v>0</v>
      </c>
      <c r="F9" s="293"/>
      <c r="G9" s="279"/>
      <c r="H9" s="438"/>
      <c r="I9" s="279"/>
      <c r="J9" s="279"/>
      <c r="K9" s="434"/>
      <c r="L9" s="330" t="s">
        <v>1748</v>
      </c>
      <c r="M9" s="331" t="str">
        <f ca="1">IF(OR(TRIM(L10)="-",TRIM(L11)="-"),"",VLOOKUP(MIN(K10,K11),Hřiště!$B$11:$E$42,4,0))</f>
        <v/>
      </c>
      <c r="N9" s="279"/>
      <c r="O9" s="279"/>
      <c r="P9" s="279"/>
      <c r="Q9" s="279"/>
      <c r="R9" s="279"/>
      <c r="S9" s="279"/>
      <c r="T9" s="346"/>
      <c r="U9" s="279"/>
      <c r="V9" s="279"/>
      <c r="W9" s="279"/>
      <c r="X9" s="279"/>
      <c r="Y9" s="279"/>
      <c r="Z9" s="279"/>
      <c r="AA9" s="279"/>
      <c r="AB9" s="279"/>
    </row>
    <row r="10" spans="1:30" ht="18">
      <c r="A10" s="353"/>
      <c r="B10" s="439"/>
      <c r="C10" s="440"/>
      <c r="D10" s="441"/>
      <c r="E10" s="279"/>
      <c r="F10" s="279"/>
      <c r="G10" s="279"/>
      <c r="H10" s="442"/>
      <c r="I10" s="346"/>
      <c r="J10" s="346"/>
      <c r="K10" s="339">
        <v>1</v>
      </c>
      <c r="L10" s="340" t="str">
        <f ca="1">IF(OR(TRIM(H6)="-",TRIM(H7)="-"), IF(TRIM(H6)="-",H7,H6),IF(AND(I6="",I7="")," ",IF(N(I6)=N(I7)," ",IF(N(I6)&gt;N(I7),H6,H7))))</f>
        <v xml:space="preserve"> -</v>
      </c>
      <c r="M10" s="341">
        <f ca="1">VLOOKUP(K10,Postupy!$A$3:$AY$18,51,0)</f>
        <v>0</v>
      </c>
      <c r="N10" s="346"/>
      <c r="O10" s="294"/>
      <c r="P10" s="294"/>
      <c r="Q10" s="294"/>
      <c r="R10" s="279"/>
      <c r="S10" s="346"/>
      <c r="T10" s="279"/>
      <c r="U10" s="279"/>
      <c r="V10" s="279"/>
      <c r="W10" s="279"/>
      <c r="X10" s="279"/>
      <c r="Y10" s="279"/>
      <c r="Z10" s="279"/>
      <c r="AA10" s="279"/>
    </row>
    <row r="11" spans="1:30" ht="18.75">
      <c r="A11" s="359"/>
      <c r="B11" s="408"/>
      <c r="C11" s="279"/>
      <c r="D11" s="330" t="s">
        <v>1748</v>
      </c>
      <c r="E11" s="331" t="str">
        <f ca="1">IF(OR(TRIM(D12)="-",TRIM(D13)="-"),"",VLOOKUP(MIN(C12,C13),Hřiště!$B$11:$E$42,4,0))</f>
        <v/>
      </c>
      <c r="F11" s="279"/>
      <c r="G11" s="279"/>
      <c r="H11" s="443"/>
      <c r="I11" s="346"/>
      <c r="J11" s="346"/>
      <c r="K11" s="347">
        <v>4</v>
      </c>
      <c r="L11" s="348" t="str">
        <f ca="1">IF(OR(TRIM(H14)="-",TRIM(H15)="-"), IF(TRIM(H14)="-",H15,H14),IF(AND(I14="",I15="")," ",IF(N(I14)=N(I15)," ",IF(N(I14)&gt;N(I15),H14,H15))))</f>
        <v xml:space="preserve"> -</v>
      </c>
      <c r="M11" s="349">
        <f ca="1">VLOOKUP(K11,Postupy!$A$3:$AY$18,51,0)</f>
        <v>0</v>
      </c>
      <c r="N11" s="433"/>
      <c r="O11" s="444"/>
      <c r="P11" s="445"/>
      <c r="Q11" s="279"/>
      <c r="R11" s="279"/>
      <c r="S11" s="279"/>
      <c r="T11" s="279"/>
      <c r="U11" s="279"/>
      <c r="V11" s="279"/>
      <c r="W11" s="279"/>
      <c r="X11" s="279"/>
      <c r="Y11" s="325"/>
      <c r="Z11" s="279"/>
      <c r="AA11" s="279"/>
      <c r="AB11" s="279"/>
      <c r="AC11" s="346"/>
    </row>
    <row r="12" spans="1:30" ht="18">
      <c r="A12" s="337" t="str">
        <f ca="1">VLOOKUP(C12,Postupy!$A$3:$C$18,3,0)</f>
        <v>C2</v>
      </c>
      <c r="B12" s="279"/>
      <c r="C12" s="339">
        <v>5</v>
      </c>
      <c r="D12" s="419" t="str">
        <f ca="1">VLOOKUP(C12,Postupy!$A$3:$AT$18,46,0)</f>
        <v xml:space="preserve"> - </v>
      </c>
      <c r="E12" s="341">
        <f ca="1">VLOOKUP(C12,Postupy!$A$3:$AU$18,47,0)</f>
        <v>0</v>
      </c>
      <c r="F12" s="431"/>
      <c r="G12" s="279"/>
      <c r="H12" s="443"/>
      <c r="I12" s="346"/>
      <c r="J12" s="446"/>
      <c r="K12" s="325"/>
      <c r="L12" s="438"/>
      <c r="M12" s="346"/>
      <c r="N12" s="346"/>
      <c r="O12" s="444"/>
      <c r="P12" s="445"/>
      <c r="Q12" s="346"/>
      <c r="R12" s="279"/>
      <c r="S12" s="346"/>
      <c r="T12" s="279"/>
      <c r="U12" s="279"/>
      <c r="V12" s="279"/>
      <c r="W12" s="279"/>
      <c r="X12" s="279"/>
      <c r="Y12" s="325"/>
      <c r="Z12" s="279"/>
      <c r="AA12" s="279"/>
      <c r="AB12" s="279"/>
      <c r="AC12" s="279"/>
    </row>
    <row r="13" spans="1:30" ht="18.75">
      <c r="A13" s="337" t="str">
        <f ca="1">VLOOKUP(C13,Postupy!$A$3:$C$18,3,0)</f>
        <v/>
      </c>
      <c r="B13" s="279"/>
      <c r="C13" s="347">
        <v>12</v>
      </c>
      <c r="D13" s="419" t="str">
        <f ca="1">VLOOKUP(C13,Postupy!$A$3:$AT$18,46,0)</f>
        <v xml:space="preserve"> - </v>
      </c>
      <c r="E13" s="349">
        <f ca="1">VLOOKUP(C13,Postupy!$A$3:$AU$18,47,0)</f>
        <v>0</v>
      </c>
      <c r="F13" s="433"/>
      <c r="G13" s="434"/>
      <c r="H13" s="330" t="s">
        <v>1748</v>
      </c>
      <c r="I13" s="331" t="str">
        <f ca="1">IF(OR(TRIM(H14)="-",TRIM(H15)="-"),"",VLOOKUP(MIN(G14,G15),Hřiště!$B$11:$E$42,4,0))</f>
        <v/>
      </c>
      <c r="J13" s="446"/>
      <c r="K13" s="325"/>
      <c r="L13" s="441"/>
      <c r="M13" s="346"/>
      <c r="N13" s="346"/>
      <c r="O13" s="444"/>
      <c r="P13" s="445"/>
      <c r="Q13" s="346"/>
      <c r="R13" s="279"/>
      <c r="S13" s="346"/>
      <c r="T13" s="279"/>
      <c r="U13" s="279"/>
      <c r="V13" s="279"/>
      <c r="W13" s="279"/>
      <c r="X13" s="279"/>
      <c r="Y13" s="279"/>
      <c r="Z13" s="279"/>
      <c r="AA13" s="279"/>
    </row>
    <row r="14" spans="1:30" ht="18">
      <c r="A14" s="353"/>
      <c r="B14" s="408"/>
      <c r="C14" s="279"/>
      <c r="D14" s="438"/>
      <c r="E14" s="279"/>
      <c r="F14" s="279"/>
      <c r="G14" s="339">
        <v>5</v>
      </c>
      <c r="H14" s="340" t="str">
        <f ca="1">IF(OR(TRIM(D12)="-",TRIM(D13)="-"), IF(TRIM(D12)="-",D13,D12),IF(AND(E12="",E13="")," ",IF(N(E12)=N(E13)," ",IF(N(E12)&gt;N(E13),D12,D13))))</f>
        <v xml:space="preserve"> - </v>
      </c>
      <c r="I14" s="341">
        <f ca="1">VLOOKUP(G14,Postupy!$A$3:$AW$18,49,0)</f>
        <v>0</v>
      </c>
      <c r="J14" s="437"/>
      <c r="K14" s="279"/>
      <c r="L14" s="443"/>
      <c r="M14" s="346"/>
      <c r="N14" s="346"/>
      <c r="O14" s="444"/>
      <c r="P14" s="445"/>
      <c r="Q14" s="279"/>
      <c r="R14" s="279"/>
      <c r="S14" s="279"/>
      <c r="T14" s="279"/>
      <c r="U14" s="346"/>
      <c r="V14" s="279"/>
      <c r="W14" s="279"/>
      <c r="X14" s="279"/>
      <c r="Y14" s="346"/>
      <c r="Z14" s="279"/>
      <c r="AA14" s="279"/>
    </row>
    <row r="15" spans="1:30" ht="18.75">
      <c r="A15" s="359"/>
      <c r="B15" s="328"/>
      <c r="C15" s="279"/>
      <c r="D15" s="330" t="s">
        <v>1748</v>
      </c>
      <c r="E15" s="331" t="str">
        <f ca="1">IF(OR(TRIM(D16)="-",TRIM(D17)="-"),"",VLOOKUP(MIN(C16,C17),Hřiště!$B$11:$E$42,4,0))</f>
        <v/>
      </c>
      <c r="F15" s="279"/>
      <c r="G15" s="347">
        <v>4</v>
      </c>
      <c r="H15" s="348" t="str">
        <f ca="1">IF(OR(TRIM(D16)="-",TRIM(D17)="-"), IF(TRIM(D16)="-",D17,D16),IF(AND(E16="",E17="")," ",IF(N(E16)=N(E17)," ",IF(N(E16)&gt;N(E17),D16,D17))))</f>
        <v xml:space="preserve"> -</v>
      </c>
      <c r="I15" s="349">
        <f ca="1">VLOOKUP(G15,Postupy!$A$3:$AW$18,49,0)</f>
        <v>0</v>
      </c>
      <c r="J15" s="293"/>
      <c r="K15" s="279"/>
      <c r="L15" s="443"/>
      <c r="M15" s="346"/>
      <c r="N15" s="346"/>
      <c r="O15" s="444"/>
      <c r="P15" s="445"/>
      <c r="Q15" s="279"/>
      <c r="R15" s="279"/>
      <c r="S15" s="279"/>
      <c r="T15" s="279"/>
      <c r="U15" s="346"/>
      <c r="V15" s="279"/>
      <c r="W15" s="279"/>
      <c r="X15" s="279"/>
      <c r="Y15" s="346"/>
      <c r="Z15" s="279"/>
      <c r="AA15" s="279"/>
    </row>
    <row r="16" spans="1:30" ht="18.75">
      <c r="A16" s="337" t="str">
        <f ca="1">VLOOKUP(C16,Postupy!$A$3:$C$18,3,0)</f>
        <v/>
      </c>
      <c r="B16" s="279"/>
      <c r="C16" s="339">
        <v>13</v>
      </c>
      <c r="D16" s="419" t="str">
        <f ca="1">VLOOKUP(C16,Postupy!$A$3:$AT$18,46,0)</f>
        <v xml:space="preserve"> - </v>
      </c>
      <c r="E16" s="341">
        <f ca="1">VLOOKUP(C16,Postupy!$A$3:$AU$18,47,0)</f>
        <v>0</v>
      </c>
      <c r="F16" s="437"/>
      <c r="G16" s="434"/>
      <c r="H16" s="438"/>
      <c r="I16" s="325"/>
      <c r="J16" s="279"/>
      <c r="K16" s="279"/>
      <c r="L16" s="443"/>
      <c r="M16" s="346"/>
      <c r="N16" s="346"/>
      <c r="O16" s="444"/>
      <c r="P16" s="397" t="s">
        <v>1746</v>
      </c>
      <c r="Q16" s="346"/>
      <c r="R16" s="279"/>
      <c r="S16" s="346"/>
      <c r="T16" s="390"/>
      <c r="U16" s="279"/>
      <c r="V16" s="279"/>
      <c r="W16" s="279"/>
      <c r="X16" s="279"/>
      <c r="Y16" s="279"/>
      <c r="Z16" s="279"/>
      <c r="AA16" s="279"/>
    </row>
    <row r="17" spans="1:29" ht="18.75">
      <c r="A17" s="337" t="str">
        <f ca="1">VLOOKUP(C17,Postupy!$A$3:$C$18,3,0)</f>
        <v>D1</v>
      </c>
      <c r="B17" s="279"/>
      <c r="C17" s="347">
        <v>4</v>
      </c>
      <c r="D17" s="419" t="str">
        <f ca="1">VLOOKUP(C17,Postupy!$A$3:$AT$18,46,0)</f>
        <v xml:space="preserve"> -</v>
      </c>
      <c r="E17" s="349">
        <f ca="1">VLOOKUP(C17,Postupy!$A$3:$AU$18,47,0)</f>
        <v>0</v>
      </c>
      <c r="F17" s="293"/>
      <c r="G17" s="279"/>
      <c r="H17" s="438"/>
      <c r="I17" s="279"/>
      <c r="J17" s="279"/>
      <c r="K17" s="279"/>
      <c r="L17" s="443"/>
      <c r="M17" s="346"/>
      <c r="N17" s="346"/>
      <c r="O17" s="447"/>
      <c r="P17" s="330" t="s">
        <v>1748</v>
      </c>
      <c r="Q17" s="331" t="str">
        <f ca="1">IF(OR(TRIM(P18)="-",TRIM(P19)="-"),"",VLOOKUP(MIN(O18,O19),Hřiště!$B$11:$E$42,4,0))</f>
        <v/>
      </c>
      <c r="R17" s="279"/>
      <c r="S17" s="346"/>
      <c r="T17" s="421"/>
      <c r="U17" s="279"/>
      <c r="V17" s="279"/>
      <c r="W17" s="279"/>
      <c r="X17" s="279"/>
      <c r="Y17" s="279"/>
      <c r="Z17" s="279"/>
      <c r="AA17" s="279"/>
    </row>
    <row r="18" spans="1:29" ht="18">
      <c r="A18" s="353"/>
      <c r="B18" s="408"/>
      <c r="C18" s="279"/>
      <c r="D18" s="438"/>
      <c r="E18" s="279"/>
      <c r="F18" s="279"/>
      <c r="G18" s="279"/>
      <c r="H18" s="448"/>
      <c r="I18" s="279"/>
      <c r="J18" s="279"/>
      <c r="K18" s="279"/>
      <c r="L18" s="448"/>
      <c r="M18" s="279"/>
      <c r="N18" s="279"/>
      <c r="O18" s="339">
        <v>1</v>
      </c>
      <c r="P18" s="340" t="str">
        <f ca="1">IF(OR(TRIM(L10)="-",TRIM(L11)="-"), IF(TRIM(L10)="-",L11,L10),IF(AND(M10="",M11="")," ",IF(N(M10)=N(M11)," ",IF(N(M10)&gt;N(M11),L10,L11))))</f>
        <v xml:space="preserve"> -</v>
      </c>
      <c r="Q18" s="341">
        <f ca="1">VLOOKUP(O18,Postupy!$A$3:$BA$6,53,0)</f>
        <v>0</v>
      </c>
      <c r="R18" s="437"/>
      <c r="S18" s="393">
        <v>1</v>
      </c>
      <c r="T18" s="406" t="str">
        <f ca="1">IF(AND(Q18="",Q19="")," ",IF(N(Q18)=N(Q19)," ",IF(N(Q18)&gt;N(Q19),P18,P19)))</f>
        <v xml:space="preserve"> </v>
      </c>
      <c r="U18" s="407">
        <v>1</v>
      </c>
      <c r="V18" s="279"/>
      <c r="W18" s="279"/>
      <c r="X18" s="279"/>
      <c r="Y18" s="279"/>
      <c r="Z18" s="279"/>
      <c r="AA18" s="279"/>
    </row>
    <row r="19" spans="1:29" ht="18.75">
      <c r="A19" s="359"/>
      <c r="B19" s="328"/>
      <c r="C19" s="279"/>
      <c r="D19" s="330" t="s">
        <v>1748</v>
      </c>
      <c r="E19" s="331" t="str">
        <f ca="1">IF(OR(TRIM(D20)="-",TRIM(D21)="-"),"",VLOOKUP(MIN(C20,C21),Hřiště!$B$11:$E$42,4,0))</f>
        <v/>
      </c>
      <c r="F19" s="279"/>
      <c r="G19" s="279"/>
      <c r="H19" s="448"/>
      <c r="I19" s="279"/>
      <c r="J19" s="279"/>
      <c r="K19" s="279"/>
      <c r="L19" s="448"/>
      <c r="M19" s="279"/>
      <c r="N19" s="279"/>
      <c r="O19" s="347">
        <v>2</v>
      </c>
      <c r="P19" s="348" t="str">
        <f ca="1">IF(OR(TRIM(L26)="-",TRIM(L27)="-"),IF(TRIM(L26)="-",L27,L26),IF(AND(M26="",M27="")," ",IF(N(M26)=N(M27)," ",IF(N(M26)&gt;N(M27),L26,L27))))</f>
        <v xml:space="preserve"> -</v>
      </c>
      <c r="Q19" s="349">
        <f ca="1">VLOOKUP(O19,Postupy!$A$3:$BA$6,53,0)</f>
        <v>0</v>
      </c>
      <c r="R19" s="279"/>
      <c r="S19" s="393">
        <v>2</v>
      </c>
      <c r="T19" s="412" t="str">
        <f ca="1">IF(AND(Q18="",Q19="")," ",IF(N(Q19)=N(Q18)," ",IF(N(Q19)&gt;N(Q18),P18,P19)))</f>
        <v xml:space="preserve"> </v>
      </c>
      <c r="U19" s="413">
        <v>2</v>
      </c>
      <c r="V19" s="279"/>
      <c r="W19" s="279"/>
      <c r="X19" s="279"/>
      <c r="Y19" s="279"/>
      <c r="Z19" s="279"/>
      <c r="AA19" s="279"/>
    </row>
    <row r="20" spans="1:29" ht="18">
      <c r="A20" s="337" t="str">
        <f ca="1">VLOOKUP(C20,Postupy!$A$3:$C$18,3,0)</f>
        <v>C1</v>
      </c>
      <c r="B20" s="279"/>
      <c r="C20" s="339">
        <v>3</v>
      </c>
      <c r="D20" s="419" t="str">
        <f ca="1">VLOOKUP(C20,Postupy!$A$3:$AT$18,46,0)</f>
        <v xml:space="preserve"> - </v>
      </c>
      <c r="E20" s="341">
        <f ca="1">VLOOKUP(C20,Postupy!$A$3:$AU$18,47,0)</f>
        <v>0</v>
      </c>
      <c r="F20" s="431"/>
      <c r="G20" s="279"/>
      <c r="H20" s="448"/>
      <c r="I20" s="279"/>
      <c r="J20" s="279"/>
      <c r="K20" s="279"/>
      <c r="L20" s="443"/>
      <c r="M20" s="346"/>
      <c r="N20" s="346"/>
      <c r="O20" s="434"/>
      <c r="P20" s="390"/>
      <c r="Q20" s="325"/>
      <c r="R20" s="279"/>
      <c r="S20" s="279"/>
      <c r="T20" s="279"/>
      <c r="U20" s="279"/>
      <c r="V20" s="279"/>
      <c r="W20" s="279"/>
      <c r="X20" s="279"/>
      <c r="Y20" s="279"/>
      <c r="Z20" s="279"/>
      <c r="AA20" s="279"/>
    </row>
    <row r="21" spans="1:29" ht="18.75">
      <c r="A21" s="337" t="str">
        <f ca="1">VLOOKUP(C21,Postupy!$A$3:$C$18,3,0)</f>
        <v/>
      </c>
      <c r="B21" s="279"/>
      <c r="C21" s="347">
        <v>14</v>
      </c>
      <c r="D21" s="419" t="str">
        <f ca="1">VLOOKUP(C21,Postupy!$A$3:$AT$18,46,0)</f>
        <v xml:space="preserve"> - </v>
      </c>
      <c r="E21" s="349">
        <f ca="1">VLOOKUP(C21,Postupy!$A$3:$AU$18,47,0)</f>
        <v>0</v>
      </c>
      <c r="F21" s="433"/>
      <c r="G21" s="434"/>
      <c r="H21" s="330" t="s">
        <v>1748</v>
      </c>
      <c r="I21" s="331" t="str">
        <f ca="1">IF(OR(TRIM(H22)="-",TRIM(H23)="-"),"",VLOOKUP(MIN(G22,G23),Hřiště!$B$11:$E$42,4,0))</f>
        <v/>
      </c>
      <c r="J21" s="279"/>
      <c r="K21" s="279"/>
      <c r="L21" s="443"/>
      <c r="M21" s="346"/>
      <c r="N21" s="346"/>
      <c r="O21" s="434"/>
      <c r="P21" s="390"/>
      <c r="Q21" s="325"/>
      <c r="R21" s="279"/>
      <c r="S21" s="279"/>
      <c r="T21" s="279"/>
      <c r="U21" s="279"/>
      <c r="V21" s="279"/>
      <c r="W21" s="279"/>
      <c r="X21" s="279"/>
      <c r="Y21" s="279"/>
      <c r="Z21" s="279"/>
      <c r="AA21" s="279"/>
    </row>
    <row r="22" spans="1:29" ht="18">
      <c r="A22" s="353"/>
      <c r="B22" s="408"/>
      <c r="C22" s="279"/>
      <c r="D22" s="438"/>
      <c r="E22" s="279"/>
      <c r="F22" s="279"/>
      <c r="G22" s="339">
        <v>3</v>
      </c>
      <c r="H22" s="340" t="str">
        <f ca="1">IF(OR(TRIM(D20)="-",TRIM(D21)="-"), IF(TRIM(D20)="-",D21,D20),IF(AND(E20="",E21="")," ",IF(N(E20)=N(E21)," ",IF(N(E20)&gt;N(E21),D20,D21))))</f>
        <v xml:space="preserve"> - </v>
      </c>
      <c r="I22" s="341">
        <f ca="1">VLOOKUP(G22,Postupy!$A$3:$AW$18,49,0)</f>
        <v>0</v>
      </c>
      <c r="J22" s="431"/>
      <c r="K22" s="325"/>
      <c r="L22" s="443"/>
      <c r="M22" s="346"/>
      <c r="N22" s="346"/>
      <c r="O22" s="434"/>
      <c r="P22" s="325"/>
      <c r="Q22" s="325"/>
      <c r="R22" s="279"/>
      <c r="S22" s="279"/>
      <c r="T22" s="279"/>
      <c r="U22" s="279"/>
      <c r="V22" s="279"/>
      <c r="W22" s="279"/>
      <c r="X22" s="346"/>
      <c r="Y22" s="279"/>
      <c r="Z22" s="279"/>
    </row>
    <row r="23" spans="1:29" ht="18.75">
      <c r="A23" s="359"/>
      <c r="B23" s="328"/>
      <c r="C23" s="279"/>
      <c r="D23" s="330" t="s">
        <v>1748</v>
      </c>
      <c r="E23" s="331" t="str">
        <f ca="1">IF(OR(TRIM(D24)="-",TRIM(D25)="-"),"",VLOOKUP(MIN(C24,C25),Hřiště!$B$11:$E$42,4,0))</f>
        <v/>
      </c>
      <c r="F23" s="279"/>
      <c r="G23" s="347">
        <v>6</v>
      </c>
      <c r="H23" s="348" t="str">
        <f ca="1">IF(OR(TRIM(D24)="-",TRIM(D25)="-"), IF(TRIM(D24)="-",D25,D24),IF(AND(E24="",E25="")," ",IF(N(E24)=N(E25)," ",IF(N(E24)&gt;N(E25),D24,D25))))</f>
        <v xml:space="preserve"> -</v>
      </c>
      <c r="I23" s="349">
        <f ca="1">VLOOKUP(G23,Postupy!$A$3:$AW$18,49,0)</f>
        <v>0</v>
      </c>
      <c r="J23" s="433"/>
      <c r="K23" s="434"/>
      <c r="L23" s="443"/>
      <c r="M23" s="346"/>
      <c r="N23" s="346"/>
      <c r="O23" s="434"/>
      <c r="P23" s="325"/>
      <c r="Q23" s="325"/>
      <c r="R23" s="279"/>
      <c r="S23" s="279"/>
      <c r="T23" s="279"/>
      <c r="U23" s="346"/>
      <c r="V23" s="279"/>
      <c r="W23" s="279"/>
      <c r="X23" s="346"/>
      <c r="Y23" s="279"/>
      <c r="Z23" s="279"/>
      <c r="AA23" s="346"/>
      <c r="AB23" s="279"/>
      <c r="AC23" s="279"/>
    </row>
    <row r="24" spans="1:29" ht="18">
      <c r="A24" s="337" t="str">
        <f ca="1">VLOOKUP(C24,Postupy!$A$3:$C$18,3,0)</f>
        <v/>
      </c>
      <c r="B24" s="279"/>
      <c r="C24" s="339">
        <v>11</v>
      </c>
      <c r="D24" s="419" t="str">
        <f ca="1">VLOOKUP(C24,Postupy!$A$3:$AT$18,46,0)</f>
        <v xml:space="preserve"> - </v>
      </c>
      <c r="E24" s="341">
        <f ca="1">VLOOKUP(C24,Postupy!$A$3:$AU$18,47,0)</f>
        <v>0</v>
      </c>
      <c r="F24" s="437"/>
      <c r="G24" s="434"/>
      <c r="H24" s="438"/>
      <c r="I24" s="325"/>
      <c r="J24" s="279"/>
      <c r="K24" s="434"/>
      <c r="L24" s="443"/>
      <c r="M24" s="346"/>
      <c r="N24" s="346"/>
      <c r="O24" s="434"/>
      <c r="P24" s="325"/>
      <c r="Q24" s="325"/>
      <c r="R24" s="279"/>
      <c r="S24" s="279"/>
      <c r="T24" s="279"/>
      <c r="U24" s="279"/>
      <c r="V24" s="279"/>
      <c r="W24" s="279"/>
      <c r="X24" s="279"/>
      <c r="Y24" s="279"/>
      <c r="Z24" s="279"/>
      <c r="AA24" s="279"/>
    </row>
    <row r="25" spans="1:29" ht="18.75">
      <c r="A25" s="337" t="str">
        <f ca="1">VLOOKUP(C25,Postupy!$A$3:$C$18,3,0)</f>
        <v>D2</v>
      </c>
      <c r="B25" s="279"/>
      <c r="C25" s="347">
        <v>6</v>
      </c>
      <c r="D25" s="419" t="str">
        <f ca="1">VLOOKUP(C25,Postupy!$A$3:$AT$18,46,0)</f>
        <v xml:space="preserve"> -</v>
      </c>
      <c r="E25" s="349">
        <f ca="1">VLOOKUP(C25,Postupy!$A$3:$AU$18,47,0)</f>
        <v>0</v>
      </c>
      <c r="F25" s="293"/>
      <c r="G25" s="279"/>
      <c r="H25" s="438"/>
      <c r="I25" s="279"/>
      <c r="J25" s="279"/>
      <c r="K25" s="434"/>
      <c r="L25" s="330" t="s">
        <v>1748</v>
      </c>
      <c r="M25" s="331" t="str">
        <f ca="1">IF(OR(TRIM(L26)="-",TRIM(L27)="-"),"",VLOOKUP(MIN(K26,K27),Hřiště!$B$11:$E$42,4,0))</f>
        <v/>
      </c>
      <c r="N25" s="346"/>
      <c r="O25" s="434"/>
      <c r="P25" s="325"/>
      <c r="Q25" s="325"/>
      <c r="R25" s="279"/>
      <c r="S25" s="279"/>
      <c r="T25" s="279"/>
      <c r="U25" s="279"/>
      <c r="V25" s="279"/>
      <c r="W25" s="279"/>
      <c r="X25" s="279"/>
      <c r="Y25" s="279"/>
      <c r="Z25" s="279"/>
      <c r="AA25" s="279"/>
    </row>
    <row r="26" spans="1:29" ht="18">
      <c r="A26" s="353"/>
      <c r="B26" s="408"/>
      <c r="C26" s="279"/>
      <c r="D26" s="438"/>
      <c r="E26" s="279"/>
      <c r="F26" s="279"/>
      <c r="G26" s="279"/>
      <c r="H26" s="443"/>
      <c r="I26" s="346"/>
      <c r="J26" s="346"/>
      <c r="K26" s="339">
        <v>3</v>
      </c>
      <c r="L26" s="340" t="str">
        <f ca="1">IF(OR(TRIM(H22)="-",TRIM(H23)="-"), IF(TRIM(H22)="-",H23,H22),IF(AND(I22="",I23="")," ",IF(N(I22)=N(I23)," ",IF(N(I22)&gt;N(I23),H22,H23))))</f>
        <v xml:space="preserve"> -</v>
      </c>
      <c r="M26" s="341">
        <f ca="1">VLOOKUP(K26,Postupy!$A$3:$AY$18,51,0)</f>
        <v>0</v>
      </c>
      <c r="N26" s="437"/>
      <c r="O26" s="434"/>
      <c r="P26" s="325"/>
      <c r="Q26" s="325"/>
      <c r="R26" s="279"/>
      <c r="S26" s="279"/>
      <c r="T26" s="279"/>
      <c r="U26" s="279"/>
      <c r="V26" s="279"/>
      <c r="W26" s="279"/>
      <c r="X26" s="279"/>
      <c r="Y26" s="279"/>
      <c r="Z26" s="279"/>
      <c r="AA26" s="279"/>
    </row>
    <row r="27" spans="1:29" ht="18.75">
      <c r="A27" s="359"/>
      <c r="B27" s="328"/>
      <c r="C27" s="279"/>
      <c r="D27" s="330" t="s">
        <v>1748</v>
      </c>
      <c r="E27" s="331" t="str">
        <f ca="1">IF(OR(TRIM(D28)="-",TRIM(D29)="-"),"",VLOOKUP(MIN(C28,C29),Hřiště!$B$11:$E$42,4,0))</f>
        <v/>
      </c>
      <c r="F27" s="279"/>
      <c r="G27" s="279"/>
      <c r="H27" s="443"/>
      <c r="I27" s="346"/>
      <c r="J27" s="346"/>
      <c r="K27" s="347">
        <v>2</v>
      </c>
      <c r="L27" s="348" t="str">
        <f ca="1">IF(OR(TRIM(H30)="-",TRIM(H31)="-"), IF(TRIM(H30)="-",H31,H30),IF(AND(I30="",I31="")," ",IF(N(I30)=N(I31)," ",IF(N(I30)&gt;N(I31),H30,H31))))</f>
        <v xml:space="preserve"> -</v>
      </c>
      <c r="M27" s="349">
        <f ca="1">VLOOKUP(K27,Postupy!$A$3:$AY$18,51,0)</f>
        <v>0</v>
      </c>
      <c r="N27" s="293"/>
      <c r="O27" s="279"/>
      <c r="P27" s="279"/>
      <c r="Q27" s="279"/>
      <c r="R27" s="279"/>
      <c r="S27" s="279"/>
      <c r="T27" s="279"/>
      <c r="U27" s="279"/>
      <c r="V27" s="279"/>
      <c r="W27" s="279"/>
      <c r="X27" s="279"/>
      <c r="Y27" s="279"/>
      <c r="Z27" s="279"/>
      <c r="AA27" s="279"/>
    </row>
    <row r="28" spans="1:29" ht="18">
      <c r="A28" s="337" t="str">
        <f ca="1">VLOOKUP(C28,Postupy!$A$3:$C$18,3,0)</f>
        <v>A2</v>
      </c>
      <c r="B28" s="279"/>
      <c r="C28" s="339">
        <v>7</v>
      </c>
      <c r="D28" s="419" t="str">
        <f ca="1">VLOOKUP(C28,Postupy!$A$3:$AT$18,46,0)</f>
        <v xml:space="preserve"> - </v>
      </c>
      <c r="E28" s="341">
        <f ca="1">VLOOKUP(C28,Postupy!$A$3:$AU$18,47,0)</f>
        <v>0</v>
      </c>
      <c r="F28" s="431"/>
      <c r="G28" s="279"/>
      <c r="H28" s="443"/>
      <c r="I28" s="346"/>
      <c r="J28" s="446"/>
      <c r="K28" s="325"/>
      <c r="L28" s="390"/>
      <c r="M28" s="325"/>
      <c r="N28" s="279"/>
      <c r="O28" s="279"/>
      <c r="P28" s="279"/>
      <c r="Q28" s="279"/>
      <c r="R28" s="279"/>
      <c r="S28" s="279"/>
      <c r="T28" s="279"/>
      <c r="U28" s="279"/>
      <c r="V28" s="279"/>
      <c r="W28" s="279"/>
      <c r="X28" s="279"/>
      <c r="Y28" s="279"/>
      <c r="Z28" s="279"/>
      <c r="AA28" s="279"/>
    </row>
    <row r="29" spans="1:29" ht="18.75">
      <c r="A29" s="337" t="str">
        <f ca="1">VLOOKUP(C29,Postupy!$A$3:$C$18,3,0)</f>
        <v/>
      </c>
      <c r="B29" s="279"/>
      <c r="C29" s="347">
        <v>10</v>
      </c>
      <c r="D29" s="419" t="str">
        <f ca="1">VLOOKUP(C29,Postupy!$A$3:$AT$18,46,0)</f>
        <v xml:space="preserve"> - </v>
      </c>
      <c r="E29" s="349">
        <f ca="1">VLOOKUP(C29,Postupy!$A$3:$AU$18,47,0)</f>
        <v>0</v>
      </c>
      <c r="F29" s="433"/>
      <c r="G29" s="434"/>
      <c r="H29" s="330" t="s">
        <v>1748</v>
      </c>
      <c r="I29" s="331" t="str">
        <f ca="1">IF(OR(TRIM(H30)="-",TRIM(H31)="-"),"",VLOOKUP(MIN(G30,G31),Hřiště!$B$11:$E$42,4,0))</f>
        <v/>
      </c>
      <c r="J29" s="446"/>
      <c r="K29" s="325"/>
      <c r="L29" s="390"/>
      <c r="M29" s="325"/>
      <c r="N29" s="279"/>
      <c r="O29" s="343"/>
      <c r="P29" s="416" t="s">
        <v>1750</v>
      </c>
      <c r="Q29" s="343"/>
      <c r="R29" s="343"/>
      <c r="S29" s="343"/>
      <c r="T29" s="279"/>
      <c r="U29" s="279"/>
      <c r="V29" s="279"/>
      <c r="W29" s="279"/>
      <c r="X29" s="279"/>
      <c r="Y29" s="279"/>
      <c r="Z29" s="279"/>
      <c r="AA29" s="279"/>
    </row>
    <row r="30" spans="1:29" ht="18">
      <c r="A30" s="353"/>
      <c r="B30" s="408"/>
      <c r="C30" s="279"/>
      <c r="D30" s="438"/>
      <c r="E30" s="279"/>
      <c r="F30" s="279"/>
      <c r="G30" s="339">
        <v>7</v>
      </c>
      <c r="H30" s="340" t="str">
        <f ca="1">IF(OR(TRIM(D28)="-",TRIM(D29)="-"), IF(TRIM(D28)="-",D29,D28),IF(AND(E28="",E29="")," ",IF(N(E28)=N(E29)," ",IF(N(E28)&gt;N(E29),D28,D29))))</f>
        <v xml:space="preserve"> - </v>
      </c>
      <c r="I30" s="341">
        <f ca="1">VLOOKUP(G30,Postupy!$A$3:$AW$18,49,0)</f>
        <v>0</v>
      </c>
      <c r="J30" s="437"/>
      <c r="K30" s="279"/>
      <c r="L30" s="390"/>
      <c r="M30" s="279"/>
      <c r="N30" s="279"/>
      <c r="O30" s="343"/>
      <c r="P30" s="417" t="s">
        <v>1751</v>
      </c>
      <c r="Q30" s="343"/>
      <c r="R30" s="343"/>
      <c r="S30" s="343"/>
      <c r="T30" s="279"/>
      <c r="U30" s="279"/>
      <c r="V30" s="279"/>
      <c r="W30" s="279"/>
      <c r="X30" s="279"/>
      <c r="Y30" s="279"/>
      <c r="Z30" s="279"/>
      <c r="AA30" s="279"/>
      <c r="AB30" s="279"/>
      <c r="AC30" s="279"/>
    </row>
    <row r="31" spans="1:29" ht="18.75">
      <c r="A31" s="359"/>
      <c r="B31" s="328"/>
      <c r="C31" s="279"/>
      <c r="D31" s="330" t="s">
        <v>1748</v>
      </c>
      <c r="E31" s="331" t="str">
        <f ca="1">IF(OR(TRIM(D32)="-",TRIM(D33)="-"),"",VLOOKUP(MIN(C32,C33),Hřiště!$B$11:$E$42,4,0))</f>
        <v/>
      </c>
      <c r="F31" s="279"/>
      <c r="G31" s="347">
        <v>2</v>
      </c>
      <c r="H31" s="348" t="str">
        <f ca="1">IF(OR(TRIM(D32)="-",TRIM(D33)="-"), IF(TRIM(D32)="-",D33,D32),IF(AND(E32="",E33="")," ",IF(N(E32)=N(E33)," ",IF(N(E32)&gt;N(E33),D32,D33))))</f>
        <v xml:space="preserve"> -</v>
      </c>
      <c r="I31" s="349">
        <f ca="1">VLOOKUP(G31,Postupy!$A$3:$AW$18,49,0)</f>
        <v>0</v>
      </c>
      <c r="J31" s="293"/>
      <c r="K31" s="279"/>
      <c r="L31" s="390"/>
      <c r="M31" s="279"/>
      <c r="N31" s="279"/>
      <c r="O31" s="343"/>
      <c r="P31" s="330" t="s">
        <v>1748</v>
      </c>
      <c r="Q31" s="331" t="str">
        <f ca="1">IF(OR(TRIM(P32)="-",TRIM(P33)="-"),"",VLOOKUP(MIN(O32,O33),Hřiště!$B$11:$E$42,4,0))</f>
        <v/>
      </c>
      <c r="R31" s="343"/>
      <c r="S31" s="343"/>
      <c r="T31" s="279"/>
      <c r="U31" s="279"/>
      <c r="V31" s="279"/>
      <c r="W31" s="279"/>
      <c r="X31" s="279"/>
      <c r="Y31" s="279"/>
      <c r="Z31" s="279"/>
      <c r="AA31" s="279"/>
      <c r="AB31" s="279"/>
      <c r="AC31" s="279"/>
    </row>
    <row r="32" spans="1:29" ht="18">
      <c r="A32" s="337" t="str">
        <f ca="1">VLOOKUP(C32,Postupy!$A$3:$C$18,3,0)</f>
        <v/>
      </c>
      <c r="B32" s="279"/>
      <c r="C32" s="339">
        <v>15</v>
      </c>
      <c r="D32" s="419" t="str">
        <f ca="1">VLOOKUP(C32,Postupy!$A$3:$AT$18,46,0)</f>
        <v xml:space="preserve"> - </v>
      </c>
      <c r="E32" s="341">
        <f ca="1">VLOOKUP(C32,Postupy!$A$3:$AU$18,47,0)</f>
        <v>0</v>
      </c>
      <c r="F32" s="437"/>
      <c r="G32" s="434"/>
      <c r="H32" s="390"/>
      <c r="I32" s="325"/>
      <c r="J32" s="279"/>
      <c r="K32" s="279"/>
      <c r="L32" s="279"/>
      <c r="M32" s="279"/>
      <c r="N32" s="279"/>
      <c r="O32" s="339">
        <v>4</v>
      </c>
      <c r="P32" s="340" t="str">
        <f ca="1">IF(OR(TRIM(L10)="-",TRIM(L11)="-"), IF(TRIM(L10)="-",L11,L10),IF(AND(M10="",M11="")," ",IF(N(M11)=N(M10)," ",IF(N(M11)&gt;N(M10),L10,L11))))</f>
        <v xml:space="preserve"> -</v>
      </c>
      <c r="Q32" s="341">
        <f ca="1">VLOOKUP(O32,Postupy!$A$3:$BA$6,53,0)</f>
        <v>0</v>
      </c>
      <c r="R32" s="365"/>
      <c r="S32" s="393">
        <v>3</v>
      </c>
      <c r="T32" s="412" t="str">
        <f ca="1">IF(AND(Q32="",Q33="")," ",IF(N(Q32)=N(Q33)," ",IF(N(Q32)&gt;N(Q33),P32,P33)))</f>
        <v xml:space="preserve"> </v>
      </c>
      <c r="U32" s="413">
        <v>3</v>
      </c>
      <c r="V32" s="279"/>
      <c r="W32" s="279"/>
      <c r="X32" s="279"/>
      <c r="Y32" s="279"/>
      <c r="Z32" s="279"/>
      <c r="AA32" s="279"/>
    </row>
    <row r="33" spans="1:27" ht="18">
      <c r="A33" s="337" t="str">
        <f ca="1">VLOOKUP(C33,Postupy!$A$3:$C$18,3,0)</f>
        <v>B1</v>
      </c>
      <c r="B33" s="279"/>
      <c r="C33" s="347">
        <v>2</v>
      </c>
      <c r="D33" s="419" t="str">
        <f ca="1">VLOOKUP(C33,Postupy!$A$3:$AT$18,46,0)</f>
        <v xml:space="preserve"> -</v>
      </c>
      <c r="E33" s="349">
        <f ca="1">VLOOKUP(C33,Postupy!$A$3:$AU$18,47,0)</f>
        <v>0</v>
      </c>
      <c r="F33" s="293"/>
      <c r="G33" s="279"/>
      <c r="H33" s="390"/>
      <c r="I33" s="279"/>
      <c r="J33" s="279"/>
      <c r="K33" s="279"/>
      <c r="L33" s="279"/>
      <c r="M33" s="279"/>
      <c r="N33" s="279"/>
      <c r="O33" s="347">
        <v>3</v>
      </c>
      <c r="P33" s="348" t="str">
        <f ca="1">IF(OR(TRIM(L26)="-",TRIM(L27)="-"), IF(TRIM(L26)="-",L27,L26),IF(AND(M26="",M27="")," ",IF(N(M27)=N(M26)," ",IF(N(M27)&gt;N(M26),L26,L27))))</f>
        <v xml:space="preserve"> -</v>
      </c>
      <c r="Q33" s="349">
        <f ca="1">VLOOKUP(O33,Postupy!$A$3:$BA$6,53,0)</f>
        <v>0</v>
      </c>
      <c r="R33" s="350"/>
      <c r="S33" s="393">
        <v>4</v>
      </c>
      <c r="T33" s="412" t="str">
        <f ca="1">IF(AND(Q32="",Q33="")," ",IF(N(Q33)=N(Q32)," ",IF(N(Q33)&gt;N(Q32),P32,P33)))</f>
        <v xml:space="preserve"> </v>
      </c>
      <c r="U33" s="413">
        <v>4</v>
      </c>
      <c r="V33" s="279"/>
      <c r="W33" s="279"/>
      <c r="X33" s="279"/>
      <c r="Y33" s="279"/>
      <c r="Z33" s="279"/>
      <c r="AA33" s="279"/>
    </row>
    <row r="34" spans="1:27">
      <c r="A34" s="353"/>
      <c r="B34" s="439"/>
      <c r="C34" s="449">
        <f>SUM(C32:C33)</f>
        <v>17</v>
      </c>
      <c r="D34" s="395"/>
      <c r="E34" s="410"/>
      <c r="F34" s="279"/>
      <c r="G34" s="279"/>
      <c r="H34" s="450"/>
      <c r="I34" s="279"/>
      <c r="J34" s="279"/>
      <c r="K34" s="279"/>
      <c r="L34" s="279"/>
      <c r="M34" s="279"/>
      <c r="N34" s="279"/>
      <c r="O34" s="279"/>
      <c r="P34" s="279"/>
      <c r="Q34" s="279"/>
      <c r="R34" s="279"/>
      <c r="S34" s="346"/>
      <c r="T34" s="279"/>
      <c r="U34" s="279"/>
      <c r="V34" s="279"/>
      <c r="W34" s="279"/>
      <c r="X34" s="279"/>
      <c r="Y34" s="279"/>
      <c r="Z34" s="279"/>
      <c r="AA34" s="279"/>
    </row>
    <row r="35" spans="1:27">
      <c r="A35" s="359"/>
      <c r="B35" s="439"/>
      <c r="C35" s="440"/>
      <c r="D35" s="346"/>
      <c r="E35" s="279"/>
      <c r="F35" s="279"/>
      <c r="G35" s="279"/>
      <c r="H35" s="451"/>
      <c r="I35" s="279"/>
      <c r="J35" s="279"/>
      <c r="K35" s="279"/>
      <c r="L35" s="279"/>
      <c r="M35" s="279"/>
      <c r="N35" s="279"/>
      <c r="O35" s="279"/>
      <c r="P35" s="279"/>
      <c r="Q35" s="279"/>
      <c r="R35" s="279"/>
      <c r="S35" s="346"/>
      <c r="T35" s="279"/>
      <c r="U35" s="279"/>
      <c r="V35" s="279"/>
      <c r="W35" s="279"/>
      <c r="X35" s="279"/>
      <c r="Y35" s="279"/>
      <c r="Z35" s="279"/>
      <c r="AA35" s="279"/>
    </row>
    <row r="36" spans="1:27">
      <c r="A36" s="279"/>
      <c r="B36" s="408"/>
      <c r="C36" s="279"/>
      <c r="D36" s="279"/>
      <c r="E36" s="279"/>
      <c r="F36" s="279"/>
      <c r="G36" s="279"/>
      <c r="H36" s="279"/>
      <c r="I36" s="279"/>
      <c r="J36" s="279"/>
      <c r="K36" s="279"/>
      <c r="L36" s="279"/>
      <c r="M36" s="279"/>
      <c r="N36" s="279"/>
      <c r="O36" s="279"/>
      <c r="P36" s="279"/>
      <c r="Q36" s="279"/>
      <c r="R36" s="279"/>
      <c r="S36" s="346"/>
      <c r="T36" s="279"/>
      <c r="U36" s="279"/>
      <c r="V36" s="279"/>
      <c r="W36" s="279"/>
      <c r="X36" s="279"/>
      <c r="Y36" s="279"/>
      <c r="Z36" s="279"/>
      <c r="AA36" s="279"/>
    </row>
    <row r="37" spans="1:27">
      <c r="A37" s="279"/>
      <c r="B37" s="408"/>
      <c r="C37" s="279"/>
      <c r="D37" s="279"/>
      <c r="E37" s="391"/>
      <c r="F37" s="279"/>
      <c r="G37" s="279"/>
      <c r="H37" s="279"/>
      <c r="I37" s="279"/>
      <c r="J37" s="279"/>
      <c r="K37" s="279"/>
      <c r="L37" s="279"/>
      <c r="M37" s="279"/>
      <c r="N37" s="279"/>
      <c r="O37" s="279"/>
      <c r="P37" s="279"/>
      <c r="Q37" s="279"/>
      <c r="R37" s="279"/>
      <c r="S37" s="346"/>
      <c r="T37" s="279"/>
      <c r="U37" s="279"/>
      <c r="V37" s="279"/>
      <c r="W37" s="279"/>
      <c r="X37" s="279"/>
      <c r="Y37" s="279"/>
      <c r="Z37" s="279"/>
      <c r="AA37" s="279"/>
    </row>
    <row r="38" spans="1:27">
      <c r="A38" s="279"/>
      <c r="B38" s="408"/>
      <c r="C38" s="279"/>
      <c r="D38" s="346"/>
      <c r="E38" s="279"/>
      <c r="F38" s="279"/>
      <c r="G38" s="279"/>
      <c r="H38" s="279"/>
      <c r="I38" s="279"/>
      <c r="J38" s="279"/>
      <c r="K38" s="279"/>
      <c r="L38" s="279"/>
      <c r="M38" s="279"/>
      <c r="N38" s="279"/>
      <c r="O38" s="279"/>
      <c r="P38" s="279"/>
      <c r="Q38" s="279"/>
      <c r="R38" s="279"/>
      <c r="S38" s="346"/>
      <c r="T38" s="279"/>
      <c r="U38" s="279"/>
      <c r="V38" s="279"/>
      <c r="W38" s="279"/>
      <c r="X38" s="279"/>
      <c r="Y38" s="279"/>
      <c r="Z38" s="279"/>
      <c r="AA38" s="279"/>
    </row>
    <row r="39" spans="1:27">
      <c r="A39" s="279"/>
      <c r="B39" s="408"/>
      <c r="C39" s="279"/>
      <c r="D39" s="346"/>
      <c r="E39" s="279"/>
      <c r="F39" s="279"/>
      <c r="G39" s="279"/>
      <c r="H39" s="279"/>
      <c r="I39" s="279"/>
      <c r="J39" s="279"/>
      <c r="K39" s="279"/>
      <c r="L39" s="279"/>
      <c r="M39" s="279"/>
      <c r="N39" s="279"/>
      <c r="O39" s="279"/>
      <c r="P39" s="279"/>
      <c r="Q39" s="279"/>
      <c r="R39" s="279"/>
      <c r="S39" s="346"/>
      <c r="T39" s="279"/>
      <c r="U39" s="279"/>
      <c r="V39" s="279"/>
      <c r="W39" s="279"/>
      <c r="X39" s="279"/>
      <c r="Y39" s="279"/>
      <c r="Z39" s="279"/>
      <c r="AA39" s="279"/>
    </row>
    <row r="40" spans="1:27">
      <c r="A40" s="279"/>
      <c r="B40" s="408"/>
      <c r="C40" s="279"/>
      <c r="D40" s="346"/>
      <c r="E40" s="279"/>
      <c r="F40" s="279"/>
      <c r="G40" s="279"/>
      <c r="H40" s="279"/>
      <c r="I40" s="279"/>
      <c r="J40" s="279"/>
      <c r="K40" s="279"/>
      <c r="L40" s="279"/>
      <c r="M40" s="279"/>
      <c r="N40" s="279"/>
      <c r="O40" s="279"/>
      <c r="P40" s="279"/>
      <c r="Q40" s="279"/>
      <c r="R40" s="279"/>
      <c r="S40" s="346"/>
      <c r="T40" s="279"/>
      <c r="U40" s="279"/>
      <c r="V40" s="279"/>
      <c r="W40" s="279"/>
      <c r="X40" s="279"/>
      <c r="Y40" s="279"/>
      <c r="Z40" s="279"/>
      <c r="AA40" s="279"/>
    </row>
    <row r="41" spans="1:27">
      <c r="A41" s="279"/>
      <c r="B41" s="408"/>
      <c r="C41" s="279"/>
      <c r="D41" s="346"/>
      <c r="E41" s="279"/>
      <c r="F41" s="279"/>
      <c r="G41" s="279"/>
      <c r="H41" s="279"/>
      <c r="I41" s="279"/>
      <c r="J41" s="279"/>
      <c r="K41" s="279"/>
      <c r="L41" s="279"/>
      <c r="M41" s="279"/>
      <c r="N41" s="279"/>
      <c r="O41" s="279"/>
      <c r="P41" s="279"/>
      <c r="Q41" s="279"/>
      <c r="R41" s="279"/>
      <c r="S41" s="346"/>
      <c r="T41" s="279"/>
      <c r="U41" s="279"/>
      <c r="V41" s="279"/>
      <c r="W41" s="279"/>
      <c r="X41" s="279"/>
      <c r="Y41" s="279"/>
      <c r="Z41" s="279"/>
      <c r="AA41" s="279"/>
    </row>
    <row r="42" spans="1:27">
      <c r="A42" s="279"/>
      <c r="B42" s="408"/>
      <c r="C42" s="279"/>
      <c r="D42" s="346"/>
      <c r="E42" s="279"/>
      <c r="F42" s="279"/>
      <c r="G42" s="279"/>
      <c r="H42" s="279"/>
      <c r="I42" s="279"/>
      <c r="J42" s="279"/>
      <c r="K42" s="279"/>
      <c r="L42" s="279"/>
      <c r="M42" s="279"/>
      <c r="N42" s="279"/>
      <c r="O42" s="279"/>
      <c r="P42" s="279"/>
      <c r="Q42" s="279"/>
      <c r="R42" s="279"/>
      <c r="S42" s="346"/>
      <c r="T42" s="279"/>
      <c r="U42" s="279"/>
      <c r="V42" s="279"/>
      <c r="W42" s="279"/>
      <c r="X42" s="279"/>
      <c r="Y42" s="279"/>
      <c r="Z42" s="279"/>
      <c r="AA42" s="279"/>
    </row>
    <row r="43" spans="1:27">
      <c r="A43" s="279"/>
      <c r="B43" s="408"/>
      <c r="C43" s="279"/>
      <c r="D43" s="346"/>
      <c r="E43" s="279"/>
      <c r="F43" s="279"/>
      <c r="G43" s="279"/>
      <c r="H43" s="279"/>
      <c r="I43" s="279"/>
      <c r="J43" s="279"/>
      <c r="K43" s="279"/>
      <c r="L43" s="279"/>
      <c r="M43" s="279"/>
      <c r="N43" s="279"/>
      <c r="O43" s="279"/>
      <c r="P43" s="279"/>
      <c r="Q43" s="279"/>
      <c r="R43" s="279"/>
      <c r="S43" s="346"/>
      <c r="T43" s="279"/>
      <c r="U43" s="279"/>
      <c r="V43" s="279"/>
      <c r="W43" s="279"/>
      <c r="X43" s="279"/>
      <c r="Y43" s="279"/>
      <c r="Z43" s="279"/>
      <c r="AA43" s="279"/>
    </row>
    <row r="44" spans="1:27">
      <c r="A44" s="279"/>
      <c r="B44" s="408"/>
      <c r="C44" s="279"/>
      <c r="D44" s="346"/>
      <c r="E44" s="279"/>
      <c r="F44" s="279"/>
      <c r="G44" s="279"/>
      <c r="H44" s="279"/>
      <c r="I44" s="279"/>
      <c r="J44" s="279"/>
      <c r="K44" s="279"/>
      <c r="L44" s="279"/>
      <c r="M44" s="279"/>
      <c r="N44" s="279"/>
      <c r="O44" s="279"/>
      <c r="P44" s="279"/>
      <c r="Q44" s="279"/>
      <c r="R44" s="279"/>
      <c r="S44" s="346"/>
      <c r="T44" s="279"/>
      <c r="U44" s="279"/>
      <c r="V44" s="279"/>
      <c r="W44" s="279"/>
      <c r="X44" s="279"/>
      <c r="Y44" s="279"/>
      <c r="Z44" s="279"/>
      <c r="AA44" s="279"/>
    </row>
    <row r="45" spans="1:27">
      <c r="A45" s="279"/>
      <c r="B45" s="408"/>
      <c r="C45" s="279"/>
      <c r="D45" s="346"/>
      <c r="E45" s="279"/>
      <c r="F45" s="279"/>
      <c r="G45" s="279"/>
      <c r="H45" s="279"/>
      <c r="I45" s="279"/>
      <c r="J45" s="279"/>
      <c r="K45" s="279"/>
      <c r="L45" s="279"/>
      <c r="M45" s="279"/>
      <c r="N45" s="279"/>
      <c r="O45" s="279"/>
      <c r="P45" s="279"/>
      <c r="Q45" s="279"/>
      <c r="R45" s="279"/>
      <c r="S45" s="346"/>
      <c r="T45" s="279"/>
      <c r="U45" s="279"/>
      <c r="V45" s="279"/>
      <c r="W45" s="279"/>
      <c r="X45" s="279"/>
      <c r="Y45" s="279"/>
      <c r="Z45" s="279"/>
      <c r="AA45" s="279"/>
    </row>
    <row r="46" spans="1:27">
      <c r="A46" s="279"/>
      <c r="B46" s="408"/>
      <c r="C46" s="279"/>
      <c r="D46" s="346"/>
      <c r="E46" s="279"/>
      <c r="F46" s="279"/>
      <c r="G46" s="279"/>
      <c r="H46" s="279"/>
      <c r="I46" s="279"/>
      <c r="J46" s="279"/>
      <c r="K46" s="279"/>
      <c r="L46" s="279"/>
      <c r="M46" s="279"/>
      <c r="N46" s="279"/>
      <c r="O46" s="279"/>
      <c r="P46" s="279"/>
      <c r="Q46" s="279"/>
      <c r="R46" s="279"/>
      <c r="S46" s="346"/>
      <c r="T46" s="279"/>
      <c r="U46" s="279"/>
      <c r="V46" s="279"/>
      <c r="W46" s="279"/>
      <c r="X46" s="279"/>
      <c r="Y46" s="279"/>
      <c r="Z46" s="279"/>
      <c r="AA46" s="279"/>
    </row>
    <row r="47" spans="1:27">
      <c r="A47" s="279"/>
      <c r="B47" s="408"/>
      <c r="C47" s="279"/>
      <c r="D47" s="346"/>
      <c r="E47" s="279"/>
      <c r="F47" s="279"/>
      <c r="G47" s="279"/>
      <c r="H47" s="279"/>
      <c r="I47" s="279"/>
      <c r="J47" s="279"/>
      <c r="K47" s="279"/>
      <c r="L47" s="279"/>
      <c r="M47" s="279"/>
      <c r="N47" s="279"/>
      <c r="O47" s="279"/>
      <c r="P47" s="279"/>
      <c r="Q47" s="279"/>
      <c r="R47" s="279"/>
      <c r="S47" s="346"/>
      <c r="T47" s="279"/>
      <c r="U47" s="279"/>
      <c r="V47" s="279"/>
      <c r="W47" s="279"/>
      <c r="X47" s="279"/>
      <c r="Y47" s="279"/>
      <c r="Z47" s="279"/>
      <c r="AA47" s="279"/>
    </row>
    <row r="48" spans="1:27">
      <c r="A48" s="279"/>
      <c r="B48" s="408"/>
      <c r="C48" s="279"/>
      <c r="D48" s="346"/>
      <c r="E48" s="279"/>
      <c r="F48" s="279"/>
      <c r="G48" s="279"/>
      <c r="H48" s="279"/>
      <c r="I48" s="279"/>
      <c r="J48" s="279"/>
      <c r="K48" s="279"/>
      <c r="L48" s="279"/>
      <c r="M48" s="279"/>
      <c r="N48" s="279"/>
      <c r="O48" s="279"/>
      <c r="P48" s="279"/>
      <c r="Q48" s="279"/>
      <c r="R48" s="279"/>
      <c r="S48" s="346"/>
      <c r="T48" s="279"/>
      <c r="U48" s="279"/>
      <c r="V48" s="279"/>
      <c r="W48" s="279"/>
      <c r="X48" s="279"/>
      <c r="Y48" s="279"/>
      <c r="Z48" s="279"/>
      <c r="AA48" s="279"/>
    </row>
    <row r="49" spans="1:27">
      <c r="A49" s="279"/>
      <c r="B49" s="408"/>
      <c r="C49" s="279"/>
      <c r="D49" s="346"/>
      <c r="E49" s="279"/>
      <c r="F49" s="279"/>
      <c r="G49" s="279"/>
      <c r="H49" s="279"/>
      <c r="I49" s="279"/>
      <c r="J49" s="279"/>
      <c r="K49" s="279"/>
      <c r="L49" s="279"/>
      <c r="M49" s="279"/>
      <c r="N49" s="279"/>
      <c r="O49" s="279"/>
      <c r="P49" s="279"/>
      <c r="Q49" s="279"/>
      <c r="R49" s="279"/>
      <c r="S49" s="346"/>
      <c r="T49" s="279"/>
      <c r="U49" s="279"/>
      <c r="V49" s="279"/>
      <c r="W49" s="279"/>
      <c r="X49" s="279"/>
      <c r="Y49" s="279"/>
      <c r="Z49" s="279"/>
      <c r="AA49" s="279"/>
    </row>
    <row r="50" spans="1:27">
      <c r="A50" s="279"/>
      <c r="B50" s="408"/>
      <c r="C50" s="279"/>
      <c r="D50" s="346"/>
      <c r="E50" s="279"/>
      <c r="F50" s="279"/>
      <c r="G50" s="279"/>
      <c r="H50" s="279"/>
      <c r="I50" s="279"/>
      <c r="J50" s="279"/>
      <c r="K50" s="279"/>
      <c r="L50" s="279"/>
      <c r="M50" s="279"/>
      <c r="N50" s="279"/>
      <c r="O50" s="279"/>
      <c r="P50" s="279"/>
      <c r="Q50" s="279"/>
      <c r="R50" s="279"/>
      <c r="S50" s="346"/>
      <c r="T50" s="279"/>
      <c r="U50" s="279"/>
      <c r="V50" s="279"/>
      <c r="W50" s="279"/>
      <c r="X50" s="279"/>
      <c r="Y50" s="279"/>
      <c r="Z50" s="279"/>
      <c r="AA50" s="279"/>
    </row>
    <row r="51" spans="1:27">
      <c r="A51" s="279"/>
      <c r="B51" s="408"/>
      <c r="C51" s="279"/>
      <c r="D51" s="346"/>
      <c r="E51" s="279"/>
      <c r="F51" s="279"/>
      <c r="G51" s="279"/>
      <c r="H51" s="279"/>
      <c r="I51" s="279"/>
      <c r="J51" s="279"/>
      <c r="K51" s="279"/>
      <c r="L51" s="279"/>
      <c r="M51" s="279"/>
      <c r="N51" s="279"/>
      <c r="O51" s="279"/>
      <c r="P51" s="279"/>
      <c r="Q51" s="279"/>
      <c r="R51" s="279"/>
      <c r="S51" s="346"/>
      <c r="T51" s="279"/>
      <c r="U51" s="279"/>
      <c r="V51" s="279"/>
      <c r="W51" s="279"/>
      <c r="X51" s="279"/>
      <c r="Y51" s="279"/>
      <c r="Z51" s="279"/>
      <c r="AA51" s="279"/>
    </row>
  </sheetData>
  <sheetProtection password="CA1B" sheet="1" formatCells="0" formatColumns="0" formatRows="0"/>
  <conditionalFormatting sqref="D16 D12 H22 P32 D4 D8 D20 D28 H6 H14 L26 H30 L10 P18 D24 D32">
    <cfRule type="expression" dxfId="34" priority="2">
      <formula>IF(N(E4)&gt;N(E5),1,0)</formula>
    </cfRule>
  </conditionalFormatting>
  <conditionalFormatting sqref="C4 K26 C8 C12 C16 C20 C24 C28 C32 G6 G14 G22 G30 K10 O18 O32">
    <cfRule type="expression" dxfId="33" priority="3">
      <formula>IF(N(E4)&gt;N(E5),1,0)</formula>
    </cfRule>
  </conditionalFormatting>
  <conditionalFormatting sqref="M26 M10 I14 E4 Q18 E8 E12 E16 E20 I30 I22 E28 E24 I6 E32 Q32">
    <cfRule type="expression" dxfId="32" priority="4">
      <formula>IF(N(E4)&gt;N(E5),1,0)</formula>
    </cfRule>
  </conditionalFormatting>
  <conditionalFormatting sqref="C5 K27 C9 C13 C17 C21 C25 C29 C33 G7 G15 G23 G31 K11 O19 O33">
    <cfRule type="expression" dxfId="31" priority="5">
      <formula>IF(N(E5)&gt;N(E4),1,0)</formula>
    </cfRule>
  </conditionalFormatting>
  <conditionalFormatting sqref="H15 H7 P19 L11 H31 L27 P33 H23">
    <cfRule type="expression" dxfId="30" priority="6">
      <formula>IF(N(I7)&gt;N(I6),1,0)</formula>
    </cfRule>
  </conditionalFormatting>
  <conditionalFormatting sqref="M27 M11 I15 E5 Q19 E9 E13 E17 E21 I31 I23 E29 E25 I7 E33 Q33">
    <cfRule type="expression" dxfId="29" priority="7">
      <formula>IF(N(E5)&gt;N(E4),1,0)</formula>
    </cfRule>
  </conditionalFormatting>
  <conditionalFormatting sqref="D5 D9 D13 D17 D21 D25 D29 D33">
    <cfRule type="expression" dxfId="28" priority="8">
      <formula>IF(N(E5)&gt;N(E4),1,0)</formula>
    </cfRule>
  </conditionalFormatting>
  <pageMargins left="0.62986111111111098" right="1.4597222222222199" top="0.12986111111111101" bottom="0.140277777777778" header="0.51180555555555496" footer="0.51180555555555496"/>
  <pageSetup paperSize="9" firstPageNumber="0" fitToWidth="2" orientation="landscape"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6"/>
  <sheetViews>
    <sheetView topLeftCell="B1" zoomScaleNormal="100" workbookViewId="0">
      <pane xSplit="3" ySplit="3" topLeftCell="E4" activePane="bottomRight" state="frozen"/>
      <selection activeCell="B1" sqref="B1"/>
      <selection pane="topRight" activeCell="E1" sqref="E1"/>
      <selection pane="bottomLeft" activeCell="B4" sqref="B4"/>
      <selection pane="bottomRight" activeCell="E4" sqref="E4"/>
    </sheetView>
  </sheetViews>
  <sheetFormatPr defaultColWidth="8.7109375"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c r="A1" s="452"/>
      <c r="B1" s="293"/>
      <c r="C1" s="320"/>
      <c r="D1" s="320"/>
      <c r="E1" s="320"/>
      <c r="F1" s="320"/>
      <c r="G1" s="320"/>
      <c r="H1" s="320"/>
      <c r="I1" s="320"/>
      <c r="J1" s="320"/>
      <c r="K1" s="320"/>
      <c r="L1" s="320"/>
      <c r="M1" s="320"/>
      <c r="N1" s="320"/>
      <c r="O1" s="320"/>
      <c r="P1" s="320"/>
      <c r="R1" s="279"/>
      <c r="S1" s="279"/>
      <c r="T1" s="279"/>
      <c r="U1" s="279"/>
      <c r="V1" s="325"/>
      <c r="W1" s="279"/>
      <c r="X1" s="279"/>
      <c r="Y1" s="279"/>
      <c r="Z1" s="325"/>
      <c r="AA1" s="279"/>
    </row>
    <row r="2" spans="1:30" ht="32.450000000000003" customHeight="1">
      <c r="A2" s="321"/>
      <c r="B2" s="408"/>
      <c r="C2" s="323">
        <v>16</v>
      </c>
      <c r="D2" s="453" t="s">
        <v>1752</v>
      </c>
      <c r="E2" s="325"/>
      <c r="F2" s="279"/>
      <c r="G2" s="279"/>
      <c r="H2" s="279"/>
      <c r="I2" s="279"/>
      <c r="J2" s="279"/>
      <c r="K2" s="279"/>
      <c r="L2" s="279"/>
      <c r="M2" s="279"/>
      <c r="N2" s="279"/>
      <c r="O2" s="279"/>
      <c r="P2" s="279"/>
      <c r="Q2" s="279"/>
      <c r="R2" s="279"/>
      <c r="S2" s="279"/>
      <c r="T2" s="279"/>
      <c r="U2" s="279"/>
      <c r="V2" s="325"/>
      <c r="W2" s="279"/>
      <c r="X2" s="279"/>
      <c r="Y2" s="279"/>
      <c r="Z2" s="325"/>
      <c r="AA2" s="279"/>
    </row>
    <row r="3" spans="1:30" ht="28.9" customHeight="1">
      <c r="A3" s="279"/>
      <c r="B3" s="328"/>
      <c r="C3" s="333"/>
      <c r="D3" s="330" t="s">
        <v>1748</v>
      </c>
      <c r="E3" s="331" t="str">
        <f ca="1">IF(OR(TRIM(D4)="-",TRIM(D5)="-"),"",VLOOKUP(MIN(C4,C5),Hřiště!$B$11:$E$42,4,0))</f>
        <v/>
      </c>
      <c r="F3" s="454"/>
      <c r="G3" s="455"/>
      <c r="H3" s="334"/>
      <c r="I3" s="456"/>
      <c r="J3" s="454"/>
      <c r="K3" s="454"/>
      <c r="L3" s="334"/>
      <c r="M3" s="456"/>
      <c r="N3" s="454"/>
      <c r="O3" s="454"/>
      <c r="P3" s="334"/>
      <c r="Q3" s="335"/>
      <c r="R3" s="279"/>
      <c r="S3" s="279"/>
      <c r="T3" s="279"/>
      <c r="U3" s="279"/>
      <c r="V3" s="325"/>
      <c r="W3" s="279"/>
      <c r="X3" s="279"/>
      <c r="Y3" s="279"/>
      <c r="Z3" s="325"/>
      <c r="AA3" s="279"/>
    </row>
    <row r="4" spans="1:30" ht="18">
      <c r="A4" s="337" t="str">
        <f ca="1">VLOOKUP(C4,Postupy!$A$3:$C$34,3,0)</f>
        <v/>
      </c>
      <c r="B4" s="408"/>
      <c r="C4" s="339">
        <v>16</v>
      </c>
      <c r="D4" s="419" t="str">
        <f ca="1">IF(OR(TRIM('KO16'!D4)="-",TRIM('KO16'!D5)="-"), IF(TRIM('KO16'!D4)="-",'KO16'!D4,'KO16'!D5),IF(AND('KO16'!E4="",'KO16'!E5="")," ",IF(N('KO16'!E4)=N('KO16'!E5)," ",IF(N('KO16'!E4)&gt;N('KO16'!E5),'KO16'!D5,'KO16'!D4))))</f>
        <v xml:space="preserve"> - </v>
      </c>
      <c r="E4" s="341"/>
      <c r="F4" s="431"/>
      <c r="G4" s="279"/>
      <c r="H4" s="432"/>
      <c r="I4" s="414"/>
      <c r="J4" s="279"/>
      <c r="K4" s="279"/>
      <c r="L4" s="390"/>
      <c r="M4" s="414"/>
      <c r="N4" s="279"/>
      <c r="O4" s="279"/>
      <c r="P4" s="279"/>
      <c r="Q4" s="279"/>
      <c r="R4" s="279"/>
      <c r="S4" s="279"/>
      <c r="T4" s="346"/>
      <c r="U4" s="279"/>
      <c r="V4" s="279"/>
      <c r="W4" s="279"/>
      <c r="X4" s="279"/>
      <c r="Y4" s="279"/>
      <c r="Z4" s="279"/>
      <c r="AA4" s="279"/>
      <c r="AB4" s="279"/>
    </row>
    <row r="5" spans="1:30" ht="18.75">
      <c r="A5" s="337" t="str">
        <f ca="1">VLOOKUP(C5,Postupy!$A$3:$C$34,3,0)</f>
        <v/>
      </c>
      <c r="B5" s="328"/>
      <c r="C5" s="347">
        <v>9</v>
      </c>
      <c r="D5" s="457" t="str">
        <f ca="1">IF(OR(TRIM('KO16'!D8)="-",TRIM('KO16'!D9)="-"), IF(TRIM('KO16'!D8)="-",'KO16'!D8,'KO16'!D9),IF(AND('KO16'!E8="",'KO16'!E9="")," ",IF(N('KO16'!E8)=N('KO16'!E9)," ",IF(N('KO16'!E8)&gt;N('KO16'!E9),'KO16'!D9,'KO16'!D8))))</f>
        <v xml:space="preserve"> - </v>
      </c>
      <c r="E5" s="349"/>
      <c r="F5" s="433"/>
      <c r="G5" s="434"/>
      <c r="H5" s="330" t="s">
        <v>1748</v>
      </c>
      <c r="I5" s="331" t="str">
        <f ca="1">IF(OR(TRIM(H6)="-",TRIM(H7)="-"),"",VLOOKUP(MIN(G6,G7),Hřiště!$B$11:$E$42,4,0))</f>
        <v/>
      </c>
      <c r="J5" s="279"/>
      <c r="K5" s="279"/>
      <c r="L5" s="390"/>
      <c r="M5" s="414"/>
      <c r="N5" s="279"/>
      <c r="O5" s="279"/>
      <c r="P5" s="279"/>
      <c r="Q5" s="279"/>
      <c r="R5" s="279"/>
      <c r="S5" s="279"/>
      <c r="T5" s="346"/>
      <c r="U5" s="279"/>
      <c r="V5" s="279"/>
      <c r="W5" s="279"/>
      <c r="X5" s="279"/>
      <c r="Y5" s="279"/>
      <c r="Z5" s="279"/>
      <c r="AA5" s="279"/>
      <c r="AB5" s="279"/>
    </row>
    <row r="6" spans="1:30" ht="18">
      <c r="A6" s="353"/>
      <c r="B6" s="408"/>
      <c r="C6" s="279"/>
      <c r="D6" s="438"/>
      <c r="E6" s="414"/>
      <c r="F6" s="279"/>
      <c r="G6" s="339">
        <v>9</v>
      </c>
      <c r="H6" s="340" t="str">
        <f ca="1">IF(OR(TRIM(D4)="-",TRIM(D5)="-"), IF(TRIM(D4)="-",D5,D4),IF(AND(E4="",E5="")," ",IF(N(E4)=N(E5)," ",IF(N(E4)&gt;N(E5),D4,D5))))</f>
        <v xml:space="preserve"> - </v>
      </c>
      <c r="I6" s="341"/>
      <c r="J6" s="431"/>
      <c r="K6" s="325"/>
      <c r="L6" s="436"/>
      <c r="M6" s="458"/>
      <c r="N6" s="279"/>
      <c r="O6" s="279"/>
      <c r="P6" s="279"/>
      <c r="Q6" s="279"/>
      <c r="R6" s="279"/>
      <c r="S6" s="279"/>
      <c r="T6" s="279"/>
      <c r="U6" s="279"/>
      <c r="V6" s="325"/>
      <c r="W6" s="279"/>
      <c r="X6" s="279"/>
      <c r="Y6" s="279"/>
      <c r="Z6" s="325"/>
      <c r="AA6" s="279"/>
      <c r="AB6" s="279"/>
      <c r="AC6" s="279"/>
      <c r="AD6" s="346"/>
    </row>
    <row r="7" spans="1:30" ht="18.75">
      <c r="A7" s="359"/>
      <c r="B7" s="328"/>
      <c r="C7" s="279"/>
      <c r="D7" s="330" t="s">
        <v>1748</v>
      </c>
      <c r="E7" s="331" t="str">
        <f ca="1">IF(OR(TRIM(D8)="-",TRIM(D9)="-"),"",VLOOKUP(MIN(C8,C9),Hřiště!$B$11:$E$42,4,0))</f>
        <v/>
      </c>
      <c r="F7" s="279"/>
      <c r="G7" s="347">
        <v>12</v>
      </c>
      <c r="H7" s="348" t="str">
        <f ca="1">IF(OR(TRIM(D8)="-",TRIM(D9)="-"), IF(TRIM(D8)="-",D9,D8),IF(AND(E8="",E9="")," ",IF(N(E8)=N(E9)," ",IF(N(E8)&gt;N(E9),D8,D9))))</f>
        <v xml:space="preserve"> - </v>
      </c>
      <c r="I7" s="349"/>
      <c r="J7" s="433"/>
      <c r="K7" s="434"/>
      <c r="L7" s="436"/>
      <c r="M7" s="458"/>
      <c r="N7" s="279"/>
      <c r="O7" s="279"/>
      <c r="P7" s="279"/>
      <c r="Q7" s="279"/>
      <c r="R7" s="279"/>
      <c r="S7" s="279"/>
      <c r="T7" s="279"/>
      <c r="U7" s="279"/>
      <c r="V7" s="325"/>
      <c r="W7" s="279"/>
      <c r="X7" s="279"/>
      <c r="Y7" s="279"/>
      <c r="Z7" s="325"/>
      <c r="AA7" s="279"/>
      <c r="AB7" s="279"/>
      <c r="AC7" s="279"/>
      <c r="AD7" s="279"/>
    </row>
    <row r="8" spans="1:30" ht="18">
      <c r="A8" s="337" t="str">
        <f ca="1">VLOOKUP(C8,Postupy!$A$3:$C$34,3,0)</f>
        <v/>
      </c>
      <c r="B8" s="408"/>
      <c r="C8" s="339">
        <v>12</v>
      </c>
      <c r="D8" s="419" t="str">
        <f ca="1">IF(OR(TRIM('KO16'!D12)="-",TRIM('KO16'!D13)="-"), IF(TRIM('KO16'!D12)="-",'KO16'!D12,'KO16'!D13),IF(AND('KO16'!E12="",'KO16'!E13="")," ",IF(N('KO16'!E12)=N('KO16'!E13)," ",IF(N('KO16'!E12)&gt;N('KO16'!E13),'KO16'!D13,'KO16'!D12))))</f>
        <v xml:space="preserve"> - </v>
      </c>
      <c r="E8" s="341"/>
      <c r="F8" s="437"/>
      <c r="G8" s="434"/>
      <c r="H8" s="438"/>
      <c r="I8" s="458"/>
      <c r="J8" s="279"/>
      <c r="K8" s="434"/>
      <c r="L8" s="436"/>
      <c r="M8" s="458"/>
      <c r="N8" s="279"/>
      <c r="O8" s="279"/>
      <c r="P8" s="279"/>
      <c r="Q8" s="279"/>
      <c r="R8" s="279"/>
      <c r="S8" s="279"/>
      <c r="T8" s="279"/>
      <c r="U8" s="279"/>
      <c r="V8" s="325"/>
      <c r="W8" s="279"/>
      <c r="X8" s="279"/>
      <c r="Y8" s="279"/>
      <c r="Z8" s="325"/>
      <c r="AA8" s="279"/>
      <c r="AB8" s="279"/>
      <c r="AC8" s="279"/>
      <c r="AD8" s="279"/>
    </row>
    <row r="9" spans="1:30" ht="18.75">
      <c r="A9" s="337" t="str">
        <f ca="1">VLOOKUP(C9,Postupy!$A$3:$C$34,3,0)</f>
        <v/>
      </c>
      <c r="B9" s="328"/>
      <c r="C9" s="347">
        <v>13</v>
      </c>
      <c r="D9" s="457" t="str">
        <f ca="1">IF(OR(TRIM('KO16'!D16)="-",TRIM('KO16'!D17)="-"), IF(TRIM('KO16'!D16)="-",'KO16'!D16,'KO16'!D17),IF(AND('KO16'!E16="",'KO16'!E17="")," ",IF(N('KO16'!E16)=N('KO16'!E17)," ",IF(N('KO16'!E16)&gt;N('KO16'!E17),'KO16'!D17,'KO16'!D16))))</f>
        <v xml:space="preserve"> - </v>
      </c>
      <c r="E9" s="349"/>
      <c r="F9" s="293"/>
      <c r="G9" s="279"/>
      <c r="H9" s="438"/>
      <c r="I9" s="414"/>
      <c r="J9" s="279"/>
      <c r="K9" s="434"/>
      <c r="L9" s="459" t="s">
        <v>1753</v>
      </c>
      <c r="M9" s="331" t="str">
        <f ca="1">IF(OR(TRIM(L10)="-",TRIM(L11)="-"),"",VLOOKUP(MIN(K10,K11),Hřiště!$B$11:$E$42,4,0))</f>
        <v/>
      </c>
      <c r="N9" s="279"/>
      <c r="O9" s="279"/>
      <c r="P9" s="279"/>
      <c r="Q9" s="279"/>
      <c r="R9" s="279"/>
      <c r="S9" s="279"/>
      <c r="T9" s="346"/>
      <c r="U9" s="279"/>
      <c r="V9" s="279"/>
      <c r="W9" s="279"/>
      <c r="X9" s="279"/>
      <c r="Y9" s="279"/>
      <c r="Z9" s="279"/>
      <c r="AA9" s="279"/>
      <c r="AB9" s="279"/>
    </row>
    <row r="10" spans="1:30" ht="18">
      <c r="A10" s="353"/>
      <c r="B10" s="439"/>
      <c r="C10" s="440"/>
      <c r="D10" s="441"/>
      <c r="E10" s="414"/>
      <c r="F10" s="279"/>
      <c r="G10" s="279"/>
      <c r="H10" s="442"/>
      <c r="I10" s="460"/>
      <c r="J10" s="346"/>
      <c r="K10" s="339">
        <v>9</v>
      </c>
      <c r="L10" s="340" t="str">
        <f ca="1">IF(OR(TRIM(H6)="-",TRIM(H7)="-"), IF(TRIM(H6)="-",H7,H6),IF(AND(I6="",I7="")," ",IF(N(I6)=N(I7)," ",IF(N(I6)&gt;N(I7),H6,H7))))</f>
        <v xml:space="preserve"> - </v>
      </c>
      <c r="M10" s="341"/>
      <c r="N10" s="437"/>
      <c r="O10" s="393">
        <v>9</v>
      </c>
      <c r="P10" s="406" t="str">
        <f>IF(AND(M10="",M11="")," ",IF(N(M10)=N(M11)," ",IF(N(M10)&gt;N(M11),L10,L11)))</f>
        <v xml:space="preserve"> </v>
      </c>
      <c r="Q10" s="407">
        <v>9</v>
      </c>
      <c r="R10" s="279"/>
      <c r="S10" s="346"/>
      <c r="T10" s="279"/>
      <c r="U10" s="279"/>
      <c r="V10" s="279"/>
      <c r="W10" s="279"/>
      <c r="X10" s="279"/>
      <c r="Y10" s="279"/>
      <c r="Z10" s="279"/>
      <c r="AA10" s="279"/>
    </row>
    <row r="11" spans="1:30" ht="18.75">
      <c r="A11" s="359"/>
      <c r="B11" s="408"/>
      <c r="C11" s="279"/>
      <c r="D11" s="330" t="s">
        <v>1748</v>
      </c>
      <c r="E11" s="331" t="str">
        <f ca="1">IF(OR(TRIM(D12)="-",TRIM(D13)="-"),"",VLOOKUP(MIN(C12,C13),Hřiště!$B$11:$E$42,4,0))</f>
        <v/>
      </c>
      <c r="F11" s="279"/>
      <c r="G11" s="279"/>
      <c r="H11" s="443"/>
      <c r="I11" s="460"/>
      <c r="J11" s="346"/>
      <c r="K11" s="347">
        <v>10</v>
      </c>
      <c r="L11" s="348" t="str">
        <f ca="1">IF(OR(TRIM(H14)="-",TRIM(H15)="-"), IF(TRIM(H14)="-",H15,H14),IF(AND(I14="",I15="")," ",IF(N(I14)=N(I15)," ",IF(N(I14)&gt;N(I15),H14,H15))))</f>
        <v xml:space="preserve"> - </v>
      </c>
      <c r="M11" s="349"/>
      <c r="N11" s="433"/>
      <c r="O11" s="393">
        <v>10</v>
      </c>
      <c r="P11" s="412" t="str">
        <f>IF(AND(M10="",M11="")," ",IF(N(M11)=N(M10)," ",IF(N(M11)&gt;N(M10),L10,L11)))</f>
        <v xml:space="preserve"> </v>
      </c>
      <c r="Q11" s="413">
        <v>10</v>
      </c>
      <c r="R11" s="279"/>
      <c r="S11" s="279"/>
      <c r="T11" s="279"/>
      <c r="U11" s="279"/>
      <c r="V11" s="279"/>
      <c r="W11" s="279"/>
      <c r="X11" s="279"/>
      <c r="Y11" s="325"/>
      <c r="Z11" s="279"/>
      <c r="AA11" s="279"/>
      <c r="AB11" s="279"/>
      <c r="AC11" s="346"/>
    </row>
    <row r="12" spans="1:30" ht="18">
      <c r="A12" s="337" t="str">
        <f ca="1">VLOOKUP(C12,Postupy!$A$3:$C$34,3,0)</f>
        <v/>
      </c>
      <c r="B12" s="408"/>
      <c r="C12" s="339">
        <v>14</v>
      </c>
      <c r="D12" s="419" t="str">
        <f ca="1">IF(OR(TRIM('KO16'!D20)="-",TRIM('KO16'!D21)="-"), IF(TRIM('KO16'!D20)="-",'KO16'!D20,'KO16'!D21),IF(AND('KO16'!E20="",'KO16'!E21="")," ",IF(N('KO16'!E20)=N('KO16'!E21)," ",IF(N('KO16'!E20)&gt;N('KO16'!E21),'KO16'!D21,'KO16'!D20))))</f>
        <v xml:space="preserve"> - </v>
      </c>
      <c r="E12" s="341"/>
      <c r="F12" s="431"/>
      <c r="G12" s="279"/>
      <c r="H12" s="443"/>
      <c r="I12" s="460"/>
      <c r="J12" s="446"/>
      <c r="K12" s="325"/>
      <c r="L12" s="438"/>
      <c r="M12" s="460"/>
      <c r="N12" s="346"/>
      <c r="O12" s="440"/>
      <c r="P12" s="445"/>
      <c r="Q12" s="346"/>
      <c r="R12" s="279"/>
      <c r="S12" s="346"/>
      <c r="T12" s="279"/>
      <c r="U12" s="279"/>
      <c r="V12" s="279"/>
      <c r="W12" s="279"/>
      <c r="X12" s="279"/>
      <c r="Y12" s="325"/>
      <c r="Z12" s="279"/>
      <c r="AA12" s="279"/>
      <c r="AB12" s="279"/>
      <c r="AC12" s="279"/>
    </row>
    <row r="13" spans="1:30" ht="18.75">
      <c r="A13" s="337" t="str">
        <f ca="1">VLOOKUP(C13,Postupy!$A$3:$C$34,3,0)</f>
        <v/>
      </c>
      <c r="B13" s="328"/>
      <c r="C13" s="347">
        <v>11</v>
      </c>
      <c r="D13" s="457" t="str">
        <f ca="1">IF(OR(TRIM('KO16'!D24)="-",TRIM('KO16'!D25)="-"), IF(TRIM('KO16'!D24)="-",'KO16'!D24,'KO16'!D25),IF(AND('KO16'!E24="",'KO16'!E25="")," ",IF(N('KO16'!E24)=N('KO16'!E25)," ",IF(N('KO16'!E24)&gt;N('KO16'!E25),'KO16'!D25,'KO16'!D24))))</f>
        <v xml:space="preserve"> - </v>
      </c>
      <c r="E13" s="349"/>
      <c r="F13" s="433"/>
      <c r="G13" s="434"/>
      <c r="H13" s="330" t="s">
        <v>1748</v>
      </c>
      <c r="I13" s="331" t="str">
        <f ca="1">IF(OR(TRIM(H14)="-",TRIM(H15)="-"),"",VLOOKUP(MIN(G14,G15),Hřiště!$B$11:$E$42,4,0))</f>
        <v/>
      </c>
      <c r="J13" s="446"/>
      <c r="K13" s="325"/>
      <c r="L13" s="441"/>
      <c r="M13" s="461"/>
      <c r="N13" s="441"/>
      <c r="O13" s="441"/>
      <c r="P13" s="441"/>
      <c r="Q13" s="441"/>
      <c r="R13" s="441"/>
      <c r="S13" s="441"/>
      <c r="T13" s="441"/>
      <c r="U13" s="441"/>
      <c r="V13" s="279"/>
      <c r="W13" s="279"/>
      <c r="X13" s="279"/>
      <c r="Y13" s="279"/>
      <c r="Z13" s="279"/>
      <c r="AA13" s="279"/>
    </row>
    <row r="14" spans="1:30" ht="18">
      <c r="A14" s="353"/>
      <c r="B14" s="408"/>
      <c r="C14" s="279"/>
      <c r="D14" s="438"/>
      <c r="E14" s="414"/>
      <c r="F14" s="279"/>
      <c r="G14" s="339">
        <v>11</v>
      </c>
      <c r="H14" s="340" t="str">
        <f ca="1">IF(OR(TRIM(D12)="-",TRIM(D13)="-"), IF(TRIM(D12)="-",D13,D12),IF(AND(E12="",E13="")," ",IF(N(E12)=N(E13)," ",IF(N(E12)&gt;N(E13),D12,D13))))</f>
        <v xml:space="preserve"> - </v>
      </c>
      <c r="I14" s="341"/>
      <c r="J14" s="437"/>
      <c r="K14" s="279"/>
      <c r="L14" s="443"/>
      <c r="M14" s="462"/>
      <c r="N14" s="443"/>
      <c r="O14" s="443"/>
      <c r="P14" s="443"/>
      <c r="Q14" s="443"/>
      <c r="R14" s="443"/>
      <c r="S14" s="443"/>
      <c r="T14" s="443"/>
      <c r="U14" s="443"/>
      <c r="V14" s="279"/>
      <c r="W14" s="279"/>
      <c r="X14" s="279"/>
      <c r="Y14" s="346"/>
      <c r="Z14" s="279"/>
      <c r="AA14" s="279"/>
    </row>
    <row r="15" spans="1:30" ht="18.75">
      <c r="A15" s="359"/>
      <c r="B15" s="328"/>
      <c r="C15" s="279"/>
      <c r="D15" s="330" t="s">
        <v>1748</v>
      </c>
      <c r="E15" s="331" t="str">
        <f ca="1">IF(OR(TRIM(D16)="-",TRIM(D17)="-"),"",VLOOKUP(MIN(C16,C17),Hřiště!$B$11:$E$42,4,0))</f>
        <v/>
      </c>
      <c r="F15" s="279"/>
      <c r="G15" s="347">
        <v>10</v>
      </c>
      <c r="H15" s="348" t="str">
        <f ca="1">IF(OR(TRIM(D16)="-",TRIM(D17)="-"), IF(TRIM(D16)="-",D17,D16),IF(AND(E16="",E17="")," ",IF(N(E16)=N(E17)," ",IF(N(E16)&gt;N(E17),D16,D17))))</f>
        <v xml:space="preserve"> - </v>
      </c>
      <c r="I15" s="349"/>
      <c r="J15" s="293"/>
      <c r="K15" s="279"/>
      <c r="L15" s="443"/>
      <c r="M15" s="462"/>
      <c r="N15" s="443"/>
      <c r="O15" s="443"/>
      <c r="P15" s="443"/>
      <c r="Q15" s="443"/>
      <c r="R15" s="443"/>
      <c r="S15" s="443"/>
      <c r="T15" s="443"/>
      <c r="U15" s="443"/>
      <c r="V15" s="279"/>
      <c r="W15" s="279"/>
      <c r="X15" s="279"/>
      <c r="Y15" s="346"/>
      <c r="Z15" s="279"/>
      <c r="AA15" s="279"/>
    </row>
    <row r="16" spans="1:30" ht="18">
      <c r="A16" s="337" t="str">
        <f ca="1">VLOOKUP(C16,Postupy!$A$3:$C$34,3,0)</f>
        <v/>
      </c>
      <c r="B16" s="408"/>
      <c r="C16" s="339">
        <v>10</v>
      </c>
      <c r="D16" s="419" t="str">
        <f ca="1">IF(OR(TRIM('KO16'!D28)="-",TRIM('KO16'!D29)="-"), IF(TRIM('KO16'!D28)="-",'KO16'!D28,'KO16'!D29),IF(AND('KO16'!E28="",'KO16'!E29="")," ",IF(N('KO16'!E28)=N('KO16'!E29)," ",IF(N('KO16'!E28)&gt;N('KO16'!E29),'KO16'!D29,'KO16'!D28))))</f>
        <v xml:space="preserve"> - </v>
      </c>
      <c r="E16" s="341"/>
      <c r="F16" s="437"/>
      <c r="G16" s="434"/>
      <c r="H16" s="438"/>
      <c r="I16" s="458"/>
      <c r="J16" s="279"/>
      <c r="K16" s="279"/>
      <c r="L16" s="443"/>
      <c r="M16" s="462"/>
      <c r="N16" s="443"/>
      <c r="O16" s="443"/>
      <c r="P16" s="443"/>
      <c r="Q16" s="443"/>
      <c r="R16" s="443"/>
      <c r="S16" s="443"/>
      <c r="T16" s="443"/>
      <c r="U16" s="443"/>
      <c r="V16" s="279"/>
      <c r="W16" s="279"/>
      <c r="X16" s="279"/>
      <c r="Y16" s="279"/>
      <c r="Z16" s="279"/>
      <c r="AA16" s="279"/>
    </row>
    <row r="17" spans="1:27" ht="18.75">
      <c r="A17" s="337" t="str">
        <f ca="1">VLOOKUP(C17,Postupy!$A$3:$C$34,3,0)</f>
        <v/>
      </c>
      <c r="B17" s="328"/>
      <c r="C17" s="347">
        <v>15</v>
      </c>
      <c r="D17" s="457" t="str">
        <f ca="1">IF(OR(TRIM('KO16'!D32)="-",TRIM('KO16'!D33)="-"),IF(TRIM('KO16'!D32)="-",'KO16'!D32,'KO16'!D33),IF(AND('KO16'!E32="",'KO16'!E33="")," ",IF(N('KO16'!E32)=N('KO16'!E33)," ",IF(N('KO16'!E32)&gt;N('KO16'!E33),'KO16'!D33,'KO16'!D32))))</f>
        <v xml:space="preserve"> - </v>
      </c>
      <c r="E17" s="349"/>
      <c r="F17" s="293"/>
      <c r="G17" s="279"/>
      <c r="H17" s="438"/>
      <c r="I17" s="414"/>
      <c r="J17" s="279"/>
      <c r="K17" s="279"/>
      <c r="L17" s="459" t="s">
        <v>1754</v>
      </c>
      <c r="M17" s="331" t="str">
        <f ca="1">IF(OR(TRIM(L18)="-",TRIM(L19)="-"),"",VLOOKUP(MIN(K18,K19),Hřiště!$B$11:$E$42,4,0))</f>
        <v/>
      </c>
      <c r="N17" s="443"/>
      <c r="O17" s="443"/>
      <c r="P17" s="443"/>
      <c r="Q17" s="443"/>
      <c r="R17" s="443"/>
      <c r="S17" s="443"/>
      <c r="T17" s="443"/>
      <c r="U17" s="443"/>
      <c r="V17" s="279"/>
      <c r="W17" s="279"/>
      <c r="X17" s="279"/>
      <c r="Y17" s="279"/>
      <c r="Z17" s="279"/>
      <c r="AA17" s="279"/>
    </row>
    <row r="18" spans="1:27" ht="18">
      <c r="A18" s="353"/>
      <c r="B18" s="408"/>
      <c r="C18" s="279"/>
      <c r="D18" s="438"/>
      <c r="E18" s="279"/>
      <c r="F18" s="279"/>
      <c r="G18" s="279"/>
      <c r="H18" s="448"/>
      <c r="I18" s="414"/>
      <c r="J18" s="279"/>
      <c r="K18" s="339">
        <v>11</v>
      </c>
      <c r="L18" s="340" t="str">
        <f ca="1">IF(OR(TRIM(H6)="-",TRIM(H7)="-"),IF(TRIM(H6)="-",H7,H6),IF(AND(I6="",I7="")," ",IF(N(I7)=N(I6)," ",IF(N(I7)&gt;N(I6),H6,H7))))</f>
        <v xml:space="preserve"> - </v>
      </c>
      <c r="M18" s="341"/>
      <c r="N18" s="437"/>
      <c r="O18" s="393">
        <v>11</v>
      </c>
      <c r="P18" s="412" t="str">
        <f>IF(AND(M18="",M19="")," ",IF(N(M18)=N(M19)," ",IF(N(M18)&gt;N(M19),L18,L19)))</f>
        <v xml:space="preserve"> </v>
      </c>
      <c r="Q18" s="407">
        <v>11</v>
      </c>
      <c r="R18" s="448"/>
      <c r="S18" s="448"/>
      <c r="T18" s="448"/>
      <c r="U18" s="448"/>
      <c r="V18" s="279"/>
      <c r="W18" s="279"/>
      <c r="X18" s="279"/>
      <c r="Y18" s="279"/>
      <c r="Z18" s="279"/>
      <c r="AA18" s="279"/>
    </row>
    <row r="19" spans="1:27" ht="18">
      <c r="A19" s="353"/>
      <c r="B19" s="463"/>
      <c r="C19" s="294"/>
      <c r="D19" s="464"/>
      <c r="E19" s="279"/>
      <c r="F19" s="279"/>
      <c r="G19" s="279"/>
      <c r="H19" s="448"/>
      <c r="I19" s="414"/>
      <c r="J19" s="279"/>
      <c r="K19" s="347">
        <v>12</v>
      </c>
      <c r="L19" s="348" t="str">
        <f ca="1">IF(OR(TRIM(H14)="-",TRIM(H15)="-"), IF(TRIM(H14)="-",H15,H14),IF(AND(I14="",I15="")," ",IF(N(I15)=N(I14)," ",IF(N(I15)&gt;N(I14),H14,H15))))</f>
        <v xml:space="preserve"> - </v>
      </c>
      <c r="M19" s="349"/>
      <c r="N19" s="433"/>
      <c r="O19" s="393">
        <v>12</v>
      </c>
      <c r="P19" s="412" t="str">
        <f>IF(AND(M18="",M19="")," ",IF(N(M19)=N(M18)," ",IF(N(M19)&gt;N(M18),L18,L19)))</f>
        <v xml:space="preserve"> </v>
      </c>
      <c r="Q19" s="413">
        <v>12</v>
      </c>
      <c r="R19" s="448"/>
      <c r="S19" s="448"/>
      <c r="T19" s="448"/>
      <c r="U19" s="448"/>
      <c r="V19" s="279"/>
      <c r="W19" s="279"/>
      <c r="X19" s="279"/>
      <c r="Y19" s="279"/>
      <c r="Z19" s="279"/>
      <c r="AA19" s="279"/>
    </row>
    <row r="20" spans="1:27">
      <c r="A20" s="279"/>
      <c r="B20" s="439"/>
      <c r="C20" s="465"/>
      <c r="D20" s="466"/>
      <c r="E20" s="410"/>
      <c r="F20" s="279"/>
      <c r="G20" s="279"/>
      <c r="H20" s="450"/>
      <c r="I20" s="414"/>
      <c r="J20" s="279"/>
      <c r="K20" s="279"/>
      <c r="L20" s="279"/>
      <c r="M20" s="414"/>
      <c r="N20" s="279"/>
      <c r="O20" s="279"/>
      <c r="P20" s="279"/>
      <c r="Q20" s="279"/>
      <c r="R20" s="279"/>
      <c r="S20" s="346"/>
      <c r="T20" s="279"/>
      <c r="U20" s="279"/>
      <c r="V20" s="279"/>
      <c r="W20" s="279"/>
      <c r="X20" s="279"/>
      <c r="Y20" s="279"/>
      <c r="Z20" s="279"/>
      <c r="AA20" s="279"/>
    </row>
    <row r="21" spans="1:27" ht="14.25">
      <c r="A21" s="279"/>
      <c r="B21" s="439"/>
      <c r="C21" s="467"/>
      <c r="D21" s="468"/>
      <c r="E21" s="279"/>
      <c r="F21" s="279"/>
      <c r="G21" s="279"/>
      <c r="H21" s="459" t="s">
        <v>1755</v>
      </c>
      <c r="I21" s="331" t="str">
        <f ca="1">IF(OR(TRIM(H22)="-",TRIM(H23)="-"),"",VLOOKUP(MIN(G22,G23),Hřiště!$B$11:$E$42,4,0))</f>
        <v/>
      </c>
      <c r="J21" s="279"/>
      <c r="K21" s="279"/>
      <c r="L21" s="279"/>
      <c r="M21" s="414"/>
      <c r="N21" s="279"/>
      <c r="O21" s="279"/>
      <c r="P21" s="279"/>
      <c r="Q21" s="279"/>
      <c r="R21" s="279"/>
      <c r="S21" s="346"/>
      <c r="T21" s="279"/>
      <c r="U21" s="279"/>
      <c r="V21" s="279"/>
      <c r="W21" s="279"/>
      <c r="X21" s="279"/>
      <c r="Y21" s="279"/>
      <c r="Z21" s="279"/>
      <c r="AA21" s="279"/>
    </row>
    <row r="22" spans="1:27" ht="18">
      <c r="A22" s="279"/>
      <c r="B22" s="408"/>
      <c r="C22" s="279"/>
      <c r="D22" s="279"/>
      <c r="E22" s="279"/>
      <c r="F22" s="279"/>
      <c r="G22" s="339">
        <v>16</v>
      </c>
      <c r="H22" s="340" t="str">
        <f ca="1">IF(OR(TRIM(D4)="-",TRIM(D5)="-"), IF(TRIM(D4)="-",D4,D5),IF(AND(E4="",E5="")," ",IF(N(E5)=N(E4)," ",IF(N(E5)&gt;N(E4),D4,D5))))</f>
        <v xml:space="preserve"> - </v>
      </c>
      <c r="I22" s="341"/>
      <c r="J22" s="431"/>
      <c r="K22" s="325"/>
      <c r="L22" s="436"/>
      <c r="M22" s="458"/>
      <c r="N22" s="279"/>
      <c r="O22" s="279"/>
      <c r="P22" s="279"/>
      <c r="Q22" s="279"/>
      <c r="R22" s="279"/>
      <c r="S22" s="346"/>
      <c r="T22" s="279"/>
      <c r="U22" s="279"/>
      <c r="V22" s="279"/>
      <c r="W22" s="279"/>
      <c r="X22" s="279"/>
      <c r="Y22" s="279"/>
      <c r="Z22" s="279"/>
      <c r="AA22" s="279"/>
    </row>
    <row r="23" spans="1:27" ht="18">
      <c r="A23" s="279"/>
      <c r="B23" s="439"/>
      <c r="C23" s="465"/>
      <c r="D23" s="466"/>
      <c r="E23" s="410"/>
      <c r="F23" s="279"/>
      <c r="G23" s="347">
        <v>13</v>
      </c>
      <c r="H23" s="348" t="str">
        <f ca="1">IF(OR(TRIM(D8)="-",TRIM(D9)="-"), IF(TRIM(D8)="-",D8,D9),IF(AND(E8="",E9="")," ",IF(N(E9)=N(E8)," ",IF(N(E9)&gt;N(E8),D8,D9))))</f>
        <v xml:space="preserve"> - </v>
      </c>
      <c r="I23" s="349"/>
      <c r="J23" s="433"/>
      <c r="K23" s="434"/>
      <c r="L23" s="436"/>
      <c r="M23" s="458"/>
      <c r="N23" s="279"/>
      <c r="O23" s="279"/>
      <c r="P23" s="279"/>
      <c r="Q23" s="279"/>
      <c r="R23" s="279"/>
      <c r="S23" s="346"/>
      <c r="T23" s="279"/>
      <c r="U23" s="279"/>
      <c r="V23" s="279"/>
      <c r="W23" s="279"/>
      <c r="X23" s="279"/>
      <c r="Y23" s="279"/>
      <c r="Z23" s="279"/>
      <c r="AA23" s="279"/>
    </row>
    <row r="24" spans="1:27">
      <c r="A24" s="279"/>
      <c r="B24" s="439"/>
      <c r="C24" s="465"/>
      <c r="D24" s="466"/>
      <c r="E24" s="410"/>
      <c r="F24" s="469"/>
      <c r="G24" s="325"/>
      <c r="H24" s="438"/>
      <c r="I24" s="458"/>
      <c r="J24" s="279"/>
      <c r="K24" s="434"/>
      <c r="L24" s="436"/>
      <c r="M24" s="458"/>
      <c r="N24" s="279"/>
      <c r="O24" s="279"/>
      <c r="P24" s="279"/>
      <c r="Q24" s="279"/>
      <c r="R24" s="279"/>
      <c r="S24" s="346"/>
      <c r="T24" s="279"/>
      <c r="U24" s="279"/>
      <c r="V24" s="279"/>
      <c r="W24" s="279"/>
      <c r="X24" s="279"/>
      <c r="Y24" s="279"/>
      <c r="Z24" s="279"/>
      <c r="AA24" s="279"/>
    </row>
    <row r="25" spans="1:27" ht="14.25">
      <c r="A25" s="279"/>
      <c r="B25" s="439"/>
      <c r="C25" s="465"/>
      <c r="D25" s="466"/>
      <c r="E25" s="410"/>
      <c r="F25" s="279"/>
      <c r="G25" s="279"/>
      <c r="H25" s="438"/>
      <c r="I25" s="414"/>
      <c r="J25" s="279"/>
      <c r="K25" s="434"/>
      <c r="L25" s="459" t="s">
        <v>1756</v>
      </c>
      <c r="M25" s="331" t="str">
        <f ca="1">IF(OR(TRIM(L26)="-",TRIM(L27)="-"),"",VLOOKUP(MIN(K26,K27),Hřiště!$B$11:$E$42,4,0))</f>
        <v/>
      </c>
      <c r="N25" s="279"/>
      <c r="O25" s="279"/>
      <c r="P25" s="279"/>
      <c r="Q25" s="279"/>
      <c r="R25" s="279"/>
      <c r="S25" s="346"/>
      <c r="T25" s="279"/>
      <c r="U25" s="279"/>
      <c r="V25" s="279"/>
      <c r="W25" s="279"/>
      <c r="X25" s="279"/>
      <c r="Y25" s="279"/>
      <c r="Z25" s="279"/>
      <c r="AA25" s="279"/>
    </row>
    <row r="26" spans="1:27" ht="18">
      <c r="A26" s="279"/>
      <c r="B26" s="439"/>
      <c r="C26" s="465"/>
      <c r="D26" s="466"/>
      <c r="E26" s="410"/>
      <c r="F26" s="279"/>
      <c r="G26" s="279"/>
      <c r="H26" s="442"/>
      <c r="I26" s="460"/>
      <c r="J26" s="346"/>
      <c r="K26" s="339">
        <v>13</v>
      </c>
      <c r="L26" s="340" t="str">
        <f ca="1">IF(OR(TRIM(H22)="-",TRIM(H23)="-"), IF(TRIM(H22)="-",H23,H22),IF(AND(I22="",I23="")," ",IF(N(I22)=N(I23)," ",IF(N(I22)&gt;N(I23),H22,H23))))</f>
        <v xml:space="preserve"> - </v>
      </c>
      <c r="M26" s="341"/>
      <c r="N26" s="437"/>
      <c r="O26" s="393">
        <v>13</v>
      </c>
      <c r="P26" s="412" t="str">
        <f>IF(AND(M26="",M27="")," ",IF(N(M26)=N(M27)," ",IF(N(M26)&gt;N(M27),L26,L27)))</f>
        <v xml:space="preserve"> </v>
      </c>
      <c r="Q26" s="407">
        <v>13</v>
      </c>
      <c r="R26" s="279"/>
      <c r="S26" s="346"/>
      <c r="T26" s="279"/>
      <c r="U26" s="279"/>
      <c r="V26" s="279"/>
      <c r="W26" s="279"/>
      <c r="X26" s="279"/>
      <c r="Y26" s="279"/>
      <c r="Z26" s="279"/>
      <c r="AA26" s="279"/>
    </row>
    <row r="27" spans="1:27" ht="18">
      <c r="A27" s="279"/>
      <c r="B27" s="439"/>
      <c r="C27" s="465"/>
      <c r="D27" s="466"/>
      <c r="E27" s="410"/>
      <c r="F27" s="279"/>
      <c r="G27" s="279"/>
      <c r="H27" s="443"/>
      <c r="I27" s="460"/>
      <c r="J27" s="346"/>
      <c r="K27" s="347">
        <v>14</v>
      </c>
      <c r="L27" s="348" t="str">
        <f ca="1">IF(OR(TRIM(H30)="-",TRIM(H31)="-"), IF(TRIM(H30)="-",H31,H30),IF(AND(I30="",I31="")," ",IF(N(I30)=N(I31)," ",IF(N(I30)&gt;N(I31),H30,H31))))</f>
        <v xml:space="preserve"> - </v>
      </c>
      <c r="M27" s="349"/>
      <c r="N27" s="433"/>
      <c r="O27" s="393">
        <v>14</v>
      </c>
      <c r="P27" s="412" t="str">
        <f>IF(AND(M26="",M27="")," ",IF(N(M27)=N(M26)," ",IF(N(M27)&gt;N(M26),L26,L27)))</f>
        <v xml:space="preserve"> </v>
      </c>
      <c r="Q27" s="413">
        <v>14</v>
      </c>
      <c r="R27" s="279"/>
      <c r="S27" s="346"/>
      <c r="T27" s="279"/>
      <c r="U27" s="279"/>
      <c r="V27" s="279"/>
      <c r="W27" s="279"/>
      <c r="X27" s="279"/>
      <c r="Y27" s="279"/>
      <c r="Z27" s="279"/>
      <c r="AA27" s="279"/>
    </row>
    <row r="28" spans="1:27" ht="13.5">
      <c r="A28" s="279"/>
      <c r="B28" s="439"/>
      <c r="C28" s="465"/>
      <c r="D28" s="466"/>
      <c r="E28" s="410"/>
      <c r="F28" s="279"/>
      <c r="G28" s="279"/>
      <c r="H28" s="443"/>
      <c r="I28" s="460"/>
      <c r="J28" s="446"/>
      <c r="K28" s="325"/>
      <c r="L28" s="438"/>
      <c r="M28" s="460"/>
      <c r="N28" s="346"/>
      <c r="O28" s="440"/>
      <c r="P28" s="445"/>
      <c r="Q28" s="346"/>
      <c r="R28" s="279"/>
      <c r="S28" s="346"/>
      <c r="T28" s="279"/>
      <c r="U28" s="279"/>
      <c r="V28" s="279"/>
      <c r="W28" s="279"/>
      <c r="X28" s="279"/>
      <c r="Y28" s="279"/>
      <c r="Z28" s="279"/>
      <c r="AA28" s="279"/>
    </row>
    <row r="29" spans="1:27" ht="14.25">
      <c r="A29" s="279"/>
      <c r="B29" s="439"/>
      <c r="C29" s="465"/>
      <c r="D29" s="466"/>
      <c r="E29" s="410"/>
      <c r="F29" s="469"/>
      <c r="G29" s="325"/>
      <c r="H29" s="459" t="s">
        <v>1755</v>
      </c>
      <c r="I29" s="331" t="str">
        <f ca="1">IF(OR(TRIM(H30)="-",TRIM(H31)="-"),"",VLOOKUP(MIN(G30,G31),Hřiště!$B$11:$E$42,4,0))</f>
        <v/>
      </c>
      <c r="J29" s="446"/>
      <c r="K29" s="325"/>
      <c r="L29" s="441"/>
      <c r="M29" s="461"/>
      <c r="N29" s="441"/>
      <c r="O29" s="441"/>
      <c r="P29" s="441"/>
      <c r="Q29" s="441"/>
      <c r="R29" s="279"/>
      <c r="S29" s="346"/>
      <c r="T29" s="279"/>
      <c r="U29" s="279"/>
      <c r="V29" s="279"/>
      <c r="W29" s="279"/>
      <c r="X29" s="279"/>
      <c r="Y29" s="279"/>
      <c r="Z29" s="279"/>
      <c r="AA29" s="279"/>
    </row>
    <row r="30" spans="1:27" ht="18">
      <c r="A30" s="279"/>
      <c r="B30" s="439"/>
      <c r="C30" s="465"/>
      <c r="D30" s="466"/>
      <c r="E30" s="410"/>
      <c r="F30" s="279"/>
      <c r="G30" s="339">
        <v>14</v>
      </c>
      <c r="H30" s="340" t="str">
        <f ca="1">IF(OR(TRIM(D12)="-",TRIM(D13)="-"), IF(TRIM(D12)="-",D12,D13),IF(AND(E12="",E13="")," ",IF(N(E13)=N(E12)," ",IF(N(E13)&gt;N(E12),D12,D13))))</f>
        <v xml:space="preserve"> - </v>
      </c>
      <c r="I30" s="341"/>
      <c r="J30" s="437"/>
      <c r="K30" s="279"/>
      <c r="L30" s="443"/>
      <c r="M30" s="462"/>
      <c r="N30" s="443"/>
      <c r="O30" s="443"/>
      <c r="P30" s="443"/>
      <c r="Q30" s="443"/>
      <c r="R30" s="279"/>
      <c r="S30" s="346"/>
      <c r="T30" s="279"/>
      <c r="U30" s="279"/>
      <c r="V30" s="279"/>
      <c r="W30" s="279"/>
      <c r="X30" s="279"/>
      <c r="Y30" s="279"/>
      <c r="Z30" s="279"/>
      <c r="AA30" s="279"/>
    </row>
    <row r="31" spans="1:27" ht="18">
      <c r="A31" s="279"/>
      <c r="B31" s="439"/>
      <c r="C31" s="465"/>
      <c r="D31" s="466"/>
      <c r="E31" s="410"/>
      <c r="F31" s="279"/>
      <c r="G31" s="347">
        <v>15</v>
      </c>
      <c r="H31" s="348" t="str">
        <f ca="1">IF(OR(TRIM(D16)="-",TRIM(D17)="-"), IF(TRIM(D16)="-",D16,D17),IF(AND(E16="",E17="")," ",IF(N(E17)=N(E16)," ",IF(N(E17)&gt;N(E16),D16,D17))))</f>
        <v xml:space="preserve"> - </v>
      </c>
      <c r="I31" s="349"/>
      <c r="J31" s="293"/>
      <c r="K31" s="279"/>
      <c r="L31" s="443"/>
      <c r="M31" s="462"/>
      <c r="N31" s="443"/>
      <c r="O31" s="443"/>
      <c r="P31" s="443"/>
      <c r="Q31" s="443"/>
      <c r="R31" s="279"/>
      <c r="S31" s="346"/>
      <c r="T31" s="279"/>
      <c r="U31" s="279"/>
      <c r="V31" s="279"/>
      <c r="W31" s="279"/>
      <c r="X31" s="279"/>
      <c r="Y31" s="279"/>
      <c r="Z31" s="279"/>
      <c r="AA31" s="279"/>
    </row>
    <row r="32" spans="1:27">
      <c r="A32" s="279"/>
      <c r="B32" s="439"/>
      <c r="C32" s="465"/>
      <c r="D32" s="466"/>
      <c r="E32" s="410"/>
      <c r="F32" s="279"/>
      <c r="G32" s="279"/>
      <c r="H32" s="450"/>
      <c r="I32" s="279"/>
      <c r="J32" s="279"/>
      <c r="K32" s="279"/>
      <c r="L32" s="279"/>
      <c r="M32" s="414"/>
      <c r="N32" s="279"/>
      <c r="O32" s="279"/>
      <c r="P32" s="279"/>
      <c r="Q32" s="279"/>
      <c r="R32" s="279"/>
      <c r="S32" s="346"/>
      <c r="T32" s="279"/>
      <c r="U32" s="279"/>
      <c r="V32" s="279"/>
      <c r="W32" s="279"/>
      <c r="X32" s="279"/>
      <c r="Y32" s="279"/>
      <c r="Z32" s="279"/>
      <c r="AA32" s="279"/>
    </row>
    <row r="33" spans="1:27" ht="14.25">
      <c r="A33" s="279"/>
      <c r="B33" s="439"/>
      <c r="C33" s="465"/>
      <c r="D33" s="466"/>
      <c r="E33" s="410"/>
      <c r="F33" s="279"/>
      <c r="G33" s="279"/>
      <c r="H33" s="450"/>
      <c r="I33" s="279"/>
      <c r="J33" s="279"/>
      <c r="K33" s="279"/>
      <c r="L33" s="459" t="s">
        <v>1757</v>
      </c>
      <c r="M33" s="331" t="str">
        <f ca="1">IF(OR(TRIM(L34)="-",TRIM(L35)="-"),"",VLOOKUP(MIN(K34,K35),Hřiště!$B$11:$E$42,4,0))</f>
        <v/>
      </c>
      <c r="N33" s="279"/>
      <c r="O33" s="279"/>
      <c r="P33" s="279"/>
      <c r="Q33" s="279"/>
      <c r="R33" s="279"/>
      <c r="S33" s="346"/>
      <c r="T33" s="279"/>
      <c r="U33" s="279"/>
      <c r="V33" s="279"/>
      <c r="W33" s="279"/>
      <c r="X33" s="279"/>
      <c r="Y33" s="279"/>
      <c r="Z33" s="279"/>
      <c r="AA33" s="279"/>
    </row>
    <row r="34" spans="1:27" ht="18">
      <c r="A34" s="279"/>
      <c r="B34" s="439"/>
      <c r="C34" s="465"/>
      <c r="D34" s="466"/>
      <c r="E34" s="410"/>
      <c r="F34" s="279"/>
      <c r="G34" s="279"/>
      <c r="H34" s="450"/>
      <c r="I34" s="279"/>
      <c r="J34" s="279"/>
      <c r="K34" s="339">
        <v>15</v>
      </c>
      <c r="L34" s="340" t="str">
        <f ca="1">IF(OR(TRIM(H22)="-",TRIM(H23)="-"), IF(TRIM(H22)="-",H22,H23),IF(AND(I22="",I23="")," ",IF(N(I23)=N(I22)," ",IF(N(I23)&gt;N(I22),H22,H23))))</f>
        <v xml:space="preserve"> - </v>
      </c>
      <c r="M34" s="341"/>
      <c r="N34" s="437"/>
      <c r="O34" s="393">
        <v>15</v>
      </c>
      <c r="P34" s="412" t="str">
        <f>IF(AND(M34="",M35="")," ",IF(N(M34)=N(M35)," ",IF(N(M34)&gt;N(M35),L34,L35)))</f>
        <v xml:space="preserve"> </v>
      </c>
      <c r="Q34" s="407">
        <v>15</v>
      </c>
      <c r="R34" s="279"/>
      <c r="S34" s="346"/>
      <c r="T34" s="279"/>
      <c r="U34" s="279"/>
      <c r="V34" s="279"/>
      <c r="W34" s="279"/>
      <c r="X34" s="279"/>
      <c r="Y34" s="279"/>
      <c r="Z34" s="279"/>
      <c r="AA34" s="279"/>
    </row>
    <row r="35" spans="1:27" ht="18">
      <c r="A35" s="279"/>
      <c r="B35" s="439"/>
      <c r="C35" s="465"/>
      <c r="D35" s="466"/>
      <c r="E35" s="410"/>
      <c r="F35" s="279"/>
      <c r="G35" s="279"/>
      <c r="H35" s="450"/>
      <c r="I35" s="279"/>
      <c r="J35" s="279"/>
      <c r="K35" s="347">
        <v>16</v>
      </c>
      <c r="L35" s="348" t="str">
        <f ca="1">IF(OR(TRIM(H30)="-",TRIM(H31)="-"),IF(TRIM(H30)="-",H30,H31),IF(AND(I30="",I31="")," ",IF(N(I31)=N(I30)," ",IF(N(I31)&gt;N(I30),H30,H31))))</f>
        <v xml:space="preserve"> - </v>
      </c>
      <c r="M35" s="349"/>
      <c r="N35" s="433"/>
      <c r="O35" s="393">
        <v>16</v>
      </c>
      <c r="P35" s="412" t="str">
        <f>IF(AND(M34="",M35="")," ",IF(N(M35)=N(M34)," ",IF(N(M35)&gt;N(M34),L34,L35)))</f>
        <v xml:space="preserve"> </v>
      </c>
      <c r="Q35" s="413">
        <v>16</v>
      </c>
      <c r="R35" s="279"/>
      <c r="S35" s="346"/>
      <c r="T35" s="279"/>
      <c r="U35" s="279"/>
      <c r="V35" s="279"/>
      <c r="W35" s="279"/>
      <c r="X35" s="279"/>
      <c r="Y35" s="279"/>
      <c r="Z35" s="279"/>
      <c r="AA35" s="279"/>
    </row>
    <row r="36" spans="1:27">
      <c r="A36" s="279"/>
      <c r="B36" s="439"/>
      <c r="C36" s="465"/>
      <c r="D36" s="466"/>
      <c r="E36" s="410"/>
      <c r="F36" s="279"/>
      <c r="G36" s="279"/>
      <c r="H36" s="450"/>
      <c r="I36" s="279"/>
      <c r="J36" s="279"/>
      <c r="K36" s="279"/>
      <c r="L36" s="279"/>
      <c r="M36" s="279"/>
      <c r="N36" s="279"/>
      <c r="O36" s="279"/>
      <c r="P36" s="279"/>
      <c r="Q36" s="279"/>
      <c r="R36" s="279"/>
      <c r="S36" s="346"/>
      <c r="T36" s="279"/>
      <c r="U36" s="279"/>
      <c r="V36" s="279"/>
      <c r="W36" s="279"/>
      <c r="X36" s="279"/>
      <c r="Y36" s="279"/>
      <c r="Z36" s="279"/>
      <c r="AA36" s="279"/>
    </row>
    <row r="37" spans="1:27">
      <c r="A37" s="279"/>
      <c r="B37" s="439"/>
      <c r="C37" s="465"/>
      <c r="D37" s="466"/>
      <c r="E37" s="410"/>
      <c r="F37" s="279"/>
      <c r="G37" s="279"/>
      <c r="H37" s="450"/>
      <c r="I37" s="279"/>
      <c r="J37" s="279"/>
      <c r="K37" s="279"/>
      <c r="L37" s="279"/>
      <c r="M37" s="279"/>
      <c r="N37" s="279"/>
      <c r="O37" s="279"/>
      <c r="P37" s="279"/>
      <c r="Q37" s="279"/>
      <c r="R37" s="279"/>
      <c r="S37" s="346"/>
      <c r="T37" s="279"/>
      <c r="U37" s="279"/>
      <c r="V37" s="279"/>
      <c r="W37" s="279"/>
      <c r="X37" s="279"/>
      <c r="Y37" s="279"/>
      <c r="Z37" s="279"/>
      <c r="AA37" s="279"/>
    </row>
    <row r="38" spans="1:27">
      <c r="A38" s="279"/>
      <c r="B38" s="439"/>
      <c r="C38" s="465"/>
      <c r="D38" s="466"/>
      <c r="E38" s="410"/>
      <c r="F38" s="279"/>
      <c r="G38" s="279"/>
      <c r="H38" s="450"/>
      <c r="I38" s="279"/>
      <c r="J38" s="279"/>
      <c r="K38" s="279"/>
      <c r="L38" s="279"/>
      <c r="M38" s="279"/>
      <c r="N38" s="279"/>
      <c r="O38" s="279"/>
      <c r="P38" s="279"/>
      <c r="Q38" s="279"/>
      <c r="R38" s="279"/>
      <c r="S38" s="346"/>
      <c r="T38" s="279"/>
      <c r="U38" s="279"/>
      <c r="V38" s="279"/>
      <c r="W38" s="279"/>
      <c r="X38" s="279"/>
      <c r="Y38" s="279"/>
      <c r="Z38" s="279"/>
      <c r="AA38" s="279"/>
    </row>
    <row r="39" spans="1:27">
      <c r="A39" s="279"/>
      <c r="B39" s="439"/>
      <c r="C39" s="465"/>
      <c r="D39" s="466"/>
      <c r="E39" s="410"/>
      <c r="F39" s="279"/>
      <c r="G39" s="279"/>
      <c r="H39" s="450"/>
      <c r="I39" s="279"/>
      <c r="J39" s="279"/>
      <c r="K39" s="279"/>
      <c r="L39" s="279"/>
      <c r="M39" s="279"/>
      <c r="N39" s="279"/>
      <c r="O39" s="279"/>
      <c r="P39" s="279"/>
      <c r="Q39" s="279"/>
      <c r="R39" s="279"/>
      <c r="S39" s="346"/>
      <c r="T39" s="279"/>
      <c r="U39" s="279"/>
      <c r="V39" s="279"/>
      <c r="W39" s="279"/>
      <c r="X39" s="279"/>
      <c r="Y39" s="279"/>
      <c r="Z39" s="279"/>
      <c r="AA39" s="279"/>
    </row>
    <row r="40" spans="1:27">
      <c r="A40" s="279"/>
      <c r="B40" s="439"/>
      <c r="C40" s="465"/>
      <c r="D40" s="466"/>
      <c r="E40" s="410"/>
      <c r="F40" s="279"/>
      <c r="G40" s="279"/>
      <c r="H40" s="450"/>
      <c r="I40" s="279"/>
      <c r="J40" s="279"/>
      <c r="K40" s="279"/>
      <c r="L40" s="279"/>
      <c r="M40" s="279"/>
      <c r="N40" s="279"/>
      <c r="O40" s="279"/>
      <c r="P40" s="279"/>
      <c r="Q40" s="279"/>
      <c r="R40" s="279"/>
      <c r="S40" s="346"/>
      <c r="T40" s="279"/>
      <c r="U40" s="279"/>
      <c r="V40" s="279"/>
      <c r="W40" s="279"/>
      <c r="X40" s="279"/>
      <c r="Y40" s="279"/>
      <c r="Z40" s="279"/>
      <c r="AA40" s="279"/>
    </row>
    <row r="41" spans="1:27">
      <c r="A41" s="279"/>
      <c r="B41" s="439"/>
      <c r="C41" s="465"/>
      <c r="D41" s="466"/>
      <c r="E41" s="410"/>
      <c r="F41" s="279"/>
      <c r="G41" s="279"/>
      <c r="H41" s="450"/>
      <c r="I41" s="279"/>
      <c r="J41" s="279"/>
      <c r="K41" s="279"/>
      <c r="L41" s="279"/>
      <c r="M41" s="279"/>
      <c r="N41" s="279"/>
      <c r="O41" s="279"/>
      <c r="P41" s="279"/>
      <c r="Q41" s="279"/>
      <c r="R41" s="279"/>
      <c r="S41" s="346"/>
      <c r="T41" s="279"/>
      <c r="U41" s="279"/>
      <c r="V41" s="279"/>
      <c r="W41" s="279"/>
      <c r="X41" s="279"/>
      <c r="Y41" s="279"/>
      <c r="Z41" s="279"/>
      <c r="AA41" s="279"/>
    </row>
    <row r="42" spans="1:27">
      <c r="A42" s="279"/>
      <c r="B42" s="439"/>
      <c r="C42" s="465"/>
      <c r="D42" s="466"/>
      <c r="E42" s="410"/>
      <c r="F42" s="279"/>
      <c r="G42" s="279"/>
      <c r="H42" s="450"/>
      <c r="I42" s="279"/>
      <c r="J42" s="279"/>
      <c r="K42" s="279"/>
      <c r="L42" s="279"/>
      <c r="M42" s="279"/>
      <c r="N42" s="279"/>
      <c r="O42" s="279"/>
      <c r="P42" s="279"/>
      <c r="Q42" s="279"/>
      <c r="R42" s="279"/>
      <c r="S42" s="346"/>
      <c r="T42" s="279"/>
      <c r="U42" s="279"/>
      <c r="V42" s="279"/>
      <c r="W42" s="279"/>
      <c r="X42" s="279"/>
      <c r="Y42" s="279"/>
      <c r="Z42" s="279"/>
      <c r="AA42" s="279"/>
    </row>
    <row r="43" spans="1:27">
      <c r="A43" s="279"/>
      <c r="B43" s="439"/>
      <c r="C43" s="465"/>
      <c r="D43" s="466"/>
      <c r="E43" s="410"/>
      <c r="F43" s="279"/>
      <c r="G43" s="279"/>
      <c r="H43" s="450"/>
      <c r="I43" s="279"/>
      <c r="J43" s="279"/>
      <c r="K43" s="279"/>
      <c r="L43" s="279"/>
      <c r="M43" s="279"/>
      <c r="N43" s="279"/>
      <c r="O43" s="279"/>
      <c r="P43" s="279"/>
      <c r="Q43" s="279"/>
      <c r="R43" s="279"/>
      <c r="S43" s="346"/>
      <c r="T43" s="279"/>
      <c r="U43" s="279"/>
      <c r="V43" s="279"/>
      <c r="W43" s="279"/>
      <c r="X43" s="279"/>
      <c r="Y43" s="279"/>
      <c r="Z43" s="279"/>
      <c r="AA43" s="279"/>
    </row>
    <row r="44" spans="1:27">
      <c r="A44" s="279"/>
      <c r="B44" s="439"/>
      <c r="C44" s="465"/>
      <c r="D44" s="466"/>
      <c r="E44" s="410"/>
      <c r="F44" s="279"/>
      <c r="G44" s="279"/>
      <c r="H44" s="450"/>
      <c r="I44" s="279"/>
      <c r="J44" s="279"/>
      <c r="K44" s="279"/>
      <c r="L44" s="279"/>
      <c r="M44" s="279"/>
      <c r="N44" s="279"/>
      <c r="O44" s="279"/>
      <c r="P44" s="279"/>
      <c r="Q44" s="279"/>
      <c r="R44" s="279"/>
      <c r="S44" s="346"/>
      <c r="T44" s="279"/>
      <c r="U44" s="279"/>
      <c r="V44" s="279"/>
      <c r="W44" s="279"/>
      <c r="X44" s="279"/>
      <c r="Y44" s="279"/>
      <c r="Z44" s="279"/>
      <c r="AA44" s="279"/>
    </row>
    <row r="45" spans="1:27">
      <c r="A45" s="279"/>
      <c r="B45" s="439"/>
      <c r="C45" s="465"/>
      <c r="D45" s="466"/>
      <c r="E45" s="410"/>
      <c r="F45" s="279"/>
      <c r="G45" s="279"/>
      <c r="H45" s="450"/>
      <c r="I45" s="279"/>
      <c r="J45" s="279"/>
      <c r="K45" s="279"/>
      <c r="L45" s="279"/>
      <c r="M45" s="279"/>
      <c r="N45" s="279"/>
      <c r="O45" s="279"/>
      <c r="P45" s="279"/>
      <c r="Q45" s="279"/>
      <c r="R45" s="279"/>
      <c r="S45" s="346"/>
      <c r="T45" s="279"/>
      <c r="U45" s="279"/>
      <c r="V45" s="279"/>
      <c r="W45" s="279"/>
      <c r="X45" s="279"/>
      <c r="Y45" s="279"/>
      <c r="Z45" s="279"/>
      <c r="AA45" s="279"/>
    </row>
    <row r="46" spans="1:27">
      <c r="A46" s="279"/>
      <c r="B46" s="439"/>
      <c r="C46" s="465"/>
      <c r="D46" s="466"/>
      <c r="E46" s="410"/>
      <c r="F46" s="279"/>
      <c r="G46" s="279"/>
      <c r="H46" s="450"/>
      <c r="I46" s="279"/>
      <c r="J46" s="279"/>
      <c r="K46" s="279"/>
      <c r="L46" s="279"/>
      <c r="M46" s="279"/>
      <c r="N46" s="279"/>
      <c r="O46" s="279"/>
      <c r="P46" s="279"/>
      <c r="Q46" s="279"/>
      <c r="R46" s="279"/>
      <c r="S46" s="346"/>
      <c r="T46" s="279"/>
      <c r="U46" s="279"/>
      <c r="V46" s="279"/>
      <c r="W46" s="279"/>
      <c r="X46" s="279"/>
      <c r="Y46" s="279"/>
      <c r="Z46" s="279"/>
      <c r="AA46" s="279"/>
    </row>
    <row r="47" spans="1:27">
      <c r="A47" s="279"/>
      <c r="B47" s="439"/>
      <c r="C47" s="465"/>
      <c r="D47" s="466"/>
      <c r="E47" s="410"/>
      <c r="F47" s="279"/>
      <c r="G47" s="279"/>
      <c r="H47" s="450"/>
      <c r="I47" s="279"/>
      <c r="J47" s="279"/>
      <c r="K47" s="279"/>
      <c r="L47" s="279"/>
      <c r="M47" s="279"/>
      <c r="N47" s="279"/>
      <c r="O47" s="279"/>
      <c r="P47" s="279"/>
      <c r="Q47" s="279"/>
      <c r="R47" s="279"/>
      <c r="S47" s="346"/>
      <c r="T47" s="279"/>
      <c r="U47" s="279"/>
      <c r="V47" s="279"/>
      <c r="W47" s="279"/>
      <c r="X47" s="279"/>
      <c r="Y47" s="279"/>
      <c r="Z47" s="279"/>
      <c r="AA47" s="279"/>
    </row>
    <row r="48" spans="1:27">
      <c r="A48" s="279"/>
      <c r="B48" s="439"/>
      <c r="C48" s="465"/>
      <c r="D48" s="466"/>
      <c r="E48" s="410"/>
      <c r="F48" s="279"/>
      <c r="G48" s="279"/>
      <c r="H48" s="450"/>
      <c r="I48" s="279"/>
      <c r="J48" s="279"/>
      <c r="K48" s="279"/>
      <c r="L48" s="279"/>
      <c r="M48" s="279"/>
      <c r="N48" s="279"/>
      <c r="O48" s="279"/>
      <c r="P48" s="279"/>
      <c r="Q48" s="279"/>
      <c r="R48" s="279"/>
      <c r="S48" s="346"/>
      <c r="T48" s="279"/>
      <c r="U48" s="279"/>
      <c r="V48" s="279"/>
      <c r="W48" s="279"/>
      <c r="X48" s="279"/>
      <c r="Y48" s="279"/>
      <c r="Z48" s="279"/>
      <c r="AA48" s="279"/>
    </row>
    <row r="49" spans="1:27">
      <c r="A49" s="279"/>
      <c r="B49" s="439"/>
      <c r="C49" s="465"/>
      <c r="D49" s="466"/>
      <c r="E49" s="410"/>
      <c r="F49" s="279"/>
      <c r="G49" s="279"/>
      <c r="H49" s="450"/>
      <c r="I49" s="279"/>
      <c r="J49" s="279"/>
      <c r="K49" s="279"/>
      <c r="L49" s="279"/>
      <c r="M49" s="279"/>
      <c r="N49" s="279"/>
      <c r="O49" s="279"/>
      <c r="P49" s="279"/>
      <c r="Q49" s="279"/>
      <c r="R49" s="279"/>
      <c r="S49" s="346"/>
      <c r="T49" s="279"/>
      <c r="U49" s="279"/>
      <c r="V49" s="279"/>
      <c r="W49" s="279"/>
      <c r="X49" s="279"/>
      <c r="Y49" s="279"/>
      <c r="Z49" s="279"/>
      <c r="AA49" s="279"/>
    </row>
    <row r="50" spans="1:27">
      <c r="A50" s="279"/>
      <c r="B50" s="439"/>
      <c r="C50" s="465"/>
      <c r="D50" s="466"/>
      <c r="E50" s="410"/>
      <c r="F50" s="279"/>
      <c r="G50" s="279"/>
      <c r="H50" s="450"/>
      <c r="I50" s="279"/>
      <c r="J50" s="279"/>
      <c r="K50" s="279"/>
      <c r="L50" s="279"/>
      <c r="M50" s="279"/>
      <c r="N50" s="279"/>
      <c r="O50" s="279"/>
      <c r="P50" s="279"/>
      <c r="Q50" s="279"/>
      <c r="R50" s="279"/>
      <c r="S50" s="346"/>
      <c r="T50" s="279"/>
      <c r="U50" s="279"/>
      <c r="V50" s="279"/>
      <c r="W50" s="279"/>
      <c r="X50" s="279"/>
      <c r="Y50" s="279"/>
      <c r="Z50" s="279"/>
      <c r="AA50" s="279"/>
    </row>
    <row r="51" spans="1:27">
      <c r="A51" s="279"/>
      <c r="B51" s="439"/>
      <c r="C51" s="465"/>
      <c r="D51" s="466"/>
      <c r="E51" s="410"/>
      <c r="F51" s="279"/>
      <c r="G51" s="279"/>
      <c r="H51" s="450"/>
      <c r="I51" s="279"/>
      <c r="J51" s="279"/>
      <c r="K51" s="279"/>
      <c r="L51" s="279"/>
      <c r="M51" s="279"/>
      <c r="N51" s="279"/>
      <c r="O51" s="279"/>
      <c r="P51" s="279"/>
      <c r="Q51" s="279"/>
      <c r="R51" s="279"/>
      <c r="S51" s="346"/>
      <c r="T51" s="279"/>
      <c r="U51" s="279"/>
      <c r="V51" s="279"/>
      <c r="W51" s="279"/>
      <c r="X51" s="279"/>
      <c r="Y51" s="279"/>
      <c r="Z51" s="279"/>
      <c r="AA51" s="279"/>
    </row>
    <row r="52" spans="1:27">
      <c r="A52" s="279"/>
      <c r="B52" s="439"/>
      <c r="C52" s="465"/>
      <c r="D52" s="466"/>
      <c r="E52" s="410"/>
      <c r="F52" s="279"/>
      <c r="G52" s="279"/>
      <c r="H52" s="450"/>
      <c r="I52" s="279"/>
      <c r="J52" s="279"/>
      <c r="K52" s="279"/>
      <c r="L52" s="279"/>
      <c r="M52" s="279"/>
      <c r="N52" s="279"/>
      <c r="O52" s="279"/>
      <c r="P52" s="279"/>
      <c r="Q52" s="279"/>
      <c r="R52" s="279"/>
      <c r="S52" s="346"/>
      <c r="T52" s="279"/>
      <c r="U52" s="279"/>
      <c r="V52" s="279"/>
      <c r="W52" s="279"/>
      <c r="X52" s="279"/>
      <c r="Y52" s="279"/>
      <c r="Z52" s="279"/>
      <c r="AA52" s="279"/>
    </row>
    <row r="53" spans="1:27">
      <c r="A53" s="279"/>
      <c r="B53" s="439"/>
      <c r="C53" s="465"/>
      <c r="D53" s="466"/>
      <c r="E53" s="410"/>
      <c r="F53" s="279"/>
      <c r="G53" s="279"/>
      <c r="H53" s="450"/>
      <c r="I53" s="279"/>
      <c r="J53" s="279"/>
      <c r="K53" s="279"/>
      <c r="L53" s="279"/>
      <c r="M53" s="279"/>
      <c r="N53" s="279"/>
      <c r="O53" s="279"/>
      <c r="P53" s="279"/>
      <c r="Q53" s="279"/>
      <c r="R53" s="279"/>
      <c r="S53" s="346"/>
      <c r="T53" s="279"/>
      <c r="U53" s="279"/>
      <c r="V53" s="279"/>
      <c r="W53" s="279"/>
      <c r="X53" s="279"/>
      <c r="Y53" s="279"/>
      <c r="Z53" s="279"/>
      <c r="AA53" s="279"/>
    </row>
    <row r="54" spans="1:27">
      <c r="A54" s="279"/>
      <c r="B54" s="439"/>
      <c r="C54" s="465"/>
      <c r="D54" s="466"/>
      <c r="E54" s="410"/>
      <c r="F54" s="279"/>
      <c r="G54" s="279"/>
      <c r="H54" s="450"/>
      <c r="I54" s="279"/>
      <c r="J54" s="279"/>
      <c r="K54" s="279"/>
      <c r="L54" s="279"/>
      <c r="M54" s="279"/>
      <c r="N54" s="279"/>
      <c r="O54" s="279"/>
      <c r="P54" s="279"/>
      <c r="Q54" s="279"/>
      <c r="R54" s="279"/>
      <c r="S54" s="346"/>
      <c r="T54" s="279"/>
      <c r="U54" s="279"/>
      <c r="V54" s="279"/>
      <c r="W54" s="279"/>
      <c r="X54" s="279"/>
      <c r="Y54" s="279"/>
      <c r="Z54" s="279"/>
      <c r="AA54" s="279"/>
    </row>
    <row r="55" spans="1:27">
      <c r="A55" s="279"/>
      <c r="B55" s="439"/>
      <c r="C55" s="465"/>
      <c r="D55" s="466"/>
      <c r="E55" s="410"/>
      <c r="F55" s="279"/>
      <c r="G55" s="279"/>
      <c r="H55" s="450"/>
      <c r="I55" s="279"/>
      <c r="J55" s="279"/>
      <c r="K55" s="279"/>
      <c r="L55" s="279"/>
      <c r="M55" s="279"/>
      <c r="N55" s="279"/>
      <c r="O55" s="279"/>
      <c r="P55" s="279"/>
      <c r="Q55" s="279"/>
      <c r="R55" s="279"/>
      <c r="S55" s="346"/>
      <c r="T55" s="279"/>
      <c r="U55" s="279"/>
      <c r="V55" s="279"/>
      <c r="W55" s="279"/>
      <c r="X55" s="279"/>
      <c r="Y55" s="279"/>
      <c r="Z55" s="279"/>
      <c r="AA55" s="279"/>
    </row>
    <row r="56" spans="1:27">
      <c r="A56" s="279"/>
      <c r="B56" s="439"/>
      <c r="C56" s="465"/>
      <c r="D56" s="466"/>
      <c r="E56" s="410"/>
      <c r="F56" s="279"/>
      <c r="G56" s="279"/>
      <c r="H56" s="450"/>
      <c r="I56" s="279"/>
      <c r="J56" s="279"/>
      <c r="K56" s="279"/>
      <c r="L56" s="279"/>
      <c r="M56" s="279"/>
      <c r="N56" s="279"/>
      <c r="O56" s="279"/>
      <c r="P56" s="279"/>
      <c r="Q56" s="279"/>
      <c r="R56" s="279"/>
      <c r="S56" s="346"/>
      <c r="T56" s="279"/>
      <c r="U56" s="279"/>
      <c r="V56" s="279"/>
      <c r="W56" s="279"/>
      <c r="X56" s="279"/>
      <c r="Y56" s="279"/>
      <c r="Z56" s="279"/>
      <c r="AA56" s="279"/>
    </row>
  </sheetData>
  <sheetProtection password="CA1B" sheet="1" formatCells="0" formatColumns="0" formatRows="0"/>
  <conditionalFormatting sqref="H14 D4 D8 L18 D16 H6 L34 L10 H22 H30 D12 L26">
    <cfRule type="expression" dxfId="27" priority="2">
      <formula>IF(N(E4)&gt;N(E5),1,0)</formula>
    </cfRule>
  </conditionalFormatting>
  <conditionalFormatting sqref="G14 C16 G6 C4 C8 G30 G22 C12 K18 K34 K10 K26">
    <cfRule type="expression" dxfId="26" priority="3">
      <formula>IF(N(E4)&gt;N(E5),1,0)</formula>
    </cfRule>
  </conditionalFormatting>
  <conditionalFormatting sqref="M18 E16 I30 M26 E12 E4 I22 I14 I6 M10 E8 M34">
    <cfRule type="expression" dxfId="25" priority="4">
      <formula>IF(N(E4)&gt;N(E5),1,0)</formula>
    </cfRule>
  </conditionalFormatting>
  <conditionalFormatting sqref="G15 C17 G7 C5 C9 G31 G23 C13 K19 K35 K11 K27">
    <cfRule type="expression" dxfId="24" priority="5">
      <formula>IF(N(E5)&gt;N(E4),1,0)</formula>
    </cfRule>
  </conditionalFormatting>
  <conditionalFormatting sqref="L35 D5 D9 L19 D17 H7 H15 H23 H31 L11 D13 L27">
    <cfRule type="expression" dxfId="23" priority="6">
      <formula>IF(N(E5)&gt;N(E4),1,0)</formula>
    </cfRule>
  </conditionalFormatting>
  <conditionalFormatting sqref="M19 E17 I31 M27 E13 E5 I23 I15 I7 M11 E9 M35">
    <cfRule type="expression" dxfId="22" priority="7">
      <formula>IF(N(E5)&gt;N(E4),1,0)</formula>
    </cfRule>
  </conditionalFormatting>
  <pageMargins left="1.1201388888888899" right="0.78749999999999998" top="0.12986111111111101" bottom="0.22986111111111099" header="0.51180555555555496" footer="0.51180555555555496"/>
  <pageSetup paperSize="9" firstPageNumber="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668"/>
  <sheetViews>
    <sheetView zoomScaleNormal="100" workbookViewId="0"/>
  </sheetViews>
  <sheetFormatPr defaultColWidth="8.7109375" defaultRowHeight="12.75"/>
  <cols>
    <col min="1" max="1" width="13.7109375" style="16" customWidth="1"/>
    <col min="2" max="2" width="39.7109375" style="16" customWidth="1"/>
    <col min="3" max="3" width="28.85546875" style="16" customWidth="1"/>
    <col min="4" max="4" width="17.42578125" style="16" customWidth="1"/>
    <col min="5" max="5" width="5.42578125" customWidth="1"/>
    <col min="6" max="6" width="9.42578125" customWidth="1"/>
  </cols>
  <sheetData>
    <row r="1" spans="1:8" ht="31.15" customHeight="1">
      <c r="A1" s="55"/>
      <c r="B1" s="55"/>
      <c r="C1" s="55"/>
      <c r="D1" s="55"/>
      <c r="E1" s="56">
        <v>20077</v>
      </c>
      <c r="F1" s="55"/>
      <c r="G1" s="57" t="s">
        <v>1444</v>
      </c>
      <c r="H1" s="58"/>
    </row>
    <row r="2" spans="1:8" ht="13.15" customHeight="1">
      <c r="A2" s="59"/>
      <c r="B2" s="60" t="s">
        <v>1445</v>
      </c>
      <c r="C2" s="59"/>
      <c r="D2" s="59"/>
      <c r="E2" s="59"/>
      <c r="F2" s="59"/>
      <c r="H2" s="58"/>
    </row>
    <row r="3" spans="1:8" ht="13.15" customHeight="1">
      <c r="A3" s="61" t="s">
        <v>1446</v>
      </c>
      <c r="B3" s="61" t="s">
        <v>246</v>
      </c>
      <c r="C3" s="61" t="s">
        <v>1447</v>
      </c>
      <c r="D3" s="61" t="s">
        <v>1448</v>
      </c>
      <c r="E3" s="62">
        <v>44002</v>
      </c>
      <c r="F3" s="61" t="s">
        <v>1449</v>
      </c>
      <c r="G3" s="63" t="s">
        <v>1450</v>
      </c>
      <c r="H3" s="58"/>
    </row>
    <row r="4" spans="1:8" ht="10.9" customHeight="1">
      <c r="A4" s="61" t="s">
        <v>1448</v>
      </c>
      <c r="B4" s="55"/>
      <c r="C4" s="55"/>
      <c r="D4" s="55"/>
      <c r="E4" s="55"/>
      <c r="F4" s="55"/>
      <c r="G4" s="63" t="s">
        <v>1451</v>
      </c>
      <c r="H4" s="58"/>
    </row>
    <row r="5" spans="1:8" ht="13.15" customHeight="1">
      <c r="A5" s="55"/>
      <c r="B5" s="55"/>
      <c r="C5" s="55"/>
      <c r="D5" s="55"/>
      <c r="E5" s="55"/>
      <c r="F5" s="55"/>
      <c r="G5" s="63" t="s">
        <v>1452</v>
      </c>
      <c r="H5" s="58"/>
    </row>
    <row r="6" spans="1:8" ht="26.45" customHeight="1">
      <c r="A6" s="55"/>
      <c r="B6" s="55"/>
      <c r="C6" s="55"/>
      <c r="D6" s="55"/>
      <c r="E6" s="55"/>
      <c r="F6" s="55"/>
      <c r="G6" s="58"/>
      <c r="H6" s="58"/>
    </row>
    <row r="7" spans="1:8" ht="8.4499999999999993" customHeight="1">
      <c r="A7" s="55"/>
      <c r="B7" s="55"/>
      <c r="C7" s="55"/>
      <c r="D7" s="55"/>
      <c r="E7" s="55"/>
      <c r="F7" s="55"/>
      <c r="G7" s="58"/>
      <c r="H7" s="58"/>
    </row>
    <row r="8" spans="1:8" ht="26.45" customHeight="1">
      <c r="A8" s="61" t="s">
        <v>1453</v>
      </c>
      <c r="B8" s="61" t="s">
        <v>1454</v>
      </c>
      <c r="C8" s="61" t="s">
        <v>1455</v>
      </c>
      <c r="D8" s="61">
        <v>1</v>
      </c>
      <c r="E8" s="61" t="s">
        <v>1456</v>
      </c>
      <c r="F8" s="61" t="s">
        <v>1457</v>
      </c>
      <c r="G8" s="63"/>
      <c r="H8" s="58"/>
    </row>
    <row r="9" spans="1:8" ht="14.25">
      <c r="A9" s="56">
        <v>15011</v>
      </c>
      <c r="B9" s="61" t="s">
        <v>1458</v>
      </c>
      <c r="C9" s="61" t="s">
        <v>440</v>
      </c>
      <c r="D9" s="60" t="s">
        <v>1448</v>
      </c>
      <c r="E9" s="64">
        <v>38</v>
      </c>
      <c r="F9" s="64" t="s">
        <v>1459</v>
      </c>
      <c r="G9" s="63" t="s">
        <v>1460</v>
      </c>
      <c r="H9" s="58"/>
    </row>
    <row r="10" spans="1:8" ht="14.25">
      <c r="A10" s="56">
        <v>15010</v>
      </c>
      <c r="B10" s="61" t="s">
        <v>1461</v>
      </c>
      <c r="C10" s="61" t="s">
        <v>440</v>
      </c>
      <c r="D10" s="60" t="s">
        <v>1448</v>
      </c>
      <c r="E10" s="64">
        <v>39</v>
      </c>
      <c r="F10" s="64" t="s">
        <v>1462</v>
      </c>
      <c r="G10" s="63" t="s">
        <v>1463</v>
      </c>
      <c r="H10" s="58"/>
    </row>
    <row r="11" spans="1:8">
      <c r="A11" s="56">
        <v>18132</v>
      </c>
      <c r="B11" s="61" t="s">
        <v>1464</v>
      </c>
      <c r="C11" s="61" t="s">
        <v>248</v>
      </c>
      <c r="D11" s="60" t="s">
        <v>1448</v>
      </c>
      <c r="E11" s="64">
        <v>121</v>
      </c>
      <c r="F11" s="64" t="s">
        <v>1465</v>
      </c>
      <c r="H11" s="58"/>
    </row>
    <row r="12" spans="1:8" ht="14.25">
      <c r="A12" s="55"/>
      <c r="B12" s="55"/>
      <c r="C12" s="55"/>
      <c r="D12" s="59"/>
      <c r="E12" s="59"/>
      <c r="F12" s="59"/>
      <c r="G12" s="63"/>
      <c r="H12" s="58"/>
    </row>
    <row r="13" spans="1:8" ht="26.25">
      <c r="A13" s="61" t="s">
        <v>1453</v>
      </c>
      <c r="B13" s="61" t="s">
        <v>1454</v>
      </c>
      <c r="C13" s="61" t="s">
        <v>1455</v>
      </c>
      <c r="D13" s="61">
        <v>2</v>
      </c>
      <c r="E13" s="61" t="s">
        <v>1456</v>
      </c>
      <c r="F13" s="61" t="s">
        <v>1466</v>
      </c>
      <c r="G13" s="63"/>
      <c r="H13" s="58"/>
    </row>
    <row r="14" spans="1:8" ht="14.25">
      <c r="A14" s="56">
        <v>13005</v>
      </c>
      <c r="B14" s="61" t="s">
        <v>1467</v>
      </c>
      <c r="C14" s="61" t="s">
        <v>482</v>
      </c>
      <c r="D14" s="60" t="s">
        <v>1448</v>
      </c>
      <c r="E14" s="64">
        <v>68</v>
      </c>
      <c r="F14" s="64" t="s">
        <v>1468</v>
      </c>
      <c r="G14" s="63"/>
      <c r="H14" s="58"/>
    </row>
    <row r="15" spans="1:8" ht="14.25">
      <c r="A15" s="56">
        <v>28055</v>
      </c>
      <c r="B15" s="61" t="s">
        <v>1469</v>
      </c>
      <c r="C15" s="61" t="s">
        <v>1470</v>
      </c>
      <c r="D15" s="60" t="s">
        <v>1448</v>
      </c>
      <c r="E15" s="64">
        <v>69</v>
      </c>
      <c r="F15" s="64" t="s">
        <v>1471</v>
      </c>
      <c r="G15" s="63"/>
      <c r="H15" s="58"/>
    </row>
    <row r="16" spans="1:8" ht="14.25">
      <c r="A16" s="56">
        <v>25054</v>
      </c>
      <c r="B16" s="61" t="s">
        <v>1472</v>
      </c>
      <c r="C16" s="61" t="s">
        <v>1470</v>
      </c>
      <c r="D16" s="60" t="s">
        <v>1448</v>
      </c>
      <c r="E16" s="64">
        <v>104</v>
      </c>
      <c r="F16" s="64" t="s">
        <v>1473</v>
      </c>
      <c r="G16" s="63"/>
      <c r="H16" s="58"/>
    </row>
    <row r="17" spans="1:8" ht="14.25">
      <c r="A17" s="55"/>
      <c r="B17" s="55"/>
      <c r="C17" s="55"/>
      <c r="D17" s="59"/>
      <c r="E17" s="59"/>
      <c r="F17" s="59"/>
      <c r="G17" s="63"/>
      <c r="H17" s="58"/>
    </row>
    <row r="18" spans="1:8" ht="26.25">
      <c r="A18" s="61" t="s">
        <v>1453</v>
      </c>
      <c r="B18" s="61" t="s">
        <v>1454</v>
      </c>
      <c r="C18" s="61" t="s">
        <v>1455</v>
      </c>
      <c r="D18" s="61">
        <v>3</v>
      </c>
      <c r="E18" s="61" t="s">
        <v>1456</v>
      </c>
      <c r="F18" s="61" t="s">
        <v>1474</v>
      </c>
      <c r="G18" s="63"/>
      <c r="H18" s="58"/>
    </row>
    <row r="19" spans="1:8" ht="14.25">
      <c r="A19" s="56">
        <v>15001</v>
      </c>
      <c r="B19" s="61" t="s">
        <v>1475</v>
      </c>
      <c r="C19" s="61" t="s">
        <v>300</v>
      </c>
      <c r="D19" s="60" t="s">
        <v>1448</v>
      </c>
      <c r="E19" s="64">
        <v>63</v>
      </c>
      <c r="F19" s="64" t="s">
        <v>1476</v>
      </c>
      <c r="G19" s="63"/>
      <c r="H19" s="58"/>
    </row>
    <row r="20" spans="1:8">
      <c r="A20" s="56">
        <v>10058</v>
      </c>
      <c r="B20" s="61" t="s">
        <v>1477</v>
      </c>
      <c r="C20" s="61" t="s">
        <v>300</v>
      </c>
      <c r="D20" s="60" t="s">
        <v>1448</v>
      </c>
      <c r="E20" s="64">
        <v>186</v>
      </c>
      <c r="F20" s="64" t="s">
        <v>1478</v>
      </c>
      <c r="G20" s="58"/>
      <c r="H20" s="58"/>
    </row>
    <row r="21" spans="1:8">
      <c r="A21" s="56">
        <v>98307</v>
      </c>
      <c r="B21" s="61" t="s">
        <v>1479</v>
      </c>
      <c r="C21" s="61" t="s">
        <v>300</v>
      </c>
      <c r="D21" s="60" t="s">
        <v>1448</v>
      </c>
      <c r="E21" s="64">
        <v>176</v>
      </c>
      <c r="F21" s="64" t="s">
        <v>1480</v>
      </c>
      <c r="G21" s="58"/>
      <c r="H21" s="58"/>
    </row>
    <row r="22" spans="1:8">
      <c r="A22" s="55"/>
      <c r="B22" s="55"/>
      <c r="C22" s="55"/>
      <c r="D22" s="59"/>
      <c r="E22" s="59"/>
      <c r="F22" s="59"/>
      <c r="G22" s="58"/>
      <c r="H22" s="58"/>
    </row>
    <row r="23" spans="1:8" ht="25.5">
      <c r="A23" s="61" t="s">
        <v>1453</v>
      </c>
      <c r="B23" s="61" t="s">
        <v>1454</v>
      </c>
      <c r="C23" s="61" t="s">
        <v>1455</v>
      </c>
      <c r="D23" s="61">
        <v>4</v>
      </c>
      <c r="E23" s="61" t="s">
        <v>1456</v>
      </c>
      <c r="F23" s="61" t="s">
        <v>1481</v>
      </c>
      <c r="G23" s="58"/>
      <c r="H23" s="58"/>
    </row>
    <row r="24" spans="1:8">
      <c r="A24" s="56">
        <v>16105</v>
      </c>
      <c r="B24" s="61" t="s">
        <v>1482</v>
      </c>
      <c r="C24" s="61" t="s">
        <v>160</v>
      </c>
      <c r="D24" s="60" t="s">
        <v>1448</v>
      </c>
      <c r="E24" s="64">
        <v>92</v>
      </c>
      <c r="F24" s="64" t="s">
        <v>1483</v>
      </c>
      <c r="G24" s="58"/>
      <c r="H24" s="58"/>
    </row>
    <row r="25" spans="1:8">
      <c r="A25" s="56">
        <v>16106</v>
      </c>
      <c r="B25" s="61" t="s">
        <v>1484</v>
      </c>
      <c r="C25" s="61" t="s">
        <v>160</v>
      </c>
      <c r="D25" s="60" t="s">
        <v>1448</v>
      </c>
      <c r="E25" s="64">
        <v>100</v>
      </c>
      <c r="F25" s="64" t="s">
        <v>1485</v>
      </c>
      <c r="G25" s="58"/>
      <c r="H25" s="58"/>
    </row>
    <row r="26" spans="1:8">
      <c r="A26" s="56">
        <v>17035</v>
      </c>
      <c r="B26" s="61" t="s">
        <v>1486</v>
      </c>
      <c r="C26" s="61" t="s">
        <v>482</v>
      </c>
      <c r="D26" s="60" t="s">
        <v>1448</v>
      </c>
      <c r="E26" s="64">
        <v>281</v>
      </c>
      <c r="F26" s="64" t="s">
        <v>1487</v>
      </c>
      <c r="G26" s="58"/>
      <c r="H26" s="58"/>
    </row>
    <row r="27" spans="1:8">
      <c r="A27" s="55"/>
      <c r="B27" s="55"/>
      <c r="C27" s="55"/>
      <c r="D27" s="59"/>
      <c r="E27" s="59"/>
      <c r="F27" s="59"/>
      <c r="G27" s="58"/>
      <c r="H27" s="58"/>
    </row>
    <row r="28" spans="1:8" ht="25.5">
      <c r="A28" s="61" t="s">
        <v>1453</v>
      </c>
      <c r="B28" s="61" t="s">
        <v>1454</v>
      </c>
      <c r="C28" s="61" t="s">
        <v>1455</v>
      </c>
      <c r="D28" s="61">
        <v>5</v>
      </c>
      <c r="E28" s="61" t="s">
        <v>1456</v>
      </c>
      <c r="F28" s="61" t="s">
        <v>1488</v>
      </c>
      <c r="G28" s="58"/>
      <c r="H28" s="58"/>
    </row>
    <row r="29" spans="1:8">
      <c r="A29" s="56">
        <v>10139</v>
      </c>
      <c r="B29" s="61" t="s">
        <v>1489</v>
      </c>
      <c r="C29" s="61" t="s">
        <v>160</v>
      </c>
      <c r="D29" s="60" t="s">
        <v>1448</v>
      </c>
      <c r="E29" s="64">
        <v>178</v>
      </c>
      <c r="F29" s="64" t="s">
        <v>1490</v>
      </c>
      <c r="G29" s="58"/>
      <c r="H29" s="58"/>
    </row>
    <row r="30" spans="1:8">
      <c r="A30" s="56">
        <v>12047</v>
      </c>
      <c r="B30" s="61" t="s">
        <v>1491</v>
      </c>
      <c r="C30" s="61" t="s">
        <v>160</v>
      </c>
      <c r="D30" s="60" t="s">
        <v>1448</v>
      </c>
      <c r="E30" s="64">
        <v>213</v>
      </c>
      <c r="F30" s="64" t="s">
        <v>1492</v>
      </c>
      <c r="G30" s="58"/>
      <c r="H30" s="58"/>
    </row>
    <row r="31" spans="1:8">
      <c r="A31" s="56">
        <v>98304</v>
      </c>
      <c r="B31" s="61" t="s">
        <v>1493</v>
      </c>
      <c r="C31" s="61" t="s">
        <v>259</v>
      </c>
      <c r="D31" s="60" t="s">
        <v>1448</v>
      </c>
      <c r="E31" s="64">
        <v>206</v>
      </c>
      <c r="F31" s="64" t="s">
        <v>1494</v>
      </c>
      <c r="G31" s="58"/>
      <c r="H31" s="58"/>
    </row>
    <row r="32" spans="1:8">
      <c r="A32" s="55"/>
      <c r="B32" s="55"/>
      <c r="C32" s="55"/>
      <c r="D32" s="59"/>
      <c r="E32" s="59"/>
      <c r="F32" s="59"/>
      <c r="G32" s="58"/>
      <c r="H32" s="58"/>
    </row>
    <row r="33" spans="1:8" ht="25.5">
      <c r="A33" s="61" t="s">
        <v>1453</v>
      </c>
      <c r="B33" s="61" t="s">
        <v>1454</v>
      </c>
      <c r="C33" s="61" t="s">
        <v>1455</v>
      </c>
      <c r="D33" s="61">
        <v>6</v>
      </c>
      <c r="E33" s="61" t="s">
        <v>1456</v>
      </c>
      <c r="F33" s="61" t="s">
        <v>1495</v>
      </c>
      <c r="G33" s="58"/>
      <c r="H33" s="58"/>
    </row>
    <row r="34" spans="1:8">
      <c r="A34" s="56">
        <v>27062</v>
      </c>
      <c r="B34" s="61" t="s">
        <v>1496</v>
      </c>
      <c r="C34" s="61" t="s">
        <v>650</v>
      </c>
      <c r="D34" s="60" t="s">
        <v>1448</v>
      </c>
      <c r="E34" s="64">
        <v>132</v>
      </c>
      <c r="F34" s="64" t="s">
        <v>1497</v>
      </c>
      <c r="G34" s="58"/>
      <c r="H34" s="58"/>
    </row>
    <row r="35" spans="1:8">
      <c r="A35" s="56">
        <v>27063</v>
      </c>
      <c r="B35" s="61" t="s">
        <v>1498</v>
      </c>
      <c r="C35" s="61" t="s">
        <v>650</v>
      </c>
      <c r="D35" s="60" t="s">
        <v>1448</v>
      </c>
      <c r="E35" s="64">
        <v>314</v>
      </c>
      <c r="F35" s="64" t="s">
        <v>1499</v>
      </c>
      <c r="G35" s="58"/>
      <c r="H35" s="58"/>
    </row>
    <row r="36" spans="1:8">
      <c r="A36" s="56">
        <v>11018</v>
      </c>
      <c r="B36" s="61" t="s">
        <v>1500</v>
      </c>
      <c r="C36" s="61" t="s">
        <v>650</v>
      </c>
      <c r="D36" s="60" t="s">
        <v>1448</v>
      </c>
      <c r="E36" s="64">
        <v>219</v>
      </c>
      <c r="F36" s="64" t="s">
        <v>1501</v>
      </c>
      <c r="G36" s="58"/>
      <c r="H36" s="58"/>
    </row>
    <row r="37" spans="1:8">
      <c r="A37" s="55"/>
      <c r="B37" s="55"/>
      <c r="C37" s="55"/>
      <c r="D37" s="59"/>
      <c r="E37" s="59"/>
      <c r="F37" s="59"/>
      <c r="G37" s="58"/>
      <c r="H37" s="58"/>
    </row>
    <row r="38" spans="1:8">
      <c r="A38" s="61" t="s">
        <v>1453</v>
      </c>
      <c r="B38" s="61" t="s">
        <v>1454</v>
      </c>
      <c r="C38" s="61" t="s">
        <v>1455</v>
      </c>
      <c r="D38" s="61">
        <v>7</v>
      </c>
      <c r="E38" s="61" t="s">
        <v>1456</v>
      </c>
      <c r="F38" s="61" t="s">
        <v>1502</v>
      </c>
      <c r="G38" s="58"/>
      <c r="H38" s="58"/>
    </row>
    <row r="39" spans="1:8">
      <c r="A39" s="56">
        <v>16109</v>
      </c>
      <c r="B39" s="61" t="s">
        <v>1503</v>
      </c>
      <c r="C39" s="61" t="s">
        <v>440</v>
      </c>
      <c r="D39" s="60" t="s">
        <v>1448</v>
      </c>
      <c r="E39" s="64">
        <v>129</v>
      </c>
      <c r="F39" s="64" t="s">
        <v>1504</v>
      </c>
      <c r="G39" s="58"/>
      <c r="H39" s="58"/>
    </row>
    <row r="40" spans="1:8">
      <c r="A40" s="56">
        <v>13078</v>
      </c>
      <c r="B40" s="61" t="s">
        <v>1505</v>
      </c>
      <c r="C40" s="61" t="s">
        <v>340</v>
      </c>
      <c r="D40" s="60" t="s">
        <v>1448</v>
      </c>
      <c r="E40" s="64">
        <v>152</v>
      </c>
      <c r="F40" s="64" t="s">
        <v>1506</v>
      </c>
      <c r="G40" s="58"/>
      <c r="H40" s="58"/>
    </row>
    <row r="41" spans="1:8">
      <c r="A41" s="56">
        <v>13077</v>
      </c>
      <c r="B41" s="61" t="s">
        <v>1507</v>
      </c>
      <c r="C41" s="61" t="s">
        <v>340</v>
      </c>
      <c r="D41" s="60" t="s">
        <v>1448</v>
      </c>
      <c r="E41" s="64">
        <v>151</v>
      </c>
      <c r="F41" s="64" t="s">
        <v>1506</v>
      </c>
      <c r="G41" s="58"/>
      <c r="H41" s="58"/>
    </row>
    <row r="42" spans="1:8">
      <c r="A42" s="55"/>
      <c r="B42" s="55"/>
      <c r="C42" s="55"/>
      <c r="D42" s="59"/>
      <c r="E42" s="59"/>
      <c r="F42" s="59"/>
      <c r="G42" s="58"/>
      <c r="H42" s="58"/>
    </row>
    <row r="43" spans="1:8" ht="25.5">
      <c r="A43" s="61" t="s">
        <v>1453</v>
      </c>
      <c r="B43" s="61" t="s">
        <v>1454</v>
      </c>
      <c r="C43" s="61" t="s">
        <v>1455</v>
      </c>
      <c r="D43" s="61">
        <v>8</v>
      </c>
      <c r="E43" s="61" t="s">
        <v>1456</v>
      </c>
      <c r="F43" s="61" t="s">
        <v>1508</v>
      </c>
      <c r="G43" s="58"/>
      <c r="H43" s="58"/>
    </row>
    <row r="44" spans="1:8">
      <c r="A44" s="56">
        <v>96005</v>
      </c>
      <c r="B44" s="61" t="s">
        <v>1509</v>
      </c>
      <c r="C44" s="61" t="s">
        <v>133</v>
      </c>
      <c r="D44" s="60" t="s">
        <v>1448</v>
      </c>
      <c r="E44" s="64">
        <v>280</v>
      </c>
      <c r="F44" s="64" t="s">
        <v>1510</v>
      </c>
      <c r="G44" s="58"/>
      <c r="H44" s="58"/>
    </row>
    <row r="45" spans="1:8">
      <c r="A45" s="56">
        <v>23060</v>
      </c>
      <c r="B45" s="61" t="s">
        <v>1511</v>
      </c>
      <c r="C45" s="61" t="s">
        <v>133</v>
      </c>
      <c r="D45" s="60" t="s">
        <v>1448</v>
      </c>
      <c r="E45" s="64">
        <v>141</v>
      </c>
      <c r="F45" s="64" t="s">
        <v>1512</v>
      </c>
      <c r="G45" s="58"/>
      <c r="H45" s="58"/>
    </row>
    <row r="46" spans="1:8">
      <c r="A46" s="56">
        <v>26034</v>
      </c>
      <c r="B46" s="61" t="s">
        <v>1513</v>
      </c>
      <c r="C46" s="61" t="s">
        <v>133</v>
      </c>
      <c r="D46" s="60" t="s">
        <v>1448</v>
      </c>
      <c r="E46" s="64">
        <v>197</v>
      </c>
      <c r="F46" s="64" t="s">
        <v>1514</v>
      </c>
      <c r="G46" s="58"/>
      <c r="H46" s="58"/>
    </row>
    <row r="47" spans="1:8">
      <c r="A47" s="55"/>
      <c r="B47" s="55"/>
      <c r="C47" s="55"/>
      <c r="D47" s="59"/>
      <c r="E47" s="59"/>
      <c r="F47" s="59"/>
      <c r="G47" s="58"/>
      <c r="H47" s="58"/>
    </row>
    <row r="48" spans="1:8" ht="25.5">
      <c r="A48" s="61" t="s">
        <v>1453</v>
      </c>
      <c r="B48" s="61" t="s">
        <v>1454</v>
      </c>
      <c r="C48" s="61" t="s">
        <v>1455</v>
      </c>
      <c r="D48" s="61">
        <v>9</v>
      </c>
      <c r="E48" s="61" t="s">
        <v>1456</v>
      </c>
      <c r="F48" s="61" t="s">
        <v>1515</v>
      </c>
      <c r="G48" s="58"/>
      <c r="H48" s="58"/>
    </row>
    <row r="49" spans="1:8">
      <c r="A49" s="56">
        <v>17060</v>
      </c>
      <c r="B49" s="61" t="s">
        <v>1516</v>
      </c>
      <c r="C49" s="61" t="s">
        <v>413</v>
      </c>
      <c r="D49" s="60" t="s">
        <v>1448</v>
      </c>
      <c r="E49" s="64">
        <v>80</v>
      </c>
      <c r="F49" s="64" t="s">
        <v>1517</v>
      </c>
      <c r="G49" s="58"/>
      <c r="H49" s="58"/>
    </row>
    <row r="50" spans="1:8">
      <c r="A50" s="56">
        <v>16033</v>
      </c>
      <c r="B50" s="61" t="s">
        <v>1518</v>
      </c>
      <c r="C50" s="61" t="s">
        <v>288</v>
      </c>
      <c r="D50" s="60" t="s">
        <v>1448</v>
      </c>
      <c r="E50" s="64">
        <v>317</v>
      </c>
      <c r="F50" s="64" t="s">
        <v>1519</v>
      </c>
      <c r="G50" s="58"/>
      <c r="H50" s="58"/>
    </row>
    <row r="51" spans="1:8">
      <c r="A51" s="56">
        <v>17061</v>
      </c>
      <c r="B51" s="61" t="s">
        <v>1520</v>
      </c>
      <c r="C51" s="61" t="s">
        <v>413</v>
      </c>
      <c r="D51" s="60" t="s">
        <v>1448</v>
      </c>
      <c r="E51" s="64">
        <v>593</v>
      </c>
      <c r="F51" s="64" t="s">
        <v>1521</v>
      </c>
      <c r="G51" s="58"/>
      <c r="H51" s="58"/>
    </row>
    <row r="52" spans="1:8">
      <c r="A52" s="55"/>
      <c r="B52" s="55"/>
      <c r="C52" s="55"/>
      <c r="D52" s="59"/>
      <c r="E52" s="59"/>
      <c r="F52" s="59"/>
      <c r="G52" s="58"/>
      <c r="H52" s="58"/>
    </row>
    <row r="53" spans="1:8" ht="25.5">
      <c r="A53" s="61" t="s">
        <v>1453</v>
      </c>
      <c r="B53" s="61" t="s">
        <v>1454</v>
      </c>
      <c r="C53" s="61" t="s">
        <v>1455</v>
      </c>
      <c r="D53" s="61">
        <v>10</v>
      </c>
      <c r="E53" s="61" t="s">
        <v>1456</v>
      </c>
      <c r="F53" s="61" t="s">
        <v>1522</v>
      </c>
      <c r="G53" s="58"/>
      <c r="H53" s="58"/>
    </row>
    <row r="54" spans="1:8">
      <c r="A54" s="56">
        <v>11044</v>
      </c>
      <c r="B54" s="61" t="s">
        <v>1523</v>
      </c>
      <c r="C54" s="61" t="s">
        <v>259</v>
      </c>
      <c r="D54" s="60" t="s">
        <v>1448</v>
      </c>
      <c r="E54" s="64">
        <v>150</v>
      </c>
      <c r="F54" s="64" t="s">
        <v>1524</v>
      </c>
      <c r="G54" s="58"/>
      <c r="H54" s="58"/>
    </row>
    <row r="55" spans="1:8">
      <c r="A55" s="56">
        <v>28005</v>
      </c>
      <c r="B55" s="61" t="s">
        <v>1525</v>
      </c>
      <c r="C55" s="61" t="s">
        <v>259</v>
      </c>
      <c r="D55" s="60" t="s">
        <v>1448</v>
      </c>
      <c r="E55" s="64">
        <v>160</v>
      </c>
      <c r="F55" s="64" t="s">
        <v>1526</v>
      </c>
      <c r="G55" s="58"/>
      <c r="H55" s="58"/>
    </row>
    <row r="56" spans="1:8">
      <c r="A56" s="56">
        <v>11045</v>
      </c>
      <c r="B56" s="61" t="s">
        <v>1527</v>
      </c>
      <c r="C56" s="61" t="s">
        <v>259</v>
      </c>
      <c r="D56" s="60" t="s">
        <v>1448</v>
      </c>
      <c r="E56" s="64">
        <v>239</v>
      </c>
      <c r="F56" s="64" t="s">
        <v>1528</v>
      </c>
      <c r="G56" s="58"/>
      <c r="H56" s="58"/>
    </row>
    <row r="57" spans="1:8">
      <c r="A57" s="55"/>
      <c r="B57" s="55"/>
      <c r="C57" s="55"/>
      <c r="D57" s="59"/>
      <c r="E57" s="59"/>
      <c r="F57" s="59"/>
      <c r="G57" s="58"/>
      <c r="H57" s="58"/>
    </row>
    <row r="58" spans="1:8" ht="25.5">
      <c r="A58" s="61" t="s">
        <v>1453</v>
      </c>
      <c r="B58" s="61" t="s">
        <v>1454</v>
      </c>
      <c r="C58" s="61" t="s">
        <v>1455</v>
      </c>
      <c r="D58" s="61">
        <v>11</v>
      </c>
      <c r="E58" s="61" t="s">
        <v>1456</v>
      </c>
      <c r="F58" s="61" t="s">
        <v>1529</v>
      </c>
      <c r="G58" s="58"/>
      <c r="H58" s="58"/>
    </row>
    <row r="59" spans="1:8">
      <c r="A59" s="56">
        <v>18071</v>
      </c>
      <c r="B59" s="61" t="s">
        <v>1530</v>
      </c>
      <c r="C59" s="61" t="s">
        <v>248</v>
      </c>
      <c r="D59" s="60" t="s">
        <v>1448</v>
      </c>
      <c r="E59" s="64">
        <v>283</v>
      </c>
      <c r="F59" s="64" t="s">
        <v>1531</v>
      </c>
      <c r="G59" s="58"/>
      <c r="H59" s="58"/>
    </row>
    <row r="60" spans="1:8">
      <c r="A60" s="56">
        <v>18070</v>
      </c>
      <c r="B60" s="61" t="s">
        <v>1532</v>
      </c>
      <c r="C60" s="61" t="s">
        <v>248</v>
      </c>
      <c r="D60" s="60" t="s">
        <v>1448</v>
      </c>
      <c r="E60" s="64">
        <v>264</v>
      </c>
      <c r="F60" s="64" t="s">
        <v>1533</v>
      </c>
      <c r="G60" s="58"/>
      <c r="H60" s="58"/>
    </row>
    <row r="61" spans="1:8">
      <c r="A61" s="56">
        <v>18131</v>
      </c>
      <c r="B61" s="61" t="s">
        <v>1534</v>
      </c>
      <c r="C61" s="61" t="s">
        <v>630</v>
      </c>
      <c r="D61" s="60" t="s">
        <v>1448</v>
      </c>
      <c r="E61" s="64">
        <v>237</v>
      </c>
      <c r="F61" s="64" t="s">
        <v>1535</v>
      </c>
      <c r="G61" s="58"/>
      <c r="H61" s="58"/>
    </row>
    <row r="62" spans="1:8">
      <c r="A62" s="55"/>
      <c r="B62" s="55"/>
      <c r="C62" s="55"/>
      <c r="D62" s="59"/>
      <c r="E62" s="59"/>
      <c r="F62" s="59"/>
      <c r="G62" s="58"/>
      <c r="H62" s="58"/>
    </row>
    <row r="63" spans="1:8" ht="25.5">
      <c r="A63" s="61" t="s">
        <v>1453</v>
      </c>
      <c r="B63" s="61" t="s">
        <v>1454</v>
      </c>
      <c r="C63" s="61" t="s">
        <v>1455</v>
      </c>
      <c r="D63" s="61">
        <v>12</v>
      </c>
      <c r="E63" s="61" t="s">
        <v>1456</v>
      </c>
      <c r="F63" s="61" t="s">
        <v>1536</v>
      </c>
      <c r="G63" s="58"/>
      <c r="H63" s="58"/>
    </row>
    <row r="64" spans="1:8">
      <c r="A64" s="56">
        <v>18124</v>
      </c>
      <c r="B64" s="61" t="s">
        <v>1537</v>
      </c>
      <c r="C64" s="61" t="s">
        <v>248</v>
      </c>
      <c r="D64" s="60" t="s">
        <v>1448</v>
      </c>
      <c r="E64" s="64">
        <v>230</v>
      </c>
      <c r="F64" s="64" t="s">
        <v>1538</v>
      </c>
      <c r="G64" s="58"/>
      <c r="H64" s="58"/>
    </row>
    <row r="65" spans="1:8">
      <c r="A65" s="56">
        <v>18072</v>
      </c>
      <c r="B65" s="61" t="s">
        <v>1539</v>
      </c>
      <c r="C65" s="61" t="s">
        <v>248</v>
      </c>
      <c r="D65" s="60" t="s">
        <v>1448</v>
      </c>
      <c r="E65" s="64">
        <v>187</v>
      </c>
      <c r="F65" s="64" t="s">
        <v>1540</v>
      </c>
      <c r="G65" s="58"/>
      <c r="H65" s="58"/>
    </row>
    <row r="66" spans="1:8">
      <c r="A66" s="56">
        <v>19034</v>
      </c>
      <c r="B66" s="61" t="s">
        <v>1541</v>
      </c>
      <c r="C66" s="61" t="s">
        <v>248</v>
      </c>
      <c r="D66" s="60" t="s">
        <v>1448</v>
      </c>
      <c r="E66" s="64">
        <v>431</v>
      </c>
      <c r="F66" s="64" t="s">
        <v>1542</v>
      </c>
      <c r="G66" s="58"/>
      <c r="H66" s="58"/>
    </row>
    <row r="67" spans="1:8">
      <c r="A67" s="55"/>
      <c r="B67" s="55"/>
      <c r="C67" s="55"/>
      <c r="D67" s="59"/>
      <c r="E67" s="59"/>
      <c r="F67" s="59"/>
      <c r="G67" s="58"/>
      <c r="H67" s="58"/>
    </row>
    <row r="68" spans="1:8">
      <c r="A68" s="61" t="s">
        <v>1453</v>
      </c>
      <c r="B68" s="61" t="s">
        <v>1454</v>
      </c>
      <c r="C68" s="61" t="s">
        <v>1455</v>
      </c>
      <c r="D68" s="61">
        <v>13</v>
      </c>
      <c r="E68" s="61" t="s">
        <v>1456</v>
      </c>
      <c r="F68" s="61" t="s">
        <v>1543</v>
      </c>
      <c r="G68" s="58"/>
      <c r="H68" s="58"/>
    </row>
    <row r="69" spans="1:8">
      <c r="A69" s="56">
        <v>13011</v>
      </c>
      <c r="B69" s="61" t="s">
        <v>1544</v>
      </c>
      <c r="C69" s="61" t="s">
        <v>482</v>
      </c>
      <c r="D69" s="60" t="s">
        <v>1448</v>
      </c>
      <c r="E69" s="64">
        <v>435</v>
      </c>
      <c r="F69" s="64" t="s">
        <v>1545</v>
      </c>
      <c r="G69" s="58"/>
      <c r="H69" s="58"/>
    </row>
    <row r="70" spans="1:8">
      <c r="A70" s="56">
        <v>20554</v>
      </c>
      <c r="B70" s="61" t="s">
        <v>1546</v>
      </c>
      <c r="C70" s="61" t="s">
        <v>160</v>
      </c>
      <c r="D70" s="60" t="s">
        <v>1448</v>
      </c>
      <c r="E70" s="64">
        <v>875</v>
      </c>
      <c r="F70" s="64" t="s">
        <v>1547</v>
      </c>
      <c r="G70" s="58"/>
      <c r="H70" s="58"/>
    </row>
    <row r="71" spans="1:8">
      <c r="A71" s="56">
        <v>28056</v>
      </c>
      <c r="B71" s="61" t="s">
        <v>1548</v>
      </c>
      <c r="C71" s="61" t="s">
        <v>259</v>
      </c>
      <c r="D71" s="60" t="s">
        <v>1448</v>
      </c>
      <c r="E71" s="64">
        <v>174</v>
      </c>
      <c r="F71" s="64" t="s">
        <v>1549</v>
      </c>
      <c r="G71" s="58"/>
      <c r="H71" s="58"/>
    </row>
    <row r="72" spans="1:8">
      <c r="A72" s="55"/>
      <c r="B72" s="55"/>
      <c r="C72" s="55"/>
      <c r="D72" s="59"/>
      <c r="E72" s="59"/>
      <c r="F72" s="59"/>
      <c r="G72" s="58"/>
      <c r="H72" s="58"/>
    </row>
    <row r="73" spans="1:8" ht="25.5">
      <c r="A73" s="61" t="s">
        <v>1453</v>
      </c>
      <c r="B73" s="61" t="s">
        <v>1454</v>
      </c>
      <c r="C73" s="61" t="s">
        <v>1455</v>
      </c>
      <c r="D73" s="61">
        <v>14</v>
      </c>
      <c r="E73" s="61" t="s">
        <v>1456</v>
      </c>
      <c r="F73" s="61" t="s">
        <v>1550</v>
      </c>
      <c r="G73" s="58"/>
      <c r="H73" s="58"/>
    </row>
    <row r="74" spans="1:8">
      <c r="A74" s="56">
        <v>29023</v>
      </c>
      <c r="B74" s="61" t="s">
        <v>1551</v>
      </c>
      <c r="C74" s="61" t="s">
        <v>1470</v>
      </c>
      <c r="D74" s="60" t="s">
        <v>1448</v>
      </c>
      <c r="E74" s="64">
        <v>332</v>
      </c>
      <c r="F74" s="64" t="s">
        <v>1552</v>
      </c>
      <c r="G74" s="58"/>
      <c r="H74" s="58"/>
    </row>
    <row r="75" spans="1:8">
      <c r="A75" s="56">
        <v>13066</v>
      </c>
      <c r="B75" s="61" t="s">
        <v>1553</v>
      </c>
      <c r="C75" s="61" t="s">
        <v>1470</v>
      </c>
      <c r="D75" s="60" t="s">
        <v>1448</v>
      </c>
      <c r="E75" s="64">
        <v>469</v>
      </c>
      <c r="F75" s="64" t="s">
        <v>1554</v>
      </c>
      <c r="G75" s="58"/>
      <c r="H75" s="58"/>
    </row>
    <row r="76" spans="1:8">
      <c r="A76" s="56">
        <v>10144</v>
      </c>
      <c r="B76" s="61" t="s">
        <v>1555</v>
      </c>
      <c r="C76" s="61" t="s">
        <v>1470</v>
      </c>
      <c r="D76" s="60" t="s">
        <v>1448</v>
      </c>
      <c r="E76" s="64">
        <v>401</v>
      </c>
      <c r="F76" s="64" t="s">
        <v>1556</v>
      </c>
      <c r="G76" s="58"/>
      <c r="H76" s="58"/>
    </row>
    <row r="77" spans="1:8">
      <c r="A77" s="55"/>
      <c r="B77" s="55"/>
      <c r="C77" s="55"/>
      <c r="D77" s="59"/>
      <c r="E77" s="59"/>
      <c r="F77" s="59"/>
      <c r="G77" s="58"/>
      <c r="H77" s="58"/>
    </row>
    <row r="78" spans="1:8">
      <c r="A78" s="61" t="s">
        <v>1453</v>
      </c>
      <c r="B78" s="61" t="s">
        <v>1454</v>
      </c>
      <c r="C78" s="61" t="s">
        <v>1455</v>
      </c>
      <c r="D78" s="61">
        <v>15</v>
      </c>
      <c r="E78" s="61" t="s">
        <v>1456</v>
      </c>
      <c r="F78" s="61" t="s">
        <v>1557</v>
      </c>
      <c r="G78" s="58"/>
      <c r="H78" s="58"/>
    </row>
    <row r="79" spans="1:8">
      <c r="A79" s="56">
        <v>11013</v>
      </c>
      <c r="B79" s="61" t="s">
        <v>1558</v>
      </c>
      <c r="C79" s="61" t="s">
        <v>1470</v>
      </c>
      <c r="D79" s="60" t="s">
        <v>1448</v>
      </c>
      <c r="E79" s="64">
        <v>336</v>
      </c>
      <c r="F79" s="64" t="s">
        <v>1559</v>
      </c>
      <c r="G79" s="58"/>
      <c r="H79" s="58"/>
    </row>
    <row r="80" spans="1:8">
      <c r="A80" s="56">
        <v>11014</v>
      </c>
      <c r="B80" s="61" t="s">
        <v>1560</v>
      </c>
      <c r="C80" s="61" t="s">
        <v>1470</v>
      </c>
      <c r="D80" s="60" t="s">
        <v>1448</v>
      </c>
      <c r="E80" s="64">
        <v>527</v>
      </c>
      <c r="F80" s="64" t="s">
        <v>1561</v>
      </c>
      <c r="G80" s="58"/>
      <c r="H80" s="58"/>
    </row>
    <row r="81" spans="1:8">
      <c r="A81" s="56">
        <v>20553</v>
      </c>
      <c r="B81" s="61" t="s">
        <v>1562</v>
      </c>
      <c r="C81" s="61" t="s">
        <v>1470</v>
      </c>
      <c r="D81" s="60" t="s">
        <v>1448</v>
      </c>
      <c r="E81" s="64">
        <v>751</v>
      </c>
      <c r="F81" s="64" t="s">
        <v>1547</v>
      </c>
      <c r="G81" s="58"/>
      <c r="H81" s="58"/>
    </row>
    <row r="82" spans="1:8">
      <c r="A82" s="55"/>
      <c r="B82" s="55"/>
      <c r="C82" s="55"/>
      <c r="D82" s="59"/>
      <c r="E82" s="59"/>
      <c r="F82" s="59"/>
      <c r="G82" s="58"/>
      <c r="H82" s="58"/>
    </row>
    <row r="83" spans="1:8">
      <c r="A83" s="61" t="s">
        <v>1453</v>
      </c>
      <c r="B83" s="61" t="s">
        <v>1454</v>
      </c>
      <c r="C83" s="61" t="s">
        <v>1455</v>
      </c>
      <c r="D83" s="61">
        <v>16</v>
      </c>
      <c r="E83" s="61" t="s">
        <v>1456</v>
      </c>
      <c r="F83" s="61" t="s">
        <v>1563</v>
      </c>
      <c r="G83" s="58"/>
      <c r="H83" s="58"/>
    </row>
    <row r="84" spans="1:8">
      <c r="A84" s="56">
        <v>18067</v>
      </c>
      <c r="B84" s="61" t="s">
        <v>1564</v>
      </c>
      <c r="C84" s="61" t="s">
        <v>248</v>
      </c>
      <c r="D84" s="60" t="s">
        <v>1448</v>
      </c>
      <c r="E84" s="64">
        <v>515</v>
      </c>
      <c r="F84" s="64" t="s">
        <v>1565</v>
      </c>
      <c r="G84" s="58"/>
      <c r="H84" s="58"/>
    </row>
    <row r="85" spans="1:8">
      <c r="A85" s="56">
        <v>18069</v>
      </c>
      <c r="B85" s="61" t="s">
        <v>1566</v>
      </c>
      <c r="C85" s="61" t="s">
        <v>248</v>
      </c>
      <c r="D85" s="60" t="s">
        <v>1448</v>
      </c>
      <c r="E85" s="64">
        <v>711</v>
      </c>
      <c r="F85" s="64" t="s">
        <v>1547</v>
      </c>
      <c r="G85" s="58"/>
      <c r="H85" s="58"/>
    </row>
    <row r="86" spans="1:8">
      <c r="A86" s="56" t="s">
        <v>1448</v>
      </c>
      <c r="B86" s="61" t="s">
        <v>1567</v>
      </c>
      <c r="C86" s="55"/>
      <c r="D86" s="60" t="s">
        <v>1568</v>
      </c>
      <c r="E86" s="64" t="s">
        <v>1448</v>
      </c>
      <c r="F86" s="64">
        <v>0</v>
      </c>
      <c r="G86" s="58"/>
      <c r="H86" s="58"/>
    </row>
    <row r="87" spans="1:8">
      <c r="A87" s="55"/>
      <c r="B87" s="55"/>
      <c r="C87" s="55"/>
      <c r="D87" s="59"/>
      <c r="E87" s="59"/>
      <c r="F87" s="59"/>
      <c r="G87" s="58"/>
      <c r="H87" s="58"/>
    </row>
    <row r="88" spans="1:8" ht="13.5">
      <c r="A88" s="65"/>
      <c r="B88" s="65"/>
      <c r="C88" s="65"/>
      <c r="D88" s="66"/>
      <c r="E88" s="67"/>
      <c r="F88" s="67"/>
      <c r="G88" s="58"/>
      <c r="H88" s="58"/>
    </row>
    <row r="89" spans="1:8" ht="14.25">
      <c r="A89" s="68"/>
      <c r="B89" s="69"/>
      <c r="C89" s="68"/>
      <c r="D89" s="70"/>
      <c r="E89" s="71"/>
      <c r="F89" s="71"/>
      <c r="G89" s="58"/>
      <c r="H89" s="58"/>
    </row>
    <row r="90" spans="1:8" ht="14.25">
      <c r="A90" s="68"/>
      <c r="B90" s="69"/>
      <c r="C90" s="68"/>
      <c r="D90" s="70"/>
      <c r="E90" s="71"/>
      <c r="F90" s="71"/>
      <c r="G90" s="58"/>
      <c r="H90" s="58"/>
    </row>
    <row r="91" spans="1:8" ht="14.25">
      <c r="A91" s="68"/>
      <c r="B91" s="69"/>
      <c r="C91" s="68"/>
      <c r="D91" s="70"/>
      <c r="E91" s="71"/>
      <c r="F91" s="71"/>
      <c r="G91" s="58"/>
      <c r="H91" s="58"/>
    </row>
    <row r="92" spans="1:8" ht="14.25">
      <c r="A92" s="68"/>
      <c r="B92" s="69"/>
      <c r="C92" s="68"/>
      <c r="D92" s="70"/>
      <c r="E92" s="71"/>
      <c r="F92" s="71"/>
      <c r="G92" s="58"/>
      <c r="H92" s="58"/>
    </row>
    <row r="93" spans="1:8" ht="13.5">
      <c r="A93" s="65"/>
      <c r="B93" s="65"/>
      <c r="C93" s="65"/>
      <c r="D93" s="66"/>
      <c r="E93" s="67"/>
      <c r="F93" s="67"/>
      <c r="G93" s="58"/>
      <c r="H93" s="58"/>
    </row>
    <row r="94" spans="1:8" ht="14.25">
      <c r="A94" s="68"/>
      <c r="B94" s="69"/>
      <c r="C94" s="68"/>
      <c r="D94" s="70"/>
      <c r="E94" s="71"/>
      <c r="F94" s="71"/>
      <c r="G94" s="58"/>
      <c r="H94" s="58"/>
    </row>
    <row r="95" spans="1:8" ht="14.25">
      <c r="A95" s="68"/>
      <c r="B95" s="69"/>
      <c r="C95" s="68"/>
      <c r="D95" s="70"/>
      <c r="E95" s="71"/>
      <c r="F95" s="71"/>
      <c r="G95" s="58"/>
      <c r="H95" s="58"/>
    </row>
    <row r="96" spans="1:8" ht="14.25">
      <c r="A96" s="68"/>
      <c r="B96" s="69"/>
      <c r="C96" s="68"/>
      <c r="D96" s="70"/>
      <c r="E96" s="71"/>
      <c r="F96" s="71"/>
      <c r="G96" s="58"/>
      <c r="H96" s="58"/>
    </row>
    <row r="97" spans="1:8" ht="14.25">
      <c r="A97" s="68"/>
      <c r="B97" s="69"/>
      <c r="C97" s="68"/>
      <c r="D97" s="70"/>
      <c r="E97" s="71"/>
      <c r="F97" s="71"/>
      <c r="G97" s="58"/>
      <c r="H97" s="58"/>
    </row>
    <row r="98" spans="1:8" ht="13.5">
      <c r="A98" s="65"/>
      <c r="B98" s="65"/>
      <c r="C98" s="65"/>
      <c r="D98" s="66"/>
      <c r="E98" s="67"/>
      <c r="F98" s="67"/>
      <c r="G98" s="58"/>
      <c r="H98" s="58"/>
    </row>
    <row r="99" spans="1:8" ht="14.25">
      <c r="A99" s="68"/>
      <c r="B99" s="69"/>
      <c r="C99" s="68"/>
      <c r="D99" s="70"/>
      <c r="E99" s="71"/>
      <c r="F99" s="71"/>
      <c r="G99" s="58"/>
      <c r="H99" s="58"/>
    </row>
    <row r="100" spans="1:8" ht="14.25">
      <c r="A100" s="68"/>
      <c r="B100" s="69"/>
      <c r="C100" s="68"/>
      <c r="D100" s="70"/>
      <c r="E100" s="71"/>
      <c r="F100" s="71"/>
      <c r="G100" s="58"/>
      <c r="H100" s="58"/>
    </row>
    <row r="101" spans="1:8" ht="14.25">
      <c r="A101" s="68"/>
      <c r="B101" s="69"/>
      <c r="C101" s="68"/>
      <c r="D101" s="70"/>
      <c r="E101" s="71"/>
      <c r="F101" s="71"/>
      <c r="G101" s="58"/>
      <c r="H101" s="58"/>
    </row>
    <row r="102" spans="1:8" ht="14.25">
      <c r="A102" s="68"/>
      <c r="B102" s="69"/>
      <c r="C102" s="68"/>
      <c r="D102" s="70"/>
      <c r="E102" s="71"/>
      <c r="F102" s="71"/>
      <c r="G102" s="58"/>
      <c r="H102" s="58"/>
    </row>
    <row r="103" spans="1:8" ht="13.5">
      <c r="A103" s="65"/>
      <c r="B103" s="65"/>
      <c r="C103" s="65"/>
      <c r="D103" s="66"/>
      <c r="E103" s="67"/>
      <c r="F103" s="67"/>
      <c r="G103" s="58"/>
      <c r="H103" s="58"/>
    </row>
    <row r="104" spans="1:8" ht="14.25">
      <c r="A104" s="68"/>
      <c r="B104" s="69"/>
      <c r="C104" s="68"/>
      <c r="D104" s="70"/>
      <c r="E104" s="71"/>
      <c r="F104" s="71"/>
      <c r="G104" s="58"/>
      <c r="H104" s="58"/>
    </row>
    <row r="105" spans="1:8" ht="14.25">
      <c r="A105" s="68"/>
      <c r="B105" s="69"/>
      <c r="C105" s="68"/>
      <c r="D105" s="70"/>
      <c r="E105" s="71"/>
      <c r="F105" s="71"/>
      <c r="G105" s="58"/>
      <c r="H105" s="58"/>
    </row>
    <row r="106" spans="1:8" ht="14.25">
      <c r="A106" s="68"/>
      <c r="B106" s="69"/>
      <c r="C106" s="68"/>
      <c r="D106" s="70"/>
      <c r="E106" s="71"/>
      <c r="F106" s="71"/>
      <c r="G106" s="58"/>
      <c r="H106" s="58"/>
    </row>
    <row r="107" spans="1:8" ht="14.25">
      <c r="A107" s="68"/>
      <c r="B107" s="69"/>
      <c r="C107" s="68"/>
      <c r="D107" s="70"/>
      <c r="E107" s="71"/>
      <c r="F107" s="71"/>
      <c r="G107" s="58"/>
      <c r="H107" s="58"/>
    </row>
    <row r="108" spans="1:8" ht="13.5">
      <c r="A108" s="65"/>
      <c r="B108" s="65"/>
      <c r="C108" s="65"/>
      <c r="D108" s="66"/>
      <c r="E108" s="67"/>
      <c r="F108" s="67"/>
      <c r="G108" s="58"/>
      <c r="H108" s="58"/>
    </row>
    <row r="109" spans="1:8" ht="14.25">
      <c r="A109" s="68"/>
      <c r="B109" s="69"/>
      <c r="C109" s="68"/>
      <c r="D109" s="70"/>
      <c r="E109" s="71"/>
      <c r="F109" s="71"/>
      <c r="G109" s="58"/>
      <c r="H109" s="58"/>
    </row>
    <row r="110" spans="1:8" ht="14.25">
      <c r="A110" s="68"/>
      <c r="B110" s="69"/>
      <c r="C110" s="68"/>
      <c r="D110" s="70"/>
      <c r="E110" s="71"/>
      <c r="F110" s="71"/>
      <c r="G110" s="58"/>
      <c r="H110" s="58"/>
    </row>
    <row r="111" spans="1:8" ht="14.25">
      <c r="A111" s="68"/>
      <c r="B111" s="69"/>
      <c r="C111" s="68"/>
      <c r="D111" s="70"/>
      <c r="E111" s="71"/>
      <c r="F111" s="71"/>
      <c r="G111" s="58"/>
      <c r="H111" s="58"/>
    </row>
    <row r="112" spans="1:8" ht="14.25">
      <c r="A112" s="68"/>
      <c r="B112" s="69"/>
      <c r="C112" s="68"/>
      <c r="D112" s="70"/>
      <c r="E112" s="71"/>
      <c r="F112" s="71"/>
      <c r="G112" s="58"/>
      <c r="H112" s="58"/>
    </row>
    <row r="113" spans="1:8" ht="13.5">
      <c r="A113" s="65"/>
      <c r="B113" s="65"/>
      <c r="C113" s="65"/>
      <c r="D113" s="66"/>
      <c r="E113" s="67"/>
      <c r="F113" s="67"/>
      <c r="G113" s="58"/>
      <c r="H113" s="58"/>
    </row>
    <row r="114" spans="1:8" ht="14.25">
      <c r="A114" s="68"/>
      <c r="B114" s="69"/>
      <c r="C114" s="68"/>
      <c r="D114" s="70"/>
      <c r="E114" s="71"/>
      <c r="F114" s="71"/>
      <c r="G114" s="58"/>
      <c r="H114" s="58"/>
    </row>
    <row r="115" spans="1:8" ht="14.25">
      <c r="A115" s="68"/>
      <c r="B115" s="69"/>
      <c r="C115" s="68"/>
      <c r="D115" s="70"/>
      <c r="E115" s="71"/>
      <c r="F115" s="71"/>
      <c r="G115" s="58"/>
      <c r="H115" s="58"/>
    </row>
    <row r="116" spans="1:8" ht="14.25">
      <c r="A116" s="68"/>
      <c r="B116" s="69"/>
      <c r="C116" s="68"/>
      <c r="D116" s="70"/>
      <c r="E116" s="71"/>
      <c r="F116" s="71"/>
      <c r="G116" s="58"/>
      <c r="H116" s="58"/>
    </row>
    <row r="117" spans="1:8" ht="14.25">
      <c r="A117" s="68"/>
      <c r="B117" s="69"/>
      <c r="C117" s="68"/>
      <c r="D117" s="70"/>
      <c r="E117" s="71"/>
      <c r="F117" s="71"/>
      <c r="G117" s="58"/>
      <c r="H117" s="58"/>
    </row>
    <row r="118" spans="1:8" ht="13.5">
      <c r="A118" s="65"/>
      <c r="B118" s="65"/>
      <c r="C118" s="65"/>
      <c r="D118" s="66"/>
      <c r="E118" s="67"/>
      <c r="F118" s="67"/>
      <c r="G118" s="58"/>
      <c r="H118" s="58"/>
    </row>
    <row r="119" spans="1:8" ht="14.25">
      <c r="A119" s="68"/>
      <c r="B119" s="69"/>
      <c r="C119" s="68"/>
      <c r="D119" s="70"/>
      <c r="E119" s="71"/>
      <c r="F119" s="71"/>
      <c r="G119" s="58"/>
      <c r="H119" s="58"/>
    </row>
    <row r="120" spans="1:8" ht="14.25">
      <c r="A120" s="68"/>
      <c r="B120" s="69"/>
      <c r="C120" s="68"/>
      <c r="D120" s="70"/>
      <c r="E120" s="71"/>
      <c r="F120" s="71"/>
      <c r="G120" s="58"/>
      <c r="H120" s="58"/>
    </row>
    <row r="121" spans="1:8" ht="14.25">
      <c r="A121" s="68"/>
      <c r="B121" s="69"/>
      <c r="C121" s="68"/>
      <c r="D121" s="70"/>
      <c r="E121" s="71"/>
      <c r="F121" s="71"/>
      <c r="G121" s="58"/>
      <c r="H121" s="58"/>
    </row>
    <row r="122" spans="1:8" ht="14.25">
      <c r="A122" s="68"/>
      <c r="B122" s="69"/>
      <c r="C122" s="68"/>
      <c r="D122" s="70"/>
      <c r="E122" s="71"/>
      <c r="F122" s="71"/>
      <c r="G122" s="58"/>
      <c r="H122" s="58"/>
    </row>
    <row r="123" spans="1:8" ht="13.5">
      <c r="A123" s="65"/>
      <c r="B123" s="65"/>
      <c r="C123" s="65"/>
      <c r="D123" s="66"/>
      <c r="E123" s="67"/>
      <c r="F123" s="67"/>
      <c r="G123" s="58"/>
      <c r="H123" s="58"/>
    </row>
    <row r="124" spans="1:8" ht="14.25">
      <c r="A124" s="68"/>
      <c r="B124" s="69"/>
      <c r="C124" s="68"/>
      <c r="D124" s="70"/>
      <c r="E124" s="71"/>
      <c r="F124" s="71"/>
      <c r="G124" s="58"/>
      <c r="H124" s="58"/>
    </row>
    <row r="125" spans="1:8" ht="14.25">
      <c r="A125" s="68"/>
      <c r="B125" s="69"/>
      <c r="C125" s="68"/>
      <c r="D125" s="70"/>
      <c r="E125" s="71"/>
      <c r="F125" s="71"/>
      <c r="G125" s="58"/>
      <c r="H125" s="58"/>
    </row>
    <row r="126" spans="1:8" ht="14.25">
      <c r="A126" s="68"/>
      <c r="B126" s="69"/>
      <c r="C126" s="68"/>
      <c r="D126" s="70"/>
      <c r="E126" s="71"/>
      <c r="F126" s="71"/>
      <c r="G126" s="58"/>
      <c r="H126" s="58"/>
    </row>
    <row r="127" spans="1:8" ht="14.25">
      <c r="A127" s="68"/>
      <c r="B127" s="69"/>
      <c r="C127" s="68"/>
      <c r="D127" s="70"/>
      <c r="E127" s="71"/>
      <c r="F127" s="71"/>
      <c r="G127" s="58"/>
      <c r="H127" s="58"/>
    </row>
    <row r="128" spans="1:8" ht="13.5">
      <c r="A128" s="65"/>
      <c r="B128" s="65"/>
      <c r="C128" s="65"/>
      <c r="D128" s="66"/>
      <c r="E128" s="67"/>
      <c r="F128" s="67"/>
      <c r="G128" s="58"/>
      <c r="H128" s="58"/>
    </row>
    <row r="129" spans="1:8" ht="14.25">
      <c r="A129" s="68"/>
      <c r="B129" s="69"/>
      <c r="C129" s="68"/>
      <c r="D129" s="70"/>
      <c r="E129" s="71"/>
      <c r="F129" s="71"/>
      <c r="G129" s="58"/>
      <c r="H129" s="58"/>
    </row>
    <row r="130" spans="1:8" ht="14.25">
      <c r="A130" s="68"/>
      <c r="B130" s="69"/>
      <c r="C130" s="68"/>
      <c r="D130" s="70"/>
      <c r="E130" s="71"/>
      <c r="F130" s="71"/>
      <c r="G130" s="58"/>
      <c r="H130" s="58"/>
    </row>
    <row r="131" spans="1:8" ht="14.25">
      <c r="A131" s="68"/>
      <c r="B131" s="69"/>
      <c r="C131" s="68"/>
      <c r="D131" s="70"/>
      <c r="E131" s="71"/>
      <c r="F131" s="71"/>
      <c r="G131" s="58"/>
      <c r="H131" s="58"/>
    </row>
    <row r="132" spans="1:8" ht="14.25">
      <c r="A132" s="68"/>
      <c r="B132" s="69"/>
      <c r="C132" s="68"/>
      <c r="D132" s="70"/>
      <c r="E132" s="71"/>
      <c r="F132" s="71"/>
      <c r="G132" s="58"/>
      <c r="H132" s="58"/>
    </row>
    <row r="133" spans="1:8" ht="13.5">
      <c r="A133" s="65"/>
      <c r="B133" s="65"/>
      <c r="C133" s="65"/>
      <c r="D133" s="66"/>
      <c r="E133" s="67"/>
      <c r="F133" s="67"/>
      <c r="G133" s="58"/>
      <c r="H133" s="58"/>
    </row>
    <row r="134" spans="1:8" ht="14.25">
      <c r="A134" s="68"/>
      <c r="B134" s="69"/>
      <c r="C134" s="68"/>
      <c r="D134" s="70"/>
      <c r="E134" s="71"/>
      <c r="F134" s="71"/>
      <c r="G134" s="58"/>
      <c r="H134" s="58"/>
    </row>
    <row r="135" spans="1:8" ht="14.25">
      <c r="A135" s="68"/>
      <c r="B135" s="69"/>
      <c r="C135" s="68"/>
      <c r="D135" s="70"/>
      <c r="E135" s="71"/>
      <c r="F135" s="71"/>
      <c r="G135" s="58"/>
      <c r="H135" s="58"/>
    </row>
    <row r="136" spans="1:8" ht="14.25">
      <c r="A136" s="68"/>
      <c r="B136" s="69"/>
      <c r="C136" s="68"/>
      <c r="D136" s="70"/>
      <c r="E136" s="71"/>
      <c r="F136" s="71"/>
      <c r="G136" s="58"/>
      <c r="H136" s="58"/>
    </row>
    <row r="137" spans="1:8" ht="14.25">
      <c r="A137" s="68"/>
      <c r="B137" s="69"/>
      <c r="C137" s="68"/>
      <c r="D137" s="70"/>
      <c r="E137" s="71"/>
      <c r="F137" s="71"/>
      <c r="G137" s="58"/>
      <c r="H137" s="58"/>
    </row>
    <row r="138" spans="1:8" ht="13.5">
      <c r="A138" s="65"/>
      <c r="B138" s="65"/>
      <c r="C138" s="65"/>
      <c r="D138" s="66"/>
      <c r="E138" s="67"/>
      <c r="F138" s="67"/>
      <c r="G138" s="58"/>
      <c r="H138" s="58"/>
    </row>
    <row r="139" spans="1:8" ht="14.25">
      <c r="A139" s="68"/>
      <c r="B139" s="69"/>
      <c r="C139" s="68"/>
      <c r="D139" s="70"/>
      <c r="E139" s="71"/>
      <c r="F139" s="71"/>
      <c r="G139" s="58"/>
      <c r="H139" s="58"/>
    </row>
    <row r="140" spans="1:8" ht="14.25">
      <c r="A140" s="68"/>
      <c r="B140" s="69"/>
      <c r="C140" s="68"/>
      <c r="D140" s="70"/>
      <c r="E140" s="71"/>
      <c r="F140" s="71"/>
      <c r="G140" s="58"/>
      <c r="H140" s="58"/>
    </row>
    <row r="141" spans="1:8" ht="14.25">
      <c r="A141" s="68"/>
      <c r="B141" s="69"/>
      <c r="C141" s="68"/>
      <c r="D141" s="70"/>
      <c r="E141" s="71"/>
      <c r="F141" s="71"/>
      <c r="G141" s="58"/>
      <c r="H141" s="58"/>
    </row>
    <row r="142" spans="1:8" ht="14.25">
      <c r="A142" s="68"/>
      <c r="B142" s="69"/>
      <c r="C142" s="68"/>
      <c r="D142" s="70"/>
      <c r="E142" s="71"/>
      <c r="F142" s="71"/>
      <c r="G142" s="58"/>
      <c r="H142" s="58"/>
    </row>
    <row r="143" spans="1:8" ht="13.5">
      <c r="A143" s="65"/>
      <c r="B143" s="65"/>
      <c r="C143" s="65"/>
      <c r="D143" s="66"/>
      <c r="E143" s="67"/>
      <c r="F143" s="67"/>
      <c r="G143" s="58"/>
      <c r="H143" s="58"/>
    </row>
    <row r="144" spans="1:8" ht="14.25">
      <c r="A144" s="68"/>
      <c r="B144" s="69"/>
      <c r="C144" s="68"/>
      <c r="D144" s="70"/>
      <c r="E144" s="71"/>
      <c r="F144" s="71"/>
      <c r="G144" s="58"/>
      <c r="H144" s="58"/>
    </row>
    <row r="145" spans="1:8" ht="14.25">
      <c r="A145" s="68"/>
      <c r="B145" s="69"/>
      <c r="C145" s="68"/>
      <c r="D145" s="70"/>
      <c r="E145" s="71"/>
      <c r="F145" s="71"/>
      <c r="G145" s="58"/>
      <c r="H145" s="58"/>
    </row>
    <row r="146" spans="1:8" ht="14.25">
      <c r="A146" s="68"/>
      <c r="B146" s="69"/>
      <c r="C146" s="68"/>
      <c r="D146" s="70"/>
      <c r="E146" s="71"/>
      <c r="F146" s="71"/>
      <c r="G146" s="58"/>
      <c r="H146" s="58"/>
    </row>
    <row r="147" spans="1:8" ht="14.25">
      <c r="A147" s="68"/>
      <c r="B147" s="69"/>
      <c r="C147" s="68"/>
      <c r="D147" s="70"/>
      <c r="E147" s="71"/>
      <c r="F147" s="71"/>
      <c r="G147" s="58"/>
      <c r="H147" s="58"/>
    </row>
    <row r="148" spans="1:8" ht="13.5">
      <c r="A148" s="65"/>
      <c r="B148" s="65"/>
      <c r="C148" s="65"/>
      <c r="D148" s="66"/>
      <c r="E148" s="67"/>
      <c r="F148" s="67"/>
      <c r="G148" s="58"/>
      <c r="H148" s="58"/>
    </row>
    <row r="149" spans="1:8" ht="14.25">
      <c r="A149" s="68"/>
      <c r="B149" s="69"/>
      <c r="C149" s="68"/>
      <c r="D149" s="70"/>
      <c r="E149" s="71"/>
      <c r="F149" s="71"/>
      <c r="G149" s="58"/>
      <c r="H149" s="58"/>
    </row>
    <row r="150" spans="1:8" ht="14.25">
      <c r="A150" s="68"/>
      <c r="B150" s="69"/>
      <c r="C150" s="68"/>
      <c r="D150" s="70"/>
      <c r="E150" s="71"/>
      <c r="F150" s="71"/>
      <c r="G150" s="58"/>
      <c r="H150" s="58"/>
    </row>
    <row r="151" spans="1:8" ht="14.25">
      <c r="A151" s="68"/>
      <c r="B151" s="69"/>
      <c r="C151" s="68"/>
      <c r="D151" s="70"/>
      <c r="E151" s="71"/>
      <c r="F151" s="71"/>
      <c r="G151" s="58"/>
      <c r="H151" s="58"/>
    </row>
    <row r="152" spans="1:8" ht="14.25">
      <c r="A152" s="68"/>
      <c r="B152" s="69"/>
      <c r="C152" s="68"/>
      <c r="D152" s="70"/>
      <c r="E152" s="71"/>
      <c r="F152" s="71"/>
      <c r="G152" s="58"/>
      <c r="H152" s="58"/>
    </row>
    <row r="153" spans="1:8" ht="13.5">
      <c r="A153" s="65"/>
      <c r="B153" s="65"/>
      <c r="C153" s="65"/>
      <c r="D153" s="66"/>
      <c r="E153" s="67"/>
      <c r="F153" s="67"/>
      <c r="G153" s="58"/>
      <c r="H153" s="58"/>
    </row>
    <row r="154" spans="1:8" ht="14.25">
      <c r="A154" s="68"/>
      <c r="B154" s="69"/>
      <c r="C154" s="68"/>
      <c r="D154" s="70"/>
      <c r="E154" s="71"/>
      <c r="F154" s="71"/>
      <c r="G154" s="58"/>
      <c r="H154" s="58"/>
    </row>
    <row r="155" spans="1:8" ht="14.25">
      <c r="A155" s="68"/>
      <c r="B155" s="69"/>
      <c r="C155" s="68"/>
      <c r="D155" s="70"/>
      <c r="E155" s="71"/>
      <c r="F155" s="71"/>
      <c r="G155" s="58"/>
      <c r="H155" s="58"/>
    </row>
    <row r="156" spans="1:8" ht="14.25">
      <c r="A156" s="68"/>
      <c r="B156" s="69"/>
      <c r="C156" s="68"/>
      <c r="D156" s="70"/>
      <c r="E156" s="71"/>
      <c r="F156" s="71"/>
      <c r="G156" s="58"/>
      <c r="H156" s="58"/>
    </row>
    <row r="157" spans="1:8" ht="14.25">
      <c r="A157" s="68"/>
      <c r="B157" s="69"/>
      <c r="C157" s="68"/>
      <c r="D157" s="70"/>
      <c r="E157" s="71"/>
      <c r="F157" s="71"/>
      <c r="G157" s="58"/>
      <c r="H157" s="58"/>
    </row>
    <row r="158" spans="1:8" ht="13.5">
      <c r="A158" s="65"/>
      <c r="B158" s="65"/>
      <c r="C158" s="65"/>
      <c r="D158" s="66"/>
      <c r="E158" s="67"/>
      <c r="F158" s="67"/>
      <c r="G158" s="58"/>
      <c r="H158" s="58"/>
    </row>
    <row r="159" spans="1:8" ht="14.25">
      <c r="A159" s="68"/>
      <c r="B159" s="69"/>
      <c r="C159" s="68"/>
      <c r="D159" s="70"/>
      <c r="E159" s="71"/>
      <c r="F159" s="71"/>
      <c r="G159" s="58"/>
      <c r="H159" s="58"/>
    </row>
    <row r="160" spans="1:8" ht="14.25">
      <c r="A160" s="68"/>
      <c r="B160" s="69"/>
      <c r="C160" s="68"/>
      <c r="D160" s="70"/>
      <c r="E160" s="71"/>
      <c r="F160" s="71"/>
      <c r="G160" s="58"/>
      <c r="H160" s="58"/>
    </row>
    <row r="161" spans="1:8" ht="14.25">
      <c r="A161" s="68"/>
      <c r="B161" s="69"/>
      <c r="C161" s="68"/>
      <c r="D161" s="70"/>
      <c r="E161" s="71"/>
      <c r="F161" s="71"/>
      <c r="G161" s="58"/>
      <c r="H161" s="58"/>
    </row>
    <row r="162" spans="1:8" ht="14.25">
      <c r="A162" s="68"/>
      <c r="B162" s="69"/>
      <c r="C162" s="68"/>
      <c r="D162" s="70"/>
      <c r="E162" s="71"/>
      <c r="F162" s="71"/>
      <c r="G162" s="58"/>
      <c r="H162" s="58"/>
    </row>
    <row r="163" spans="1:8" ht="13.5">
      <c r="A163" s="65"/>
      <c r="B163" s="65"/>
      <c r="C163" s="65"/>
      <c r="D163" s="66"/>
      <c r="E163" s="67"/>
      <c r="F163" s="67"/>
      <c r="G163" s="58"/>
      <c r="H163" s="58"/>
    </row>
    <row r="164" spans="1:8" ht="14.25">
      <c r="A164" s="68"/>
      <c r="B164" s="69"/>
      <c r="C164" s="68"/>
      <c r="D164" s="70"/>
      <c r="E164" s="71"/>
      <c r="F164" s="71"/>
      <c r="G164" s="58"/>
      <c r="H164" s="58"/>
    </row>
    <row r="165" spans="1:8" ht="14.25">
      <c r="A165" s="68"/>
      <c r="B165" s="69"/>
      <c r="C165" s="68"/>
      <c r="D165" s="70"/>
      <c r="E165" s="71"/>
      <c r="F165" s="71"/>
      <c r="G165" s="58"/>
      <c r="H165" s="58"/>
    </row>
    <row r="166" spans="1:8" ht="14.25">
      <c r="A166" s="68"/>
      <c r="B166" s="69"/>
      <c r="C166" s="68"/>
      <c r="D166" s="70"/>
      <c r="E166" s="71"/>
      <c r="F166" s="71"/>
      <c r="G166" s="58"/>
      <c r="H166" s="58"/>
    </row>
    <row r="167" spans="1:8" ht="14.25">
      <c r="A167" s="68"/>
      <c r="B167" s="69"/>
      <c r="C167" s="68"/>
      <c r="D167" s="70"/>
      <c r="E167" s="71"/>
      <c r="F167" s="71"/>
      <c r="G167" s="58"/>
      <c r="H167" s="58"/>
    </row>
    <row r="168" spans="1:8" ht="13.5">
      <c r="A168" s="65"/>
      <c r="B168" s="65"/>
      <c r="C168" s="65"/>
      <c r="D168" s="66"/>
      <c r="E168" s="67"/>
      <c r="F168" s="67"/>
      <c r="G168" s="58"/>
      <c r="H168" s="58"/>
    </row>
    <row r="169" spans="1:8" ht="14.25">
      <c r="A169" s="68"/>
      <c r="B169" s="69"/>
      <c r="C169" s="68"/>
      <c r="D169" s="70"/>
      <c r="E169" s="71"/>
      <c r="F169" s="71"/>
      <c r="G169" s="58"/>
      <c r="H169" s="58"/>
    </row>
    <row r="170" spans="1:8" ht="14.25">
      <c r="A170" s="68"/>
      <c r="B170" s="69"/>
      <c r="C170" s="68"/>
      <c r="D170" s="70"/>
      <c r="E170" s="71"/>
      <c r="F170" s="71"/>
      <c r="G170" s="58"/>
      <c r="H170" s="58"/>
    </row>
    <row r="171" spans="1:8" ht="14.25">
      <c r="A171" s="68"/>
      <c r="B171" s="69"/>
      <c r="C171" s="68"/>
      <c r="D171" s="70"/>
      <c r="E171" s="71"/>
      <c r="F171" s="71"/>
      <c r="G171" s="58"/>
      <c r="H171" s="58"/>
    </row>
    <row r="172" spans="1:8" ht="14.25">
      <c r="A172" s="68"/>
      <c r="B172" s="69"/>
      <c r="C172" s="68"/>
      <c r="D172" s="70"/>
      <c r="E172" s="71"/>
      <c r="F172" s="71"/>
      <c r="G172" s="58"/>
      <c r="H172" s="58"/>
    </row>
    <row r="173" spans="1:8" ht="13.5">
      <c r="A173" s="65"/>
      <c r="B173" s="65"/>
      <c r="C173" s="65"/>
      <c r="D173" s="66"/>
      <c r="E173" s="67"/>
      <c r="F173" s="67"/>
      <c r="G173" s="58"/>
      <c r="H173" s="58"/>
    </row>
    <row r="174" spans="1:8" ht="14.25">
      <c r="A174" s="68"/>
      <c r="B174" s="69"/>
      <c r="C174" s="68"/>
      <c r="D174" s="70"/>
      <c r="E174" s="71"/>
      <c r="F174" s="71"/>
      <c r="G174" s="58"/>
      <c r="H174" s="58"/>
    </row>
    <row r="175" spans="1:8" ht="14.25">
      <c r="A175" s="68"/>
      <c r="B175" s="69"/>
      <c r="C175" s="68"/>
      <c r="D175" s="70"/>
      <c r="E175" s="71"/>
      <c r="F175" s="71"/>
      <c r="G175" s="58"/>
      <c r="H175" s="58"/>
    </row>
    <row r="176" spans="1:8" ht="14.25">
      <c r="A176" s="68"/>
      <c r="B176" s="69"/>
      <c r="C176" s="68"/>
      <c r="D176" s="70"/>
      <c r="E176" s="71"/>
      <c r="F176" s="71"/>
      <c r="G176" s="58"/>
      <c r="H176" s="58"/>
    </row>
    <row r="177" spans="1:8" ht="14.25">
      <c r="A177" s="68"/>
      <c r="B177" s="69"/>
      <c r="C177" s="68"/>
      <c r="D177" s="70"/>
      <c r="E177" s="71"/>
      <c r="F177" s="71"/>
      <c r="G177" s="58"/>
      <c r="H177" s="58"/>
    </row>
    <row r="178" spans="1:8" ht="13.5">
      <c r="A178" s="65"/>
      <c r="B178" s="65"/>
      <c r="C178" s="65"/>
      <c r="D178" s="66"/>
      <c r="E178" s="67"/>
      <c r="F178" s="67"/>
      <c r="G178" s="58"/>
      <c r="H178" s="58"/>
    </row>
    <row r="179" spans="1:8" ht="14.25">
      <c r="A179" s="68"/>
      <c r="B179" s="69"/>
      <c r="C179" s="68"/>
      <c r="D179" s="70"/>
      <c r="E179" s="71"/>
      <c r="F179" s="71"/>
      <c r="G179" s="58"/>
      <c r="H179" s="58"/>
    </row>
    <row r="180" spans="1:8" ht="14.25">
      <c r="A180" s="68"/>
      <c r="B180" s="69"/>
      <c r="C180" s="68"/>
      <c r="D180" s="70"/>
      <c r="E180" s="71"/>
      <c r="F180" s="71"/>
      <c r="G180" s="58"/>
      <c r="H180" s="58"/>
    </row>
    <row r="181" spans="1:8" ht="14.25">
      <c r="A181" s="68"/>
      <c r="B181" s="69"/>
      <c r="C181" s="68"/>
      <c r="D181" s="70"/>
      <c r="E181" s="71"/>
      <c r="F181" s="71"/>
      <c r="G181" s="58"/>
      <c r="H181" s="58"/>
    </row>
    <row r="182" spans="1:8" ht="14.25">
      <c r="A182" s="68"/>
      <c r="B182" s="69"/>
      <c r="C182" s="68"/>
      <c r="D182" s="70"/>
      <c r="E182" s="71"/>
      <c r="F182" s="71"/>
      <c r="G182" s="58"/>
      <c r="H182" s="58"/>
    </row>
    <row r="183" spans="1:8" ht="13.5">
      <c r="A183" s="65"/>
      <c r="B183" s="65"/>
      <c r="C183" s="65"/>
      <c r="D183" s="66"/>
      <c r="E183" s="67"/>
      <c r="F183" s="67"/>
      <c r="G183" s="58"/>
      <c r="H183" s="58"/>
    </row>
    <row r="184" spans="1:8" ht="14.25">
      <c r="A184" s="68"/>
      <c r="B184" s="69"/>
      <c r="C184" s="68"/>
      <c r="D184" s="70"/>
      <c r="E184" s="71"/>
      <c r="F184" s="71"/>
      <c r="G184" s="58"/>
      <c r="H184" s="58"/>
    </row>
    <row r="185" spans="1:8" ht="14.25">
      <c r="A185" s="68"/>
      <c r="B185" s="69"/>
      <c r="C185" s="68"/>
      <c r="D185" s="70"/>
      <c r="E185" s="71"/>
      <c r="F185" s="71"/>
      <c r="G185" s="58"/>
      <c r="H185" s="58"/>
    </row>
    <row r="186" spans="1:8" ht="14.25">
      <c r="A186" s="68"/>
      <c r="B186" s="69"/>
      <c r="C186" s="68"/>
      <c r="D186" s="70"/>
      <c r="E186" s="71"/>
      <c r="F186" s="71"/>
      <c r="G186" s="58"/>
      <c r="H186" s="58"/>
    </row>
    <row r="187" spans="1:8" ht="14.25">
      <c r="A187" s="68"/>
      <c r="B187" s="69"/>
      <c r="C187" s="68"/>
      <c r="D187" s="70"/>
      <c r="E187" s="71"/>
      <c r="F187" s="71"/>
      <c r="G187" s="58"/>
      <c r="H187" s="58"/>
    </row>
    <row r="188" spans="1:8" ht="13.5">
      <c r="A188" s="65"/>
      <c r="B188" s="65"/>
      <c r="C188" s="65"/>
      <c r="D188" s="66"/>
      <c r="E188" s="67"/>
      <c r="F188" s="67"/>
      <c r="G188" s="58"/>
      <c r="H188" s="58"/>
    </row>
    <row r="189" spans="1:8" ht="14.25">
      <c r="A189" s="68"/>
      <c r="B189" s="69"/>
      <c r="C189" s="68"/>
      <c r="D189" s="70"/>
      <c r="E189" s="71"/>
      <c r="F189" s="71"/>
      <c r="G189" s="58"/>
      <c r="H189" s="58"/>
    </row>
    <row r="190" spans="1:8" ht="14.25">
      <c r="A190" s="68"/>
      <c r="B190" s="69"/>
      <c r="C190" s="68"/>
      <c r="D190" s="70"/>
      <c r="E190" s="71"/>
      <c r="F190" s="71"/>
      <c r="G190" s="58"/>
      <c r="H190" s="58"/>
    </row>
    <row r="191" spans="1:8" ht="14.25">
      <c r="A191" s="68"/>
      <c r="B191" s="69"/>
      <c r="C191" s="68"/>
      <c r="D191" s="70"/>
      <c r="E191" s="71"/>
      <c r="F191" s="71"/>
      <c r="G191" s="58"/>
      <c r="H191" s="58"/>
    </row>
    <row r="192" spans="1:8" ht="14.25">
      <c r="A192" s="68"/>
      <c r="B192" s="69"/>
      <c r="C192" s="68"/>
      <c r="D192" s="70"/>
      <c r="E192" s="71"/>
      <c r="F192" s="71"/>
      <c r="G192" s="58"/>
      <c r="H192" s="58"/>
    </row>
    <row r="193" spans="1:8" ht="13.5">
      <c r="A193" s="65"/>
      <c r="B193" s="65"/>
      <c r="C193" s="65"/>
      <c r="D193" s="66"/>
      <c r="E193" s="67"/>
      <c r="F193" s="67"/>
      <c r="G193" s="58"/>
      <c r="H193" s="58"/>
    </row>
    <row r="194" spans="1:8" ht="14.25">
      <c r="A194" s="68"/>
      <c r="B194" s="69"/>
      <c r="C194" s="68"/>
      <c r="D194" s="70"/>
      <c r="E194" s="71"/>
      <c r="F194" s="71"/>
      <c r="G194" s="58"/>
      <c r="H194" s="58"/>
    </row>
    <row r="195" spans="1:8" ht="14.25">
      <c r="A195" s="68"/>
      <c r="B195" s="69"/>
      <c r="C195" s="68"/>
      <c r="D195" s="70"/>
      <c r="E195" s="71"/>
      <c r="F195" s="71"/>
      <c r="G195" s="58"/>
      <c r="H195" s="58"/>
    </row>
    <row r="196" spans="1:8" ht="14.25">
      <c r="A196" s="68"/>
      <c r="B196" s="69"/>
      <c r="C196" s="68"/>
      <c r="D196" s="70"/>
      <c r="E196" s="71"/>
      <c r="F196" s="71"/>
      <c r="G196" s="58"/>
      <c r="H196" s="58"/>
    </row>
    <row r="197" spans="1:8" ht="14.25">
      <c r="A197" s="68"/>
      <c r="B197" s="69"/>
      <c r="C197" s="68"/>
      <c r="D197" s="70"/>
      <c r="E197" s="71"/>
      <c r="F197" s="71"/>
      <c r="G197" s="58"/>
      <c r="H197" s="58"/>
    </row>
    <row r="198" spans="1:8" ht="13.5">
      <c r="A198" s="65"/>
      <c r="B198" s="65"/>
      <c r="C198" s="65"/>
      <c r="D198" s="66"/>
      <c r="E198" s="67"/>
      <c r="F198" s="67"/>
      <c r="G198" s="58"/>
      <c r="H198" s="58"/>
    </row>
    <row r="199" spans="1:8" ht="14.25">
      <c r="A199" s="68"/>
      <c r="B199" s="69"/>
      <c r="C199" s="68"/>
      <c r="D199" s="70"/>
      <c r="E199" s="71"/>
      <c r="F199" s="71"/>
      <c r="G199" s="58"/>
      <c r="H199" s="58"/>
    </row>
    <row r="200" spans="1:8" ht="14.25">
      <c r="A200" s="68"/>
      <c r="B200" s="69"/>
      <c r="C200" s="68"/>
      <c r="D200" s="70"/>
      <c r="E200" s="71"/>
      <c r="F200" s="71"/>
      <c r="G200" s="58"/>
      <c r="H200" s="58"/>
    </row>
    <row r="201" spans="1:8" ht="14.25">
      <c r="A201" s="68"/>
      <c r="B201" s="69"/>
      <c r="C201" s="68"/>
      <c r="D201" s="70"/>
      <c r="E201" s="71"/>
      <c r="F201" s="71"/>
      <c r="G201" s="58"/>
      <c r="H201" s="58"/>
    </row>
    <row r="202" spans="1:8" ht="14.25">
      <c r="A202" s="68"/>
      <c r="B202" s="69"/>
      <c r="C202" s="68"/>
      <c r="D202" s="70"/>
      <c r="E202" s="71"/>
      <c r="F202" s="71"/>
      <c r="G202" s="58"/>
      <c r="H202" s="58"/>
    </row>
    <row r="203" spans="1:8" ht="13.5">
      <c r="A203" s="65"/>
      <c r="B203" s="65"/>
      <c r="C203" s="65"/>
      <c r="D203" s="66"/>
      <c r="E203" s="67"/>
      <c r="F203" s="67"/>
      <c r="G203" s="58"/>
      <c r="H203" s="58"/>
    </row>
    <row r="204" spans="1:8" ht="14.25">
      <c r="A204" s="68"/>
      <c r="B204" s="69"/>
      <c r="C204" s="68"/>
      <c r="D204" s="70"/>
      <c r="E204" s="71"/>
      <c r="F204" s="71"/>
      <c r="G204" s="58"/>
      <c r="H204" s="58"/>
    </row>
    <row r="205" spans="1:8" ht="14.25">
      <c r="A205" s="68"/>
      <c r="B205" s="69"/>
      <c r="C205" s="68"/>
      <c r="D205" s="70"/>
      <c r="E205" s="71"/>
      <c r="F205" s="71"/>
      <c r="G205" s="58"/>
      <c r="H205" s="58"/>
    </row>
    <row r="206" spans="1:8" ht="14.25">
      <c r="A206" s="68"/>
      <c r="B206" s="69"/>
      <c r="C206" s="68"/>
      <c r="D206" s="70"/>
      <c r="E206" s="71"/>
      <c r="F206" s="71"/>
      <c r="G206" s="58"/>
      <c r="H206" s="58"/>
    </row>
    <row r="207" spans="1:8" ht="14.25">
      <c r="A207" s="68"/>
      <c r="B207" s="69"/>
      <c r="C207" s="68"/>
      <c r="D207" s="70"/>
      <c r="E207" s="71"/>
      <c r="F207" s="71"/>
      <c r="G207" s="58"/>
      <c r="H207" s="58"/>
    </row>
    <row r="208" spans="1:8" ht="13.5">
      <c r="A208" s="65"/>
      <c r="B208" s="65"/>
      <c r="C208" s="65"/>
      <c r="D208" s="66"/>
      <c r="E208" s="67"/>
      <c r="F208" s="67"/>
      <c r="G208" s="58"/>
      <c r="H208" s="58"/>
    </row>
    <row r="209" spans="1:8" ht="14.25">
      <c r="A209" s="68"/>
      <c r="B209" s="69"/>
      <c r="C209" s="68"/>
      <c r="D209" s="70"/>
      <c r="E209" s="71"/>
      <c r="F209" s="71"/>
      <c r="G209" s="58"/>
      <c r="H209" s="58"/>
    </row>
    <row r="210" spans="1:8" ht="14.25">
      <c r="A210" s="68"/>
      <c r="B210" s="69"/>
      <c r="C210" s="68"/>
      <c r="D210" s="70"/>
      <c r="E210" s="71"/>
      <c r="F210" s="71"/>
      <c r="G210" s="58"/>
      <c r="H210" s="58"/>
    </row>
    <row r="211" spans="1:8" ht="14.25">
      <c r="A211" s="68"/>
      <c r="B211" s="69"/>
      <c r="C211" s="68"/>
      <c r="D211" s="70"/>
      <c r="E211" s="71"/>
      <c r="F211" s="71"/>
      <c r="G211" s="58"/>
      <c r="H211" s="58"/>
    </row>
    <row r="212" spans="1:8" ht="14.25">
      <c r="A212" s="68"/>
      <c r="B212" s="69"/>
      <c r="C212" s="68"/>
      <c r="D212" s="70"/>
      <c r="E212" s="71"/>
      <c r="F212" s="71"/>
      <c r="G212" s="58"/>
      <c r="H212" s="58"/>
    </row>
    <row r="213" spans="1:8" ht="13.5">
      <c r="A213" s="65"/>
      <c r="B213" s="65"/>
      <c r="C213" s="65"/>
      <c r="D213" s="66"/>
      <c r="E213" s="67"/>
      <c r="F213" s="67"/>
      <c r="G213" s="58"/>
      <c r="H213" s="58"/>
    </row>
    <row r="214" spans="1:8" ht="14.25">
      <c r="A214" s="68"/>
      <c r="B214" s="69"/>
      <c r="C214" s="68"/>
      <c r="D214" s="70"/>
      <c r="E214" s="71"/>
      <c r="F214" s="71"/>
      <c r="G214" s="58"/>
      <c r="H214" s="58"/>
    </row>
    <row r="215" spans="1:8" ht="14.25">
      <c r="A215" s="68"/>
      <c r="B215" s="69"/>
      <c r="C215" s="68"/>
      <c r="D215" s="70"/>
      <c r="E215" s="71"/>
      <c r="F215" s="71"/>
      <c r="G215" s="58"/>
      <c r="H215" s="58"/>
    </row>
    <row r="216" spans="1:8" ht="14.25">
      <c r="A216" s="68"/>
      <c r="B216" s="69"/>
      <c r="C216" s="68"/>
      <c r="D216" s="70"/>
      <c r="E216" s="71"/>
      <c r="F216" s="71"/>
      <c r="G216" s="58"/>
      <c r="H216" s="58"/>
    </row>
    <row r="217" spans="1:8" ht="14.25">
      <c r="A217" s="68"/>
      <c r="B217" s="69"/>
      <c r="C217" s="68"/>
      <c r="D217" s="70"/>
      <c r="E217" s="71"/>
      <c r="F217" s="71"/>
      <c r="G217" s="58"/>
      <c r="H217" s="58"/>
    </row>
    <row r="218" spans="1:8" ht="13.5">
      <c r="A218" s="65"/>
      <c r="B218" s="65"/>
      <c r="C218" s="65"/>
      <c r="D218" s="66"/>
      <c r="E218" s="67"/>
      <c r="F218" s="67"/>
      <c r="G218" s="58"/>
      <c r="H218" s="58"/>
    </row>
    <row r="219" spans="1:8" ht="14.25">
      <c r="A219" s="68"/>
      <c r="B219" s="69"/>
      <c r="C219" s="68"/>
      <c r="D219" s="70"/>
      <c r="E219" s="71"/>
      <c r="F219" s="71"/>
      <c r="G219" s="58"/>
      <c r="H219" s="58"/>
    </row>
    <row r="220" spans="1:8" ht="14.25">
      <c r="A220" s="68"/>
      <c r="B220" s="69"/>
      <c r="C220" s="68"/>
      <c r="D220" s="70"/>
      <c r="E220" s="71"/>
      <c r="F220" s="71"/>
      <c r="G220" s="58"/>
      <c r="H220" s="58"/>
    </row>
    <row r="221" spans="1:8" ht="14.25">
      <c r="A221" s="68"/>
      <c r="B221" s="69"/>
      <c r="C221" s="68"/>
      <c r="D221" s="70"/>
      <c r="E221" s="71"/>
      <c r="F221" s="71"/>
      <c r="G221" s="58"/>
      <c r="H221" s="58"/>
    </row>
    <row r="222" spans="1:8" ht="14.25">
      <c r="A222" s="68"/>
      <c r="B222" s="69"/>
      <c r="C222" s="68"/>
      <c r="D222" s="70"/>
      <c r="E222" s="71"/>
      <c r="F222" s="71"/>
      <c r="G222" s="58"/>
      <c r="H222" s="58"/>
    </row>
    <row r="223" spans="1:8" ht="13.5">
      <c r="A223" s="65"/>
      <c r="B223" s="65"/>
      <c r="C223" s="65"/>
      <c r="D223" s="66"/>
      <c r="E223" s="67"/>
      <c r="F223" s="67"/>
      <c r="G223" s="58"/>
      <c r="H223" s="58"/>
    </row>
    <row r="224" spans="1:8" ht="14.25">
      <c r="A224" s="68"/>
      <c r="B224" s="69"/>
      <c r="C224" s="68"/>
      <c r="D224" s="70"/>
      <c r="E224" s="71"/>
      <c r="F224" s="71"/>
      <c r="G224" s="58"/>
      <c r="H224" s="58"/>
    </row>
    <row r="225" spans="1:8" ht="14.25">
      <c r="A225" s="68"/>
      <c r="B225" s="69"/>
      <c r="C225" s="68"/>
      <c r="D225" s="70"/>
      <c r="E225" s="71"/>
      <c r="F225" s="71"/>
      <c r="G225" s="58"/>
      <c r="H225" s="58"/>
    </row>
    <row r="226" spans="1:8" ht="14.25">
      <c r="A226" s="68"/>
      <c r="B226" s="69"/>
      <c r="C226" s="68"/>
      <c r="D226" s="70"/>
      <c r="E226" s="71"/>
      <c r="F226" s="71"/>
      <c r="G226" s="58"/>
      <c r="H226" s="58"/>
    </row>
    <row r="227" spans="1:8" ht="14.25">
      <c r="A227" s="68"/>
      <c r="B227" s="69"/>
      <c r="C227" s="68"/>
      <c r="D227" s="70"/>
      <c r="E227" s="71"/>
      <c r="F227" s="71"/>
      <c r="G227" s="58"/>
      <c r="H227" s="58"/>
    </row>
    <row r="228" spans="1:8" ht="13.5">
      <c r="A228" s="65"/>
      <c r="B228" s="65"/>
      <c r="C228" s="65"/>
      <c r="D228" s="66"/>
      <c r="E228" s="67"/>
      <c r="F228" s="67"/>
      <c r="G228" s="58"/>
      <c r="H228" s="58"/>
    </row>
    <row r="229" spans="1:8" ht="14.25">
      <c r="A229" s="68"/>
      <c r="B229" s="69"/>
      <c r="C229" s="68"/>
      <c r="D229" s="70"/>
      <c r="E229" s="71"/>
      <c r="F229" s="71"/>
      <c r="G229" s="58"/>
      <c r="H229" s="58"/>
    </row>
    <row r="230" spans="1:8" ht="14.25">
      <c r="A230" s="68"/>
      <c r="B230" s="69"/>
      <c r="C230" s="68"/>
      <c r="D230" s="70"/>
      <c r="E230" s="71"/>
      <c r="F230" s="71"/>
      <c r="G230" s="58"/>
      <c r="H230" s="58"/>
    </row>
    <row r="231" spans="1:8" ht="14.25">
      <c r="A231" s="68"/>
      <c r="B231" s="69"/>
      <c r="C231" s="68"/>
      <c r="D231" s="70"/>
      <c r="E231" s="71"/>
      <c r="F231" s="71"/>
      <c r="G231" s="58"/>
      <c r="H231" s="58"/>
    </row>
    <row r="232" spans="1:8" ht="14.25">
      <c r="A232" s="68"/>
      <c r="B232" s="69"/>
      <c r="C232" s="68"/>
      <c r="D232" s="70"/>
      <c r="E232" s="71"/>
      <c r="F232" s="71"/>
      <c r="G232" s="58"/>
      <c r="H232" s="58"/>
    </row>
    <row r="233" spans="1:8" ht="13.5">
      <c r="A233" s="65"/>
      <c r="B233" s="65"/>
      <c r="C233" s="65"/>
      <c r="D233" s="66"/>
      <c r="E233" s="67"/>
      <c r="F233" s="67"/>
      <c r="G233" s="58"/>
      <c r="H233" s="58"/>
    </row>
    <row r="234" spans="1:8" ht="14.25">
      <c r="A234" s="68"/>
      <c r="B234" s="69"/>
      <c r="C234" s="68"/>
      <c r="D234" s="70"/>
      <c r="E234" s="71"/>
      <c r="F234" s="71"/>
      <c r="G234" s="58"/>
      <c r="H234" s="58"/>
    </row>
    <row r="235" spans="1:8" ht="14.25">
      <c r="A235" s="68"/>
      <c r="B235" s="69"/>
      <c r="C235" s="68"/>
      <c r="D235" s="70"/>
      <c r="E235" s="71"/>
      <c r="F235" s="71"/>
      <c r="G235" s="58"/>
      <c r="H235" s="58"/>
    </row>
    <row r="236" spans="1:8" ht="14.25">
      <c r="A236" s="68"/>
      <c r="B236" s="69"/>
      <c r="C236" s="68"/>
      <c r="D236" s="70"/>
      <c r="E236" s="71"/>
      <c r="F236" s="71"/>
      <c r="G236" s="58"/>
      <c r="H236" s="58"/>
    </row>
    <row r="237" spans="1:8" ht="14.25">
      <c r="A237" s="68"/>
      <c r="B237" s="69"/>
      <c r="C237" s="68"/>
      <c r="D237" s="70"/>
      <c r="E237" s="71"/>
      <c r="F237" s="71"/>
      <c r="G237" s="58"/>
      <c r="H237" s="58"/>
    </row>
    <row r="238" spans="1:8" ht="13.5">
      <c r="A238" s="65"/>
      <c r="B238" s="65"/>
      <c r="C238" s="65"/>
      <c r="D238" s="66"/>
      <c r="E238" s="67"/>
      <c r="F238" s="67"/>
      <c r="G238" s="58"/>
      <c r="H238" s="58"/>
    </row>
    <row r="239" spans="1:8" ht="14.25">
      <c r="A239" s="68"/>
      <c r="B239" s="69"/>
      <c r="C239" s="68"/>
      <c r="D239" s="70"/>
      <c r="E239" s="71"/>
      <c r="F239" s="71"/>
      <c r="G239" s="58"/>
      <c r="H239" s="58"/>
    </row>
    <row r="240" spans="1:8" ht="14.25">
      <c r="A240" s="68"/>
      <c r="B240" s="69"/>
      <c r="C240" s="68"/>
      <c r="D240" s="70"/>
      <c r="E240" s="71"/>
      <c r="F240" s="71"/>
      <c r="G240" s="58"/>
      <c r="H240" s="58"/>
    </row>
    <row r="241" spans="1:8" ht="14.25">
      <c r="A241" s="68"/>
      <c r="B241" s="69"/>
      <c r="C241" s="68"/>
      <c r="D241" s="70"/>
      <c r="E241" s="71"/>
      <c r="F241" s="71"/>
      <c r="G241" s="58"/>
      <c r="H241" s="58"/>
    </row>
    <row r="242" spans="1:8" ht="14.25">
      <c r="A242" s="68"/>
      <c r="B242" s="69"/>
      <c r="C242" s="68"/>
      <c r="D242" s="70"/>
      <c r="E242" s="71"/>
      <c r="F242" s="71"/>
      <c r="G242" s="58"/>
      <c r="H242" s="58"/>
    </row>
    <row r="243" spans="1:8" ht="13.5">
      <c r="A243" s="65"/>
      <c r="B243" s="65"/>
      <c r="C243" s="65"/>
      <c r="D243" s="66"/>
      <c r="E243" s="67"/>
      <c r="F243" s="67"/>
      <c r="G243" s="58"/>
      <c r="H243" s="58"/>
    </row>
    <row r="244" spans="1:8" ht="14.25">
      <c r="A244" s="68"/>
      <c r="B244" s="69"/>
      <c r="C244" s="68"/>
      <c r="D244" s="70"/>
      <c r="E244" s="71"/>
      <c r="F244" s="71"/>
      <c r="G244" s="58"/>
      <c r="H244" s="58"/>
    </row>
    <row r="245" spans="1:8" ht="14.25">
      <c r="A245" s="68"/>
      <c r="B245" s="69"/>
      <c r="C245" s="68"/>
      <c r="D245" s="70"/>
      <c r="E245" s="71"/>
      <c r="F245" s="71"/>
      <c r="G245" s="58"/>
      <c r="H245" s="58"/>
    </row>
    <row r="246" spans="1:8" ht="14.25">
      <c r="A246" s="68"/>
      <c r="B246" s="69"/>
      <c r="C246" s="68"/>
      <c r="D246" s="70"/>
      <c r="E246" s="71"/>
      <c r="F246" s="71"/>
      <c r="G246" s="58"/>
      <c r="H246" s="58"/>
    </row>
    <row r="247" spans="1:8" ht="14.25">
      <c r="A247" s="68"/>
      <c r="B247" s="69"/>
      <c r="C247" s="68"/>
      <c r="D247" s="70"/>
      <c r="E247" s="71"/>
      <c r="F247" s="71"/>
      <c r="G247" s="58"/>
      <c r="H247" s="58"/>
    </row>
    <row r="248" spans="1:8" ht="13.5">
      <c r="A248" s="65"/>
      <c r="B248" s="65"/>
      <c r="C248" s="65"/>
      <c r="D248" s="66"/>
      <c r="E248" s="67"/>
      <c r="F248" s="67"/>
      <c r="G248" s="58"/>
      <c r="H248" s="58"/>
    </row>
    <row r="249" spans="1:8" ht="14.25">
      <c r="A249" s="68"/>
      <c r="B249" s="69"/>
      <c r="C249" s="68"/>
      <c r="D249" s="70"/>
      <c r="E249" s="71"/>
      <c r="F249" s="71"/>
      <c r="G249" s="58"/>
      <c r="H249" s="58"/>
    </row>
    <row r="250" spans="1:8" ht="14.25">
      <c r="A250" s="68"/>
      <c r="B250" s="69"/>
      <c r="C250" s="68"/>
      <c r="D250" s="70"/>
      <c r="E250" s="71"/>
      <c r="F250" s="71"/>
      <c r="G250" s="58"/>
      <c r="H250" s="58"/>
    </row>
    <row r="251" spans="1:8" ht="14.25">
      <c r="A251" s="68"/>
      <c r="B251" s="69"/>
      <c r="C251" s="68"/>
      <c r="D251" s="70"/>
      <c r="E251" s="71"/>
      <c r="F251" s="71"/>
      <c r="G251" s="58"/>
      <c r="H251" s="58"/>
    </row>
    <row r="252" spans="1:8" ht="14.25">
      <c r="A252" s="68"/>
      <c r="B252" s="69"/>
      <c r="C252" s="68"/>
      <c r="D252" s="70"/>
      <c r="E252" s="71"/>
      <c r="F252" s="71"/>
      <c r="G252" s="58"/>
      <c r="H252" s="58"/>
    </row>
    <row r="253" spans="1:8" ht="13.5">
      <c r="A253" s="65"/>
      <c r="B253" s="65"/>
      <c r="C253" s="65"/>
      <c r="D253" s="66"/>
      <c r="E253" s="67"/>
      <c r="F253" s="67"/>
      <c r="G253" s="58"/>
      <c r="H253" s="58"/>
    </row>
    <row r="254" spans="1:8" ht="14.25">
      <c r="A254" s="68"/>
      <c r="B254" s="69"/>
      <c r="C254" s="68"/>
      <c r="D254" s="70"/>
      <c r="E254" s="71"/>
      <c r="F254" s="71"/>
      <c r="G254" s="58"/>
      <c r="H254" s="58"/>
    </row>
    <row r="255" spans="1:8" ht="14.25">
      <c r="A255" s="68"/>
      <c r="B255" s="69"/>
      <c r="C255" s="68"/>
      <c r="D255" s="70"/>
      <c r="E255" s="71"/>
      <c r="F255" s="71"/>
      <c r="G255" s="58"/>
      <c r="H255" s="58"/>
    </row>
    <row r="256" spans="1:8" ht="14.25">
      <c r="A256" s="68"/>
      <c r="B256" s="69"/>
      <c r="C256" s="68"/>
      <c r="D256" s="70"/>
      <c r="E256" s="71"/>
      <c r="F256" s="71"/>
      <c r="G256" s="58"/>
      <c r="H256" s="58"/>
    </row>
    <row r="257" spans="1:8" ht="14.25">
      <c r="A257" s="68"/>
      <c r="B257" s="69"/>
      <c r="C257" s="68"/>
      <c r="D257" s="70"/>
      <c r="E257" s="71"/>
      <c r="F257" s="71"/>
      <c r="G257" s="58"/>
      <c r="H257" s="58"/>
    </row>
    <row r="258" spans="1:8" ht="13.5">
      <c r="A258" s="65"/>
      <c r="B258" s="65"/>
      <c r="C258" s="65"/>
      <c r="D258" s="66"/>
      <c r="E258" s="67"/>
      <c r="F258" s="67"/>
      <c r="G258" s="58"/>
      <c r="H258" s="58"/>
    </row>
    <row r="259" spans="1:8" ht="14.25">
      <c r="A259" s="68"/>
      <c r="B259" s="69"/>
      <c r="C259" s="68"/>
      <c r="D259" s="70"/>
      <c r="E259" s="71"/>
      <c r="F259" s="71"/>
      <c r="G259" s="58"/>
      <c r="H259" s="58"/>
    </row>
    <row r="260" spans="1:8" ht="14.25">
      <c r="A260" s="68"/>
      <c r="B260" s="69"/>
      <c r="C260" s="68"/>
      <c r="D260" s="70"/>
      <c r="E260" s="71"/>
      <c r="F260" s="71"/>
      <c r="G260" s="58"/>
      <c r="H260" s="58"/>
    </row>
    <row r="261" spans="1:8" ht="14.25">
      <c r="A261" s="68"/>
      <c r="B261" s="69"/>
      <c r="C261" s="68"/>
      <c r="D261" s="70"/>
      <c r="E261" s="71"/>
      <c r="F261" s="71"/>
      <c r="G261" s="58"/>
      <c r="H261" s="58"/>
    </row>
    <row r="262" spans="1:8" ht="14.25">
      <c r="A262" s="68"/>
      <c r="B262" s="69"/>
      <c r="C262" s="68"/>
      <c r="D262" s="70"/>
      <c r="E262" s="71"/>
      <c r="F262" s="71"/>
      <c r="G262" s="58"/>
      <c r="H262" s="58"/>
    </row>
    <row r="263" spans="1:8" ht="13.5">
      <c r="A263" s="65"/>
      <c r="B263" s="65"/>
      <c r="C263" s="65"/>
      <c r="D263" s="66"/>
      <c r="E263" s="67"/>
      <c r="F263" s="67"/>
      <c r="G263" s="58"/>
      <c r="H263" s="58"/>
    </row>
    <row r="264" spans="1:8" ht="14.25">
      <c r="A264" s="68"/>
      <c r="B264" s="69"/>
      <c r="C264" s="68"/>
      <c r="D264" s="70"/>
      <c r="E264" s="71"/>
      <c r="F264" s="71"/>
      <c r="G264" s="58"/>
      <c r="H264" s="58"/>
    </row>
    <row r="265" spans="1:8" ht="14.25">
      <c r="A265" s="68"/>
      <c r="B265" s="69"/>
      <c r="C265" s="68"/>
      <c r="D265" s="70"/>
      <c r="E265" s="71"/>
      <c r="F265" s="71"/>
      <c r="G265" s="58"/>
      <c r="H265" s="58"/>
    </row>
    <row r="266" spans="1:8" ht="14.25">
      <c r="A266" s="68"/>
      <c r="B266" s="69"/>
      <c r="C266" s="68"/>
      <c r="D266" s="70"/>
      <c r="E266" s="71"/>
      <c r="F266" s="71"/>
      <c r="G266" s="58"/>
      <c r="H266" s="58"/>
    </row>
    <row r="267" spans="1:8" ht="14.25">
      <c r="A267" s="68"/>
      <c r="B267" s="69"/>
      <c r="C267" s="68"/>
      <c r="D267" s="70"/>
      <c r="E267" s="71"/>
      <c r="F267" s="71"/>
      <c r="G267" s="58"/>
      <c r="H267" s="58"/>
    </row>
    <row r="268" spans="1:8" ht="13.5">
      <c r="A268" s="65"/>
      <c r="B268" s="65"/>
      <c r="C268" s="65"/>
      <c r="D268" s="66"/>
      <c r="E268" s="67"/>
      <c r="F268" s="67"/>
      <c r="G268" s="58"/>
      <c r="H268" s="58"/>
    </row>
    <row r="269" spans="1:8" ht="14.25">
      <c r="A269" s="68"/>
      <c r="B269" s="69"/>
      <c r="C269" s="68"/>
      <c r="D269" s="70"/>
      <c r="E269" s="71"/>
      <c r="F269" s="71"/>
      <c r="G269" s="58"/>
      <c r="H269" s="58"/>
    </row>
    <row r="270" spans="1:8" ht="14.25">
      <c r="A270" s="68"/>
      <c r="B270" s="69"/>
      <c r="C270" s="68"/>
      <c r="D270" s="70"/>
      <c r="E270" s="71"/>
      <c r="F270" s="71"/>
      <c r="G270" s="58"/>
      <c r="H270" s="58"/>
    </row>
    <row r="271" spans="1:8" ht="14.25">
      <c r="A271" s="68"/>
      <c r="B271" s="69"/>
      <c r="C271" s="68"/>
      <c r="D271" s="70"/>
      <c r="E271" s="71"/>
      <c r="F271" s="71"/>
      <c r="G271" s="58"/>
      <c r="H271" s="58"/>
    </row>
    <row r="272" spans="1:8" ht="14.25">
      <c r="A272" s="68"/>
      <c r="B272" s="69"/>
      <c r="C272" s="68"/>
      <c r="D272" s="70"/>
      <c r="E272" s="71"/>
      <c r="F272" s="71"/>
      <c r="G272" s="58"/>
      <c r="H272" s="58"/>
    </row>
    <row r="273" spans="1:8" ht="13.5">
      <c r="A273" s="65"/>
      <c r="B273" s="65"/>
      <c r="C273" s="65"/>
      <c r="D273" s="66"/>
      <c r="E273" s="67"/>
      <c r="F273" s="67"/>
      <c r="G273" s="58"/>
      <c r="H273" s="58"/>
    </row>
    <row r="274" spans="1:8" ht="14.25">
      <c r="A274" s="68"/>
      <c r="B274" s="69"/>
      <c r="C274" s="68"/>
      <c r="D274" s="70"/>
      <c r="E274" s="71"/>
      <c r="F274" s="71"/>
      <c r="G274" s="58"/>
      <c r="H274" s="58"/>
    </row>
    <row r="275" spans="1:8" ht="14.25">
      <c r="A275" s="68"/>
      <c r="B275" s="69"/>
      <c r="C275" s="68"/>
      <c r="D275" s="70"/>
      <c r="E275" s="71"/>
      <c r="F275" s="71"/>
      <c r="G275" s="58"/>
      <c r="H275" s="58"/>
    </row>
    <row r="276" spans="1:8" ht="14.25">
      <c r="A276" s="68"/>
      <c r="B276" s="69"/>
      <c r="C276" s="68"/>
      <c r="D276" s="70"/>
      <c r="E276" s="71"/>
      <c r="F276" s="71"/>
      <c r="G276" s="58"/>
      <c r="H276" s="58"/>
    </row>
    <row r="277" spans="1:8" ht="14.25">
      <c r="A277" s="68"/>
      <c r="B277" s="69"/>
      <c r="C277" s="68"/>
      <c r="D277" s="70"/>
      <c r="E277" s="71"/>
      <c r="F277" s="71"/>
      <c r="G277" s="58"/>
      <c r="H277" s="58"/>
    </row>
    <row r="278" spans="1:8" ht="13.5">
      <c r="A278" s="65"/>
      <c r="B278" s="65"/>
      <c r="C278" s="65"/>
      <c r="D278" s="66"/>
      <c r="E278" s="67"/>
      <c r="F278" s="67"/>
      <c r="G278" s="58"/>
      <c r="H278" s="58"/>
    </row>
    <row r="279" spans="1:8" ht="14.25">
      <c r="A279" s="68"/>
      <c r="B279" s="69"/>
      <c r="C279" s="68"/>
      <c r="D279" s="70"/>
      <c r="E279" s="71"/>
      <c r="F279" s="71"/>
      <c r="G279" s="58"/>
      <c r="H279" s="58"/>
    </row>
    <row r="280" spans="1:8" ht="14.25">
      <c r="A280" s="68"/>
      <c r="B280" s="69"/>
      <c r="C280" s="68"/>
      <c r="D280" s="70"/>
      <c r="E280" s="71"/>
      <c r="F280" s="71"/>
      <c r="G280" s="58"/>
      <c r="H280" s="58"/>
    </row>
    <row r="281" spans="1:8" ht="14.25">
      <c r="A281" s="68"/>
      <c r="B281" s="69"/>
      <c r="C281" s="68"/>
      <c r="D281" s="70"/>
      <c r="E281" s="71"/>
      <c r="F281" s="71"/>
      <c r="G281" s="58"/>
      <c r="H281" s="58"/>
    </row>
    <row r="282" spans="1:8" ht="14.25">
      <c r="A282" s="68"/>
      <c r="B282" s="69"/>
      <c r="C282" s="68"/>
      <c r="D282" s="70"/>
      <c r="E282" s="71"/>
      <c r="F282" s="71"/>
      <c r="G282" s="58"/>
      <c r="H282" s="58"/>
    </row>
    <row r="283" spans="1:8" ht="13.5">
      <c r="A283" s="65"/>
      <c r="B283" s="65"/>
      <c r="C283" s="65"/>
      <c r="D283" s="66"/>
      <c r="E283" s="67"/>
      <c r="F283" s="67"/>
      <c r="G283" s="58"/>
      <c r="H283" s="58"/>
    </row>
    <row r="284" spans="1:8" ht="14.25">
      <c r="A284" s="68"/>
      <c r="B284" s="69"/>
      <c r="C284" s="68"/>
      <c r="D284" s="70"/>
      <c r="E284" s="71"/>
      <c r="F284" s="71"/>
      <c r="G284" s="58"/>
      <c r="H284" s="58"/>
    </row>
    <row r="285" spans="1:8" ht="14.25">
      <c r="A285" s="68"/>
      <c r="B285" s="69"/>
      <c r="C285" s="68"/>
      <c r="D285" s="70"/>
      <c r="E285" s="71"/>
      <c r="F285" s="71"/>
      <c r="G285" s="58"/>
      <c r="H285" s="58"/>
    </row>
    <row r="286" spans="1:8" ht="14.25">
      <c r="A286" s="68"/>
      <c r="B286" s="69"/>
      <c r="C286" s="68"/>
      <c r="D286" s="70"/>
      <c r="E286" s="71"/>
      <c r="F286" s="71"/>
      <c r="G286" s="58"/>
      <c r="H286" s="58"/>
    </row>
    <row r="287" spans="1:8" ht="14.25">
      <c r="A287" s="68"/>
      <c r="B287" s="69"/>
      <c r="C287" s="68"/>
      <c r="D287" s="70"/>
      <c r="E287" s="71"/>
      <c r="F287" s="71"/>
      <c r="G287" s="58"/>
      <c r="H287" s="58"/>
    </row>
    <row r="288" spans="1:8" ht="13.5">
      <c r="A288" s="65"/>
      <c r="B288" s="65"/>
      <c r="C288" s="65"/>
      <c r="D288" s="66"/>
      <c r="E288" s="67"/>
      <c r="F288" s="67"/>
      <c r="G288" s="58"/>
      <c r="H288" s="58"/>
    </row>
    <row r="289" spans="1:8" ht="14.25">
      <c r="A289" s="68"/>
      <c r="B289" s="69"/>
      <c r="C289" s="68"/>
      <c r="D289" s="70"/>
      <c r="E289" s="71"/>
      <c r="F289" s="71"/>
      <c r="G289" s="58"/>
      <c r="H289" s="58"/>
    </row>
    <row r="290" spans="1:8" ht="14.25">
      <c r="A290" s="68"/>
      <c r="B290" s="69"/>
      <c r="C290" s="68"/>
      <c r="D290" s="70"/>
      <c r="E290" s="71"/>
      <c r="F290" s="71"/>
      <c r="G290" s="58"/>
      <c r="H290" s="58"/>
    </row>
    <row r="291" spans="1:8" ht="14.25">
      <c r="A291" s="68"/>
      <c r="B291" s="69"/>
      <c r="C291" s="68"/>
      <c r="D291" s="70"/>
      <c r="E291" s="71"/>
      <c r="F291" s="71"/>
      <c r="G291" s="58"/>
      <c r="H291" s="58"/>
    </row>
    <row r="292" spans="1:8" ht="14.25">
      <c r="A292" s="68"/>
      <c r="B292" s="69"/>
      <c r="C292" s="68"/>
      <c r="D292" s="70"/>
      <c r="E292" s="71"/>
      <c r="F292" s="71"/>
      <c r="G292" s="58"/>
      <c r="H292" s="58"/>
    </row>
    <row r="293" spans="1:8" ht="13.5">
      <c r="A293" s="65"/>
      <c r="B293" s="65"/>
      <c r="C293" s="65"/>
      <c r="D293" s="66"/>
      <c r="E293" s="67"/>
      <c r="F293" s="67"/>
      <c r="G293" s="58"/>
      <c r="H293" s="58"/>
    </row>
    <row r="294" spans="1:8" ht="14.25">
      <c r="A294" s="68"/>
      <c r="B294" s="69"/>
      <c r="C294" s="68"/>
      <c r="D294" s="70"/>
      <c r="E294" s="71"/>
      <c r="F294" s="71"/>
      <c r="G294" s="58"/>
      <c r="H294" s="58"/>
    </row>
    <row r="295" spans="1:8" ht="14.25">
      <c r="A295" s="68"/>
      <c r="B295" s="69"/>
      <c r="C295" s="68"/>
      <c r="D295" s="70"/>
      <c r="E295" s="71"/>
      <c r="F295" s="71"/>
      <c r="G295" s="58"/>
      <c r="H295" s="58"/>
    </row>
    <row r="296" spans="1:8" ht="14.25">
      <c r="A296" s="68"/>
      <c r="B296" s="69"/>
      <c r="C296" s="68"/>
      <c r="D296" s="70"/>
      <c r="E296" s="71"/>
      <c r="F296" s="71"/>
      <c r="G296" s="58"/>
      <c r="H296" s="58"/>
    </row>
    <row r="297" spans="1:8" ht="14.25">
      <c r="A297" s="68"/>
      <c r="B297" s="69"/>
      <c r="C297" s="68"/>
      <c r="D297" s="70"/>
      <c r="E297" s="71"/>
      <c r="F297" s="71"/>
      <c r="G297" s="58"/>
      <c r="H297" s="58"/>
    </row>
    <row r="298" spans="1:8" ht="13.5">
      <c r="A298" s="65"/>
      <c r="B298" s="65"/>
      <c r="C298" s="65"/>
      <c r="D298" s="66"/>
      <c r="E298" s="67"/>
      <c r="F298" s="67"/>
      <c r="G298" s="58"/>
      <c r="H298" s="58"/>
    </row>
    <row r="299" spans="1:8" ht="14.25">
      <c r="A299" s="68"/>
      <c r="B299" s="69"/>
      <c r="C299" s="68"/>
      <c r="D299" s="70"/>
      <c r="E299" s="71"/>
      <c r="F299" s="71"/>
      <c r="G299" s="58"/>
      <c r="H299" s="58"/>
    </row>
    <row r="300" spans="1:8" ht="14.25">
      <c r="A300" s="68"/>
      <c r="B300" s="69"/>
      <c r="C300" s="68"/>
      <c r="D300" s="70"/>
      <c r="E300" s="71"/>
      <c r="F300" s="71"/>
      <c r="G300" s="58"/>
      <c r="H300" s="58"/>
    </row>
    <row r="301" spans="1:8" ht="14.25">
      <c r="A301" s="68"/>
      <c r="B301" s="69"/>
      <c r="C301" s="68"/>
      <c r="D301" s="70"/>
      <c r="E301" s="71"/>
      <c r="F301" s="71"/>
      <c r="G301" s="58"/>
      <c r="H301" s="58"/>
    </row>
    <row r="302" spans="1:8" ht="14.25">
      <c r="A302" s="68"/>
      <c r="B302" s="69"/>
      <c r="C302" s="68"/>
      <c r="D302" s="70"/>
      <c r="E302" s="71"/>
      <c r="F302" s="71"/>
      <c r="G302" s="58"/>
      <c r="H302" s="58"/>
    </row>
    <row r="303" spans="1:8" ht="13.5">
      <c r="A303" s="65"/>
      <c r="B303" s="65"/>
      <c r="C303" s="65"/>
      <c r="D303" s="66"/>
      <c r="E303" s="67"/>
      <c r="F303" s="67"/>
      <c r="G303" s="58"/>
      <c r="H303" s="58"/>
    </row>
    <row r="304" spans="1:8" ht="14.25">
      <c r="A304" s="68"/>
      <c r="B304" s="69"/>
      <c r="C304" s="68"/>
      <c r="D304" s="70"/>
      <c r="E304" s="71"/>
      <c r="F304" s="71"/>
      <c r="G304" s="58"/>
      <c r="H304" s="58"/>
    </row>
    <row r="305" spans="1:8" ht="14.25">
      <c r="A305" s="68"/>
      <c r="B305" s="69"/>
      <c r="C305" s="68"/>
      <c r="D305" s="70"/>
      <c r="E305" s="71"/>
      <c r="F305" s="71"/>
      <c r="G305" s="58"/>
      <c r="H305" s="58"/>
    </row>
    <row r="306" spans="1:8" ht="14.25">
      <c r="A306" s="68"/>
      <c r="B306" s="69"/>
      <c r="C306" s="68"/>
      <c r="D306" s="70"/>
      <c r="E306" s="71"/>
      <c r="F306" s="71"/>
      <c r="G306" s="58"/>
      <c r="H306" s="58"/>
    </row>
    <row r="307" spans="1:8" ht="14.25">
      <c r="A307" s="68"/>
      <c r="B307" s="69"/>
      <c r="C307" s="68"/>
      <c r="D307" s="70"/>
      <c r="E307" s="71"/>
      <c r="F307" s="71"/>
      <c r="G307" s="58"/>
      <c r="H307" s="58"/>
    </row>
    <row r="308" spans="1:8" ht="13.5">
      <c r="A308" s="65"/>
      <c r="B308" s="65"/>
      <c r="C308" s="65"/>
      <c r="D308" s="66"/>
      <c r="E308" s="67"/>
      <c r="F308" s="67"/>
      <c r="G308" s="58"/>
      <c r="H308" s="58"/>
    </row>
    <row r="309" spans="1:8" ht="14.25">
      <c r="A309" s="68"/>
      <c r="B309" s="69"/>
      <c r="C309" s="68"/>
      <c r="D309" s="70"/>
      <c r="E309" s="71"/>
      <c r="F309" s="71"/>
      <c r="G309" s="58"/>
      <c r="H309" s="58"/>
    </row>
    <row r="310" spans="1:8" ht="14.25">
      <c r="A310" s="68"/>
      <c r="B310" s="69"/>
      <c r="C310" s="68"/>
      <c r="D310" s="70"/>
      <c r="E310" s="71"/>
      <c r="F310" s="71"/>
      <c r="G310" s="58"/>
      <c r="H310" s="58"/>
    </row>
    <row r="311" spans="1:8" ht="14.25">
      <c r="A311" s="68"/>
      <c r="B311" s="69"/>
      <c r="C311" s="68"/>
      <c r="D311" s="70"/>
      <c r="E311" s="71"/>
      <c r="F311" s="71"/>
      <c r="G311" s="58"/>
      <c r="H311" s="58"/>
    </row>
    <row r="312" spans="1:8" ht="14.25">
      <c r="A312" s="68"/>
      <c r="B312" s="69"/>
      <c r="C312" s="68"/>
      <c r="D312" s="70"/>
      <c r="E312" s="71"/>
      <c r="F312" s="71"/>
      <c r="G312" s="58"/>
      <c r="H312" s="58"/>
    </row>
    <row r="313" spans="1:8" ht="13.5">
      <c r="A313" s="65"/>
      <c r="B313" s="65"/>
      <c r="C313" s="65"/>
      <c r="D313" s="66"/>
      <c r="E313" s="67"/>
      <c r="F313" s="67"/>
      <c r="G313" s="58"/>
      <c r="H313" s="58"/>
    </row>
    <row r="314" spans="1:8" ht="14.25">
      <c r="A314" s="68"/>
      <c r="B314" s="69"/>
      <c r="C314" s="68"/>
      <c r="D314" s="70"/>
      <c r="E314" s="71"/>
      <c r="F314" s="71"/>
      <c r="G314" s="58"/>
      <c r="H314" s="58"/>
    </row>
    <row r="315" spans="1:8" ht="14.25">
      <c r="A315" s="68"/>
      <c r="B315" s="69"/>
      <c r="C315" s="68"/>
      <c r="D315" s="70"/>
      <c r="E315" s="71"/>
      <c r="F315" s="71"/>
      <c r="G315" s="58"/>
      <c r="H315" s="58"/>
    </row>
    <row r="316" spans="1:8" ht="14.25">
      <c r="A316" s="68"/>
      <c r="B316" s="69"/>
      <c r="C316" s="68"/>
      <c r="D316" s="70"/>
      <c r="E316" s="71"/>
      <c r="F316" s="71"/>
      <c r="G316" s="58"/>
      <c r="H316" s="58"/>
    </row>
    <row r="317" spans="1:8" ht="14.25">
      <c r="A317" s="68"/>
      <c r="B317" s="69"/>
      <c r="C317" s="68"/>
      <c r="D317" s="70"/>
      <c r="E317" s="71"/>
      <c r="F317" s="71"/>
      <c r="G317" s="58"/>
      <c r="H317" s="58"/>
    </row>
    <row r="318" spans="1:8" ht="13.5">
      <c r="A318" s="65"/>
      <c r="B318" s="65"/>
      <c r="C318" s="65"/>
      <c r="D318" s="66"/>
      <c r="E318" s="67"/>
      <c r="F318" s="67"/>
      <c r="G318" s="58"/>
      <c r="H318" s="58"/>
    </row>
    <row r="319" spans="1:8" ht="14.25">
      <c r="A319" s="68"/>
      <c r="B319" s="69"/>
      <c r="C319" s="68"/>
      <c r="D319" s="70"/>
      <c r="E319" s="71"/>
      <c r="F319" s="71"/>
      <c r="G319" s="58"/>
      <c r="H319" s="58"/>
    </row>
    <row r="320" spans="1:8" ht="14.25">
      <c r="A320" s="68"/>
      <c r="B320" s="69"/>
      <c r="C320" s="68"/>
      <c r="D320" s="70"/>
      <c r="E320" s="71"/>
      <c r="F320" s="71"/>
      <c r="G320" s="58"/>
      <c r="H320" s="58"/>
    </row>
    <row r="321" spans="1:8" ht="14.25">
      <c r="A321" s="68"/>
      <c r="B321" s="69"/>
      <c r="C321" s="68"/>
      <c r="D321" s="70"/>
      <c r="E321" s="71"/>
      <c r="F321" s="71"/>
      <c r="G321" s="58"/>
      <c r="H321" s="58"/>
    </row>
    <row r="322" spans="1:8" ht="14.25">
      <c r="A322" s="68"/>
      <c r="B322" s="69"/>
      <c r="C322" s="68"/>
      <c r="D322" s="70"/>
      <c r="E322" s="71"/>
      <c r="F322" s="71"/>
      <c r="G322" s="58"/>
      <c r="H322" s="58"/>
    </row>
    <row r="323" spans="1:8" ht="13.5">
      <c r="A323" s="65"/>
      <c r="B323" s="65"/>
      <c r="C323" s="65"/>
      <c r="D323" s="66"/>
      <c r="E323" s="67"/>
      <c r="F323" s="67"/>
      <c r="G323" s="58"/>
      <c r="H323" s="58"/>
    </row>
    <row r="324" spans="1:8" ht="14.25">
      <c r="A324" s="68"/>
      <c r="B324" s="69"/>
      <c r="C324" s="68"/>
      <c r="D324" s="70"/>
      <c r="E324" s="71"/>
      <c r="F324" s="71"/>
      <c r="G324" s="58"/>
      <c r="H324" s="58"/>
    </row>
    <row r="325" spans="1:8" ht="14.25">
      <c r="A325" s="68"/>
      <c r="B325" s="69"/>
      <c r="C325" s="68"/>
      <c r="D325" s="70"/>
      <c r="E325" s="71"/>
      <c r="F325" s="71"/>
      <c r="G325" s="58"/>
      <c r="H325" s="58"/>
    </row>
    <row r="326" spans="1:8" ht="14.25">
      <c r="A326" s="68"/>
      <c r="B326" s="69"/>
      <c r="C326" s="68"/>
      <c r="D326" s="70"/>
      <c r="E326" s="71"/>
      <c r="F326" s="71"/>
      <c r="G326" s="58"/>
      <c r="H326" s="58"/>
    </row>
    <row r="327" spans="1:8" ht="14.25">
      <c r="A327" s="68"/>
      <c r="B327" s="69"/>
      <c r="C327" s="68"/>
      <c r="D327" s="70"/>
      <c r="E327" s="71"/>
      <c r="F327" s="71"/>
      <c r="G327" s="58"/>
      <c r="H327" s="58"/>
    </row>
    <row r="328" spans="1:8" ht="13.5">
      <c r="A328" s="65"/>
      <c r="B328" s="65"/>
      <c r="C328" s="65"/>
      <c r="D328" s="66"/>
      <c r="E328" s="67"/>
      <c r="F328" s="67"/>
      <c r="G328" s="58"/>
      <c r="H328" s="58"/>
    </row>
    <row r="329" spans="1:8" ht="14.25">
      <c r="A329" s="68"/>
      <c r="B329" s="69"/>
      <c r="C329" s="68"/>
      <c r="D329" s="70"/>
      <c r="E329" s="71"/>
      <c r="F329" s="71"/>
      <c r="G329" s="58"/>
      <c r="H329" s="58"/>
    </row>
    <row r="330" spans="1:8" ht="14.25">
      <c r="A330" s="68"/>
      <c r="B330" s="69"/>
      <c r="C330" s="68"/>
      <c r="D330" s="70"/>
      <c r="E330" s="71"/>
      <c r="F330" s="71"/>
      <c r="G330" s="58"/>
      <c r="H330" s="58"/>
    </row>
    <row r="331" spans="1:8" ht="14.25">
      <c r="A331" s="68"/>
      <c r="B331" s="69"/>
      <c r="C331" s="68"/>
      <c r="D331" s="70"/>
      <c r="E331" s="71"/>
      <c r="F331" s="71"/>
      <c r="G331" s="58"/>
      <c r="H331" s="58"/>
    </row>
    <row r="332" spans="1:8" ht="14.25">
      <c r="A332" s="68"/>
      <c r="B332" s="69"/>
      <c r="C332" s="68"/>
      <c r="D332" s="70"/>
      <c r="E332" s="71"/>
      <c r="F332" s="71"/>
      <c r="G332" s="58"/>
      <c r="H332" s="58"/>
    </row>
    <row r="333" spans="1:8" ht="13.5">
      <c r="A333" s="65"/>
      <c r="B333" s="65"/>
      <c r="C333" s="65"/>
      <c r="D333" s="66"/>
      <c r="E333" s="67"/>
      <c r="F333" s="67"/>
      <c r="G333" s="58"/>
      <c r="H333" s="58"/>
    </row>
    <row r="334" spans="1:8" ht="14.25">
      <c r="A334" s="68"/>
      <c r="B334" s="69"/>
      <c r="C334" s="68"/>
      <c r="D334" s="70"/>
      <c r="E334" s="71"/>
      <c r="F334" s="71"/>
      <c r="G334" s="58"/>
      <c r="H334" s="58"/>
    </row>
    <row r="335" spans="1:8" ht="14.25">
      <c r="A335" s="68"/>
      <c r="B335" s="69"/>
      <c r="C335" s="68"/>
      <c r="D335" s="70"/>
      <c r="E335" s="71"/>
      <c r="F335" s="71"/>
      <c r="G335" s="58"/>
      <c r="H335" s="58"/>
    </row>
    <row r="336" spans="1:8" ht="14.25">
      <c r="A336" s="68"/>
      <c r="B336" s="69"/>
      <c r="C336" s="68"/>
      <c r="D336" s="70"/>
      <c r="E336" s="71"/>
      <c r="F336" s="71"/>
      <c r="G336" s="58"/>
      <c r="H336" s="58"/>
    </row>
    <row r="337" spans="1:8" ht="14.25">
      <c r="A337" s="68"/>
      <c r="B337" s="69"/>
      <c r="C337" s="68"/>
      <c r="D337" s="70"/>
      <c r="E337" s="71"/>
      <c r="F337" s="71"/>
      <c r="G337" s="58"/>
      <c r="H337" s="58"/>
    </row>
    <row r="338" spans="1:8" ht="13.5">
      <c r="A338" s="65"/>
      <c r="B338" s="65"/>
      <c r="C338" s="65"/>
      <c r="D338" s="66"/>
      <c r="E338" s="67"/>
      <c r="F338" s="67"/>
      <c r="G338" s="58"/>
      <c r="H338" s="58"/>
    </row>
    <row r="339" spans="1:8" ht="14.25">
      <c r="A339" s="68"/>
      <c r="B339" s="69"/>
      <c r="C339" s="68"/>
      <c r="D339" s="70"/>
      <c r="E339" s="71"/>
      <c r="F339" s="71"/>
      <c r="G339" s="58"/>
      <c r="H339" s="58"/>
    </row>
    <row r="340" spans="1:8" ht="14.25">
      <c r="A340" s="68"/>
      <c r="B340" s="69"/>
      <c r="C340" s="68"/>
      <c r="D340" s="70"/>
      <c r="E340" s="71"/>
      <c r="F340" s="71"/>
      <c r="G340" s="58"/>
      <c r="H340" s="58"/>
    </row>
    <row r="341" spans="1:8" ht="14.25">
      <c r="A341" s="68"/>
      <c r="B341" s="69"/>
      <c r="C341" s="68"/>
      <c r="D341" s="70"/>
      <c r="E341" s="71"/>
      <c r="F341" s="71"/>
      <c r="G341" s="58"/>
      <c r="H341" s="58"/>
    </row>
    <row r="342" spans="1:8" ht="14.25">
      <c r="A342" s="68"/>
      <c r="B342" s="69"/>
      <c r="C342" s="68"/>
      <c r="D342" s="70"/>
      <c r="E342" s="71"/>
      <c r="F342" s="71"/>
      <c r="G342" s="58"/>
      <c r="H342" s="58"/>
    </row>
    <row r="343" spans="1:8" ht="13.5">
      <c r="A343" s="65"/>
      <c r="B343" s="65"/>
      <c r="C343" s="65"/>
      <c r="D343" s="66"/>
      <c r="E343" s="67"/>
      <c r="F343" s="67"/>
      <c r="G343" s="58"/>
      <c r="H343" s="58"/>
    </row>
    <row r="344" spans="1:8" ht="14.25">
      <c r="A344" s="68"/>
      <c r="B344" s="69"/>
      <c r="C344" s="68"/>
      <c r="D344" s="70"/>
      <c r="E344" s="71"/>
      <c r="F344" s="71"/>
      <c r="G344" s="58"/>
      <c r="H344" s="58"/>
    </row>
    <row r="345" spans="1:8" ht="14.25">
      <c r="A345" s="68"/>
      <c r="B345" s="69"/>
      <c r="C345" s="68"/>
      <c r="D345" s="70"/>
      <c r="E345" s="71"/>
      <c r="F345" s="71"/>
      <c r="G345" s="58"/>
      <c r="H345" s="58"/>
    </row>
    <row r="346" spans="1:8" ht="14.25">
      <c r="A346" s="68"/>
      <c r="B346" s="69"/>
      <c r="C346" s="68"/>
      <c r="D346" s="70"/>
      <c r="E346" s="71"/>
      <c r="F346" s="71"/>
      <c r="G346" s="58"/>
      <c r="H346" s="58"/>
    </row>
    <row r="347" spans="1:8" ht="14.25">
      <c r="A347" s="68"/>
      <c r="B347" s="69"/>
      <c r="C347" s="68"/>
      <c r="D347" s="70"/>
      <c r="E347" s="71"/>
      <c r="F347" s="71"/>
      <c r="G347" s="58"/>
      <c r="H347" s="58"/>
    </row>
    <row r="348" spans="1:8" ht="13.5">
      <c r="A348" s="65"/>
      <c r="B348" s="65"/>
      <c r="C348" s="65"/>
      <c r="D348" s="66"/>
      <c r="E348" s="67"/>
      <c r="F348" s="67"/>
      <c r="G348" s="58"/>
      <c r="H348" s="58"/>
    </row>
    <row r="349" spans="1:8" ht="14.25">
      <c r="A349" s="68"/>
      <c r="B349" s="69"/>
      <c r="C349" s="68"/>
      <c r="D349" s="70"/>
      <c r="E349" s="71"/>
      <c r="F349" s="71"/>
      <c r="G349" s="58"/>
      <c r="H349" s="58"/>
    </row>
    <row r="350" spans="1:8" ht="14.25">
      <c r="A350" s="68"/>
      <c r="B350" s="69"/>
      <c r="C350" s="68"/>
      <c r="D350" s="70"/>
      <c r="E350" s="71"/>
      <c r="F350" s="71"/>
      <c r="G350" s="58"/>
      <c r="H350" s="58"/>
    </row>
    <row r="351" spans="1:8" ht="14.25">
      <c r="A351" s="68"/>
      <c r="B351" s="69"/>
      <c r="C351" s="68"/>
      <c r="D351" s="70"/>
      <c r="E351" s="71"/>
      <c r="F351" s="71"/>
      <c r="G351" s="58"/>
      <c r="H351" s="58"/>
    </row>
    <row r="352" spans="1:8" ht="14.25">
      <c r="A352" s="68"/>
      <c r="B352" s="69"/>
      <c r="C352" s="68"/>
      <c r="D352" s="70"/>
      <c r="E352" s="71"/>
      <c r="F352" s="71"/>
      <c r="G352" s="58"/>
      <c r="H352" s="58"/>
    </row>
    <row r="353" spans="1:8" ht="13.5">
      <c r="A353" s="65"/>
      <c r="B353" s="65"/>
      <c r="C353" s="65"/>
      <c r="D353" s="66"/>
      <c r="E353" s="67"/>
      <c r="F353" s="67"/>
      <c r="G353" s="58"/>
      <c r="H353" s="58"/>
    </row>
    <row r="354" spans="1:8" ht="14.25">
      <c r="A354" s="68"/>
      <c r="B354" s="69"/>
      <c r="C354" s="68"/>
      <c r="D354" s="70"/>
      <c r="E354" s="71"/>
      <c r="F354" s="71"/>
      <c r="G354" s="58"/>
      <c r="H354" s="58"/>
    </row>
    <row r="355" spans="1:8" ht="14.25">
      <c r="A355" s="68"/>
      <c r="B355" s="69"/>
      <c r="C355" s="68"/>
      <c r="D355" s="70"/>
      <c r="E355" s="71"/>
      <c r="F355" s="71"/>
      <c r="G355" s="58"/>
      <c r="H355" s="58"/>
    </row>
    <row r="356" spans="1:8" ht="14.25">
      <c r="A356" s="68"/>
      <c r="B356" s="69"/>
      <c r="C356" s="68"/>
      <c r="D356" s="70"/>
      <c r="E356" s="71"/>
      <c r="F356" s="71"/>
      <c r="G356" s="58"/>
      <c r="H356" s="58"/>
    </row>
    <row r="357" spans="1:8" ht="14.25">
      <c r="A357" s="68"/>
      <c r="B357" s="69"/>
      <c r="C357" s="68"/>
      <c r="D357" s="70"/>
      <c r="E357" s="71"/>
      <c r="F357" s="71"/>
      <c r="G357" s="58"/>
      <c r="H357" s="58"/>
    </row>
    <row r="358" spans="1:8" ht="13.5">
      <c r="A358" s="65"/>
      <c r="B358" s="65"/>
      <c r="C358" s="65"/>
      <c r="D358" s="66"/>
      <c r="E358" s="67"/>
      <c r="F358" s="67"/>
      <c r="G358" s="58"/>
      <c r="H358" s="58"/>
    </row>
    <row r="359" spans="1:8" ht="14.25">
      <c r="A359" s="68"/>
      <c r="B359" s="69"/>
      <c r="C359" s="68"/>
      <c r="D359" s="70"/>
      <c r="E359" s="71"/>
      <c r="F359" s="71"/>
      <c r="G359" s="58"/>
      <c r="H359" s="58"/>
    </row>
    <row r="360" spans="1:8" ht="14.25">
      <c r="A360" s="68"/>
      <c r="B360" s="69"/>
      <c r="C360" s="68"/>
      <c r="D360" s="70"/>
      <c r="E360" s="71"/>
      <c r="F360" s="71"/>
      <c r="G360" s="58"/>
      <c r="H360" s="58"/>
    </row>
    <row r="361" spans="1:8" ht="14.25">
      <c r="A361" s="68"/>
      <c r="B361" s="69"/>
      <c r="C361" s="68"/>
      <c r="D361" s="70"/>
      <c r="E361" s="71"/>
      <c r="F361" s="71"/>
      <c r="G361" s="58"/>
      <c r="H361" s="58"/>
    </row>
    <row r="362" spans="1:8" ht="14.25">
      <c r="A362" s="68"/>
      <c r="B362" s="69"/>
      <c r="C362" s="68"/>
      <c r="D362" s="70"/>
      <c r="E362" s="71"/>
      <c r="F362" s="71"/>
      <c r="G362" s="58"/>
      <c r="H362" s="58"/>
    </row>
    <row r="363" spans="1:8" ht="13.5">
      <c r="A363" s="65"/>
      <c r="B363" s="65"/>
      <c r="C363" s="65"/>
      <c r="D363" s="66"/>
      <c r="E363" s="67"/>
      <c r="F363" s="67"/>
      <c r="G363" s="58"/>
      <c r="H363" s="58"/>
    </row>
    <row r="364" spans="1:8" ht="14.25">
      <c r="A364" s="68"/>
      <c r="B364" s="69"/>
      <c r="C364" s="68"/>
      <c r="D364" s="70"/>
      <c r="E364" s="71"/>
      <c r="F364" s="71"/>
      <c r="G364" s="58"/>
      <c r="H364" s="58"/>
    </row>
    <row r="365" spans="1:8" ht="14.25">
      <c r="A365" s="68"/>
      <c r="B365" s="69"/>
      <c r="C365" s="68"/>
      <c r="D365" s="70"/>
      <c r="E365" s="71"/>
      <c r="F365" s="71"/>
      <c r="G365" s="58"/>
      <c r="H365" s="58"/>
    </row>
    <row r="366" spans="1:8" ht="14.25">
      <c r="A366" s="68"/>
      <c r="B366" s="69"/>
      <c r="C366" s="68"/>
      <c r="D366" s="70"/>
      <c r="E366" s="71"/>
      <c r="F366" s="71"/>
      <c r="G366" s="58"/>
      <c r="H366" s="58"/>
    </row>
    <row r="367" spans="1:8" ht="14.25">
      <c r="A367" s="68"/>
      <c r="B367" s="69"/>
      <c r="C367" s="68"/>
      <c r="D367" s="70"/>
      <c r="E367" s="71"/>
      <c r="F367" s="71"/>
      <c r="G367" s="58"/>
      <c r="H367" s="58"/>
    </row>
    <row r="368" spans="1:8" ht="13.5">
      <c r="A368" s="65"/>
      <c r="B368" s="65"/>
      <c r="C368" s="65"/>
      <c r="D368" s="66"/>
      <c r="E368" s="67"/>
      <c r="F368" s="67"/>
      <c r="G368" s="58"/>
      <c r="H368" s="58"/>
    </row>
    <row r="369" spans="1:8" ht="14.25">
      <c r="A369" s="68"/>
      <c r="B369" s="69"/>
      <c r="C369" s="68"/>
      <c r="D369" s="70"/>
      <c r="E369" s="71"/>
      <c r="F369" s="71"/>
      <c r="G369" s="58"/>
      <c r="H369" s="58"/>
    </row>
    <row r="370" spans="1:8" ht="14.25">
      <c r="A370" s="68"/>
      <c r="B370" s="69"/>
      <c r="C370" s="68"/>
      <c r="D370" s="70"/>
      <c r="E370" s="71"/>
      <c r="F370" s="71"/>
      <c r="G370" s="58"/>
      <c r="H370" s="58"/>
    </row>
    <row r="371" spans="1:8" ht="14.25">
      <c r="A371" s="68"/>
      <c r="B371" s="69"/>
      <c r="C371" s="68"/>
      <c r="D371" s="70"/>
      <c r="E371" s="71"/>
      <c r="F371" s="71"/>
      <c r="G371" s="58"/>
      <c r="H371" s="58"/>
    </row>
    <row r="372" spans="1:8" ht="14.25">
      <c r="A372" s="68"/>
      <c r="B372" s="69"/>
      <c r="C372" s="68"/>
      <c r="D372" s="70"/>
      <c r="E372" s="71"/>
      <c r="F372" s="71"/>
      <c r="G372" s="58"/>
      <c r="H372" s="58"/>
    </row>
    <row r="373" spans="1:8" ht="13.5">
      <c r="A373" s="65"/>
      <c r="B373" s="65"/>
      <c r="C373" s="65"/>
      <c r="D373" s="66"/>
      <c r="E373" s="67"/>
      <c r="F373" s="67"/>
      <c r="G373" s="58"/>
      <c r="H373" s="58"/>
    </row>
    <row r="374" spans="1:8" ht="14.25">
      <c r="A374" s="68"/>
      <c r="B374" s="69"/>
      <c r="C374" s="68"/>
      <c r="D374" s="70"/>
      <c r="E374" s="71"/>
      <c r="F374" s="71"/>
      <c r="G374" s="58"/>
      <c r="H374" s="58"/>
    </row>
    <row r="375" spans="1:8" ht="14.25">
      <c r="A375" s="68"/>
      <c r="B375" s="69"/>
      <c r="C375" s="68"/>
      <c r="D375" s="70"/>
      <c r="E375" s="71"/>
      <c r="F375" s="71"/>
      <c r="G375" s="58"/>
      <c r="H375" s="58"/>
    </row>
    <row r="376" spans="1:8" ht="14.25">
      <c r="A376" s="68"/>
      <c r="B376" s="69"/>
      <c r="C376" s="68"/>
      <c r="D376" s="70"/>
      <c r="E376" s="71"/>
      <c r="F376" s="71"/>
      <c r="G376" s="58"/>
      <c r="H376" s="58"/>
    </row>
    <row r="377" spans="1:8" ht="14.25">
      <c r="A377" s="68"/>
      <c r="B377" s="69"/>
      <c r="C377" s="68"/>
      <c r="D377" s="70"/>
      <c r="E377" s="71"/>
      <c r="F377" s="71"/>
      <c r="G377" s="58"/>
      <c r="H377" s="58"/>
    </row>
    <row r="378" spans="1:8" ht="13.5">
      <c r="A378" s="65"/>
      <c r="B378" s="65"/>
      <c r="C378" s="65"/>
      <c r="D378" s="66"/>
      <c r="E378" s="67"/>
      <c r="F378" s="67"/>
      <c r="G378" s="58"/>
      <c r="H378" s="58"/>
    </row>
    <row r="379" spans="1:8" ht="14.25">
      <c r="A379" s="68"/>
      <c r="B379" s="69"/>
      <c r="C379" s="68"/>
      <c r="D379" s="70"/>
      <c r="E379" s="71"/>
      <c r="F379" s="71"/>
      <c r="G379" s="58"/>
      <c r="H379" s="58"/>
    </row>
    <row r="380" spans="1:8" ht="14.25">
      <c r="A380" s="68"/>
      <c r="B380" s="69"/>
      <c r="C380" s="68"/>
      <c r="D380" s="70"/>
      <c r="E380" s="71"/>
      <c r="F380" s="71"/>
      <c r="G380" s="58"/>
      <c r="H380" s="58"/>
    </row>
    <row r="381" spans="1:8" ht="14.25">
      <c r="A381" s="68"/>
      <c r="B381" s="69"/>
      <c r="C381" s="68"/>
      <c r="D381" s="70"/>
      <c r="E381" s="71"/>
      <c r="F381" s="71"/>
      <c r="G381" s="58"/>
      <c r="H381" s="58"/>
    </row>
    <row r="382" spans="1:8" ht="14.25">
      <c r="A382" s="68"/>
      <c r="B382" s="69"/>
      <c r="C382" s="68"/>
      <c r="D382" s="70"/>
      <c r="E382" s="71"/>
      <c r="F382" s="71"/>
      <c r="G382" s="58"/>
      <c r="H382" s="58"/>
    </row>
    <row r="383" spans="1:8" ht="13.5">
      <c r="A383" s="65"/>
      <c r="B383" s="65"/>
      <c r="C383" s="65"/>
      <c r="D383" s="66"/>
      <c r="E383" s="67"/>
      <c r="F383" s="67"/>
      <c r="G383" s="58"/>
      <c r="H383" s="58"/>
    </row>
    <row r="384" spans="1:8" ht="14.25">
      <c r="A384" s="68"/>
      <c r="B384" s="69"/>
      <c r="C384" s="68"/>
      <c r="D384" s="70"/>
      <c r="E384" s="71"/>
      <c r="F384" s="71"/>
      <c r="G384" s="58"/>
      <c r="H384" s="58"/>
    </row>
    <row r="385" spans="1:8" ht="14.25">
      <c r="A385" s="68"/>
      <c r="B385" s="69"/>
      <c r="C385" s="68"/>
      <c r="D385" s="70"/>
      <c r="E385" s="71"/>
      <c r="F385" s="71"/>
      <c r="G385" s="58"/>
      <c r="H385" s="58"/>
    </row>
    <row r="386" spans="1:8" ht="14.25">
      <c r="A386" s="68"/>
      <c r="B386" s="69"/>
      <c r="C386" s="68"/>
      <c r="D386" s="70"/>
      <c r="E386" s="71"/>
      <c r="F386" s="71"/>
      <c r="G386" s="58"/>
      <c r="H386" s="58"/>
    </row>
    <row r="387" spans="1:8" ht="14.25">
      <c r="A387" s="68"/>
      <c r="B387" s="69"/>
      <c r="C387" s="68"/>
      <c r="D387" s="70"/>
      <c r="E387" s="71"/>
      <c r="F387" s="71"/>
      <c r="G387" s="58"/>
      <c r="H387" s="58"/>
    </row>
    <row r="388" spans="1:8" ht="13.5">
      <c r="A388" s="65"/>
      <c r="B388" s="65"/>
      <c r="C388" s="65"/>
      <c r="D388" s="66"/>
      <c r="E388" s="67"/>
      <c r="F388" s="67"/>
      <c r="G388" s="58"/>
      <c r="H388" s="58"/>
    </row>
    <row r="389" spans="1:8" ht="14.25">
      <c r="A389" s="68"/>
      <c r="B389" s="69"/>
      <c r="C389" s="68"/>
      <c r="D389" s="70"/>
      <c r="E389" s="71"/>
      <c r="F389" s="71"/>
      <c r="G389" s="58"/>
      <c r="H389" s="58"/>
    </row>
    <row r="390" spans="1:8" ht="14.25">
      <c r="A390" s="68"/>
      <c r="B390" s="69"/>
      <c r="C390" s="68"/>
      <c r="D390" s="70"/>
      <c r="E390" s="71"/>
      <c r="F390" s="71"/>
      <c r="G390" s="58"/>
      <c r="H390" s="58"/>
    </row>
    <row r="391" spans="1:8" ht="14.25">
      <c r="A391" s="68"/>
      <c r="B391" s="69"/>
      <c r="C391" s="68"/>
      <c r="D391" s="70"/>
      <c r="E391" s="71"/>
      <c r="F391" s="71"/>
      <c r="G391" s="58"/>
      <c r="H391" s="58"/>
    </row>
    <row r="392" spans="1:8" ht="14.25">
      <c r="A392" s="68"/>
      <c r="B392" s="69"/>
      <c r="C392" s="68"/>
      <c r="D392" s="70"/>
      <c r="E392" s="71"/>
      <c r="F392" s="71"/>
      <c r="G392" s="58"/>
      <c r="H392" s="58"/>
    </row>
    <row r="393" spans="1:8" ht="13.5">
      <c r="A393" s="65"/>
      <c r="B393" s="65"/>
      <c r="C393" s="65"/>
      <c r="D393" s="66"/>
      <c r="E393" s="67"/>
      <c r="F393" s="67"/>
      <c r="G393" s="58"/>
      <c r="H393" s="58"/>
    </row>
    <row r="394" spans="1:8" ht="14.25">
      <c r="A394" s="68"/>
      <c r="B394" s="69"/>
      <c r="C394" s="68"/>
      <c r="D394" s="70"/>
      <c r="E394" s="71"/>
      <c r="F394" s="71"/>
      <c r="G394" s="58"/>
      <c r="H394" s="58"/>
    </row>
    <row r="395" spans="1:8" ht="14.25">
      <c r="A395" s="68"/>
      <c r="B395" s="69"/>
      <c r="C395" s="68"/>
      <c r="D395" s="70"/>
      <c r="E395" s="71"/>
      <c r="F395" s="71"/>
      <c r="G395" s="58"/>
      <c r="H395" s="58"/>
    </row>
    <row r="396" spans="1:8" ht="14.25">
      <c r="A396" s="68"/>
      <c r="B396" s="69"/>
      <c r="C396" s="68"/>
      <c r="D396" s="70"/>
      <c r="E396" s="71"/>
      <c r="F396" s="71"/>
      <c r="G396" s="58"/>
      <c r="H396" s="58"/>
    </row>
    <row r="397" spans="1:8" ht="14.25">
      <c r="A397" s="68"/>
      <c r="B397" s="69"/>
      <c r="C397" s="68"/>
      <c r="D397" s="70"/>
      <c r="E397" s="71"/>
      <c r="F397" s="71"/>
      <c r="G397" s="58"/>
      <c r="H397" s="58"/>
    </row>
    <row r="398" spans="1:8" ht="13.5">
      <c r="A398" s="65"/>
      <c r="B398" s="65"/>
      <c r="C398" s="65"/>
      <c r="D398" s="66"/>
      <c r="E398" s="67"/>
      <c r="F398" s="67"/>
      <c r="G398" s="58"/>
      <c r="H398" s="58"/>
    </row>
    <row r="399" spans="1:8" ht="14.25">
      <c r="A399" s="68"/>
      <c r="B399" s="69"/>
      <c r="C399" s="68"/>
      <c r="D399" s="70"/>
      <c r="E399" s="71"/>
      <c r="F399" s="71"/>
      <c r="G399" s="58"/>
      <c r="H399" s="58"/>
    </row>
    <row r="400" spans="1:8" ht="14.25">
      <c r="A400" s="68"/>
      <c r="B400" s="69"/>
      <c r="C400" s="68"/>
      <c r="D400" s="70"/>
      <c r="E400" s="71"/>
      <c r="F400" s="71"/>
      <c r="G400" s="58"/>
      <c r="H400" s="58"/>
    </row>
    <row r="401" spans="1:8" ht="14.25">
      <c r="A401" s="68"/>
      <c r="B401" s="69"/>
      <c r="C401" s="68"/>
      <c r="D401" s="70"/>
      <c r="E401" s="71"/>
      <c r="F401" s="71"/>
      <c r="G401" s="58"/>
      <c r="H401" s="58"/>
    </row>
    <row r="402" spans="1:8" ht="14.25">
      <c r="A402" s="68"/>
      <c r="B402" s="69"/>
      <c r="C402" s="68"/>
      <c r="D402" s="70"/>
      <c r="E402" s="71"/>
      <c r="F402" s="71"/>
      <c r="G402" s="58"/>
      <c r="H402" s="58"/>
    </row>
    <row r="403" spans="1:8" ht="13.5">
      <c r="A403" s="65"/>
      <c r="B403" s="65"/>
      <c r="C403" s="65"/>
      <c r="D403" s="66"/>
      <c r="E403" s="67"/>
      <c r="F403" s="67"/>
      <c r="G403" s="58"/>
      <c r="H403" s="58"/>
    </row>
    <row r="404" spans="1:8" ht="14.25">
      <c r="A404" s="68"/>
      <c r="B404" s="69"/>
      <c r="C404" s="68"/>
      <c r="D404" s="70"/>
      <c r="E404" s="71"/>
      <c r="F404" s="71"/>
      <c r="G404" s="58"/>
      <c r="H404" s="58"/>
    </row>
    <row r="405" spans="1:8" ht="14.25">
      <c r="A405" s="68"/>
      <c r="B405" s="69"/>
      <c r="C405" s="68"/>
      <c r="D405" s="70"/>
      <c r="E405" s="71"/>
      <c r="F405" s="71"/>
      <c r="G405" s="58"/>
      <c r="H405" s="58"/>
    </row>
    <row r="406" spans="1:8" ht="14.25">
      <c r="A406" s="68"/>
      <c r="B406" s="69"/>
      <c r="C406" s="68"/>
      <c r="D406" s="70"/>
      <c r="E406" s="71"/>
      <c r="F406" s="71"/>
      <c r="G406" s="58"/>
      <c r="H406" s="58"/>
    </row>
    <row r="407" spans="1:8" ht="14.25">
      <c r="A407" s="68"/>
      <c r="B407" s="69"/>
      <c r="C407" s="68"/>
      <c r="D407" s="70"/>
      <c r="E407" s="71"/>
      <c r="F407" s="71"/>
      <c r="G407" s="58"/>
      <c r="H407" s="58"/>
    </row>
    <row r="408" spans="1:8" ht="13.5">
      <c r="A408" s="65"/>
      <c r="B408" s="65"/>
      <c r="C408" s="65"/>
      <c r="D408" s="66"/>
      <c r="E408" s="67"/>
      <c r="F408" s="67"/>
      <c r="G408" s="58"/>
      <c r="H408" s="58"/>
    </row>
    <row r="409" spans="1:8" ht="14.25">
      <c r="A409" s="68"/>
      <c r="B409" s="69"/>
      <c r="C409" s="68"/>
      <c r="D409" s="70"/>
      <c r="E409" s="71"/>
      <c r="F409" s="71"/>
      <c r="G409" s="58"/>
      <c r="H409" s="58"/>
    </row>
    <row r="410" spans="1:8" ht="14.25">
      <c r="A410" s="68"/>
      <c r="B410" s="69"/>
      <c r="C410" s="68"/>
      <c r="D410" s="70"/>
      <c r="E410" s="71"/>
      <c r="F410" s="71"/>
      <c r="G410" s="58"/>
      <c r="H410" s="58"/>
    </row>
    <row r="411" spans="1:8" ht="14.25">
      <c r="A411" s="68"/>
      <c r="B411" s="69"/>
      <c r="C411" s="68"/>
      <c r="D411" s="70"/>
      <c r="E411" s="71"/>
      <c r="F411" s="71"/>
      <c r="G411" s="58"/>
      <c r="H411" s="58"/>
    </row>
    <row r="412" spans="1:8" ht="14.25">
      <c r="A412" s="68"/>
      <c r="B412" s="69"/>
      <c r="C412" s="68"/>
      <c r="D412" s="70"/>
      <c r="E412" s="71"/>
      <c r="F412" s="71"/>
      <c r="G412" s="58"/>
      <c r="H412" s="58"/>
    </row>
    <row r="413" spans="1:8" ht="13.5">
      <c r="A413" s="65"/>
      <c r="B413" s="65"/>
      <c r="C413" s="65"/>
      <c r="D413" s="66"/>
      <c r="E413" s="67"/>
      <c r="F413" s="67"/>
      <c r="G413" s="58"/>
      <c r="H413" s="58"/>
    </row>
    <row r="414" spans="1:8" ht="14.25">
      <c r="A414" s="68"/>
      <c r="B414" s="69"/>
      <c r="C414" s="68"/>
      <c r="D414" s="70"/>
      <c r="E414" s="71"/>
      <c r="F414" s="71"/>
      <c r="G414" s="58"/>
      <c r="H414" s="58"/>
    </row>
    <row r="415" spans="1:8" ht="14.25">
      <c r="A415" s="68"/>
      <c r="B415" s="69"/>
      <c r="C415" s="68"/>
      <c r="D415" s="70"/>
      <c r="E415" s="71"/>
      <c r="F415" s="71"/>
      <c r="G415" s="58"/>
      <c r="H415" s="58"/>
    </row>
    <row r="416" spans="1:8" ht="14.25">
      <c r="A416" s="68"/>
      <c r="B416" s="69"/>
      <c r="C416" s="68"/>
      <c r="D416" s="70"/>
      <c r="E416" s="71"/>
      <c r="F416" s="71"/>
      <c r="G416" s="58"/>
      <c r="H416" s="58"/>
    </row>
    <row r="417" spans="1:8" ht="14.25">
      <c r="A417" s="68"/>
      <c r="B417" s="69"/>
      <c r="C417" s="68"/>
      <c r="D417" s="70"/>
      <c r="E417" s="71"/>
      <c r="F417" s="71"/>
      <c r="G417" s="58"/>
      <c r="H417" s="58"/>
    </row>
    <row r="418" spans="1:8" ht="13.5">
      <c r="A418" s="65"/>
      <c r="B418" s="65"/>
      <c r="C418" s="65"/>
      <c r="D418" s="66"/>
      <c r="E418" s="67"/>
      <c r="F418" s="67"/>
      <c r="G418" s="58"/>
      <c r="H418" s="58"/>
    </row>
    <row r="419" spans="1:8" ht="14.25">
      <c r="A419" s="68"/>
      <c r="B419" s="69"/>
      <c r="C419" s="68"/>
      <c r="D419" s="70"/>
      <c r="E419" s="71"/>
      <c r="F419" s="71"/>
      <c r="G419" s="58"/>
      <c r="H419" s="58"/>
    </row>
    <row r="420" spans="1:8" ht="14.25">
      <c r="A420" s="68"/>
      <c r="B420" s="69"/>
      <c r="C420" s="68"/>
      <c r="D420" s="70"/>
      <c r="E420" s="71"/>
      <c r="F420" s="71"/>
      <c r="G420" s="58"/>
      <c r="H420" s="58"/>
    </row>
    <row r="421" spans="1:8" ht="14.25">
      <c r="A421" s="68"/>
      <c r="B421" s="69"/>
      <c r="C421" s="68"/>
      <c r="D421" s="70"/>
      <c r="E421" s="71"/>
      <c r="F421" s="71"/>
      <c r="G421" s="58"/>
      <c r="H421" s="58"/>
    </row>
    <row r="422" spans="1:8" ht="14.25">
      <c r="A422" s="68"/>
      <c r="B422" s="69"/>
      <c r="C422" s="68"/>
      <c r="D422" s="70"/>
      <c r="E422" s="71"/>
      <c r="F422" s="71"/>
      <c r="G422" s="58"/>
      <c r="H422" s="58"/>
    </row>
    <row r="423" spans="1:8" ht="13.5">
      <c r="A423" s="65"/>
      <c r="B423" s="65"/>
      <c r="C423" s="65"/>
      <c r="D423" s="66"/>
      <c r="E423" s="67"/>
      <c r="F423" s="67"/>
      <c r="G423" s="58"/>
      <c r="H423" s="58"/>
    </row>
    <row r="424" spans="1:8" ht="14.25">
      <c r="A424" s="68"/>
      <c r="B424" s="69"/>
      <c r="C424" s="68"/>
      <c r="D424" s="70"/>
      <c r="E424" s="71"/>
      <c r="F424" s="71"/>
      <c r="G424" s="58"/>
      <c r="H424" s="58"/>
    </row>
    <row r="425" spans="1:8" ht="14.25">
      <c r="A425" s="68"/>
      <c r="B425" s="69"/>
      <c r="C425" s="68"/>
      <c r="D425" s="70"/>
      <c r="E425" s="71"/>
      <c r="F425" s="71"/>
      <c r="G425" s="58"/>
      <c r="H425" s="58"/>
    </row>
    <row r="426" spans="1:8" ht="14.25">
      <c r="A426" s="68"/>
      <c r="B426" s="69"/>
      <c r="C426" s="68"/>
      <c r="D426" s="70"/>
      <c r="E426" s="71"/>
      <c r="F426" s="71"/>
      <c r="G426" s="58"/>
      <c r="H426" s="58"/>
    </row>
    <row r="427" spans="1:8" ht="14.25">
      <c r="A427" s="68"/>
      <c r="B427" s="69"/>
      <c r="C427" s="68"/>
      <c r="D427" s="70"/>
      <c r="E427" s="71"/>
      <c r="F427" s="71"/>
      <c r="G427" s="58"/>
      <c r="H427" s="58"/>
    </row>
    <row r="428" spans="1:8" ht="13.5">
      <c r="A428" s="65"/>
      <c r="B428" s="65"/>
      <c r="C428" s="65"/>
      <c r="D428" s="66"/>
      <c r="E428" s="67"/>
      <c r="F428" s="67"/>
      <c r="G428" s="58"/>
      <c r="H428" s="58"/>
    </row>
    <row r="429" spans="1:8" ht="14.25">
      <c r="A429" s="68"/>
      <c r="B429" s="69"/>
      <c r="C429" s="68"/>
      <c r="D429" s="70"/>
      <c r="E429" s="71"/>
      <c r="F429" s="71"/>
      <c r="G429" s="58"/>
      <c r="H429" s="58"/>
    </row>
    <row r="430" spans="1:8" ht="14.25">
      <c r="A430" s="68"/>
      <c r="B430" s="69"/>
      <c r="C430" s="68"/>
      <c r="D430" s="70"/>
      <c r="E430" s="71"/>
      <c r="F430" s="71"/>
      <c r="G430" s="58"/>
      <c r="H430" s="58"/>
    </row>
    <row r="431" spans="1:8" ht="14.25">
      <c r="A431" s="68"/>
      <c r="B431" s="69"/>
      <c r="C431" s="68"/>
      <c r="D431" s="70"/>
      <c r="E431" s="71"/>
      <c r="F431" s="71"/>
      <c r="G431" s="58"/>
      <c r="H431" s="58"/>
    </row>
    <row r="432" spans="1:8" ht="14.25">
      <c r="A432" s="68"/>
      <c r="B432" s="69"/>
      <c r="C432" s="68"/>
      <c r="D432" s="70"/>
      <c r="E432" s="71"/>
      <c r="F432" s="71"/>
      <c r="G432" s="58"/>
      <c r="H432" s="58"/>
    </row>
    <row r="433" spans="1:8" ht="13.5">
      <c r="A433" s="65"/>
      <c r="B433" s="65"/>
      <c r="C433" s="65"/>
      <c r="D433" s="66"/>
      <c r="E433" s="67"/>
      <c r="F433" s="67"/>
      <c r="G433" s="58"/>
      <c r="H433" s="58"/>
    </row>
    <row r="434" spans="1:8" ht="14.25">
      <c r="A434" s="68"/>
      <c r="B434" s="69"/>
      <c r="C434" s="68"/>
      <c r="D434" s="70"/>
      <c r="E434" s="71"/>
      <c r="F434" s="71"/>
      <c r="G434" s="58"/>
      <c r="H434" s="58"/>
    </row>
    <row r="435" spans="1:8" ht="14.25">
      <c r="A435" s="68"/>
      <c r="B435" s="69"/>
      <c r="C435" s="68"/>
      <c r="D435" s="70"/>
      <c r="E435" s="71"/>
      <c r="F435" s="71"/>
      <c r="G435" s="58"/>
      <c r="H435" s="58"/>
    </row>
    <row r="436" spans="1:8" ht="14.25">
      <c r="A436" s="68"/>
      <c r="B436" s="69"/>
      <c r="C436" s="68"/>
      <c r="D436" s="70"/>
      <c r="E436" s="71"/>
      <c r="F436" s="71"/>
      <c r="G436" s="58"/>
      <c r="H436" s="58"/>
    </row>
    <row r="437" spans="1:8" ht="14.25">
      <c r="A437" s="68"/>
      <c r="B437" s="69"/>
      <c r="C437" s="68"/>
      <c r="D437" s="70"/>
      <c r="E437" s="71"/>
      <c r="F437" s="71"/>
      <c r="G437" s="58"/>
      <c r="H437" s="58"/>
    </row>
    <row r="438" spans="1:8" ht="13.5">
      <c r="A438" s="65"/>
      <c r="B438" s="65"/>
      <c r="C438" s="65"/>
      <c r="D438" s="66"/>
      <c r="E438" s="67"/>
      <c r="F438" s="67"/>
      <c r="G438" s="58"/>
      <c r="H438" s="58"/>
    </row>
    <row r="439" spans="1:8" ht="14.25">
      <c r="A439" s="68"/>
      <c r="B439" s="69"/>
      <c r="C439" s="68"/>
      <c r="D439" s="70"/>
      <c r="E439" s="71"/>
      <c r="F439" s="71"/>
      <c r="G439" s="58"/>
      <c r="H439" s="58"/>
    </row>
    <row r="440" spans="1:8" ht="14.25">
      <c r="A440" s="68"/>
      <c r="B440" s="69"/>
      <c r="C440" s="68"/>
      <c r="D440" s="70"/>
      <c r="E440" s="71"/>
      <c r="F440" s="71"/>
      <c r="G440" s="58"/>
      <c r="H440" s="58"/>
    </row>
    <row r="441" spans="1:8" ht="14.25">
      <c r="A441" s="68"/>
      <c r="B441" s="69"/>
      <c r="C441" s="68"/>
      <c r="D441" s="70"/>
      <c r="E441" s="71"/>
      <c r="F441" s="71"/>
      <c r="G441" s="58"/>
      <c r="H441" s="58"/>
    </row>
    <row r="442" spans="1:8" ht="14.25">
      <c r="A442" s="68"/>
      <c r="B442" s="69"/>
      <c r="C442" s="68"/>
      <c r="D442" s="70"/>
      <c r="E442" s="71"/>
      <c r="F442" s="71"/>
      <c r="G442" s="58"/>
      <c r="H442" s="58"/>
    </row>
    <row r="443" spans="1:8" ht="13.5">
      <c r="A443" s="65"/>
      <c r="B443" s="65"/>
      <c r="C443" s="65"/>
      <c r="D443" s="66"/>
      <c r="E443" s="67"/>
      <c r="F443" s="67"/>
      <c r="G443" s="58"/>
      <c r="H443" s="58"/>
    </row>
    <row r="444" spans="1:8" ht="14.25">
      <c r="A444" s="68"/>
      <c r="B444" s="69"/>
      <c r="C444" s="68"/>
      <c r="D444" s="70"/>
      <c r="E444" s="71"/>
      <c r="F444" s="71"/>
      <c r="G444" s="58"/>
      <c r="H444" s="58"/>
    </row>
    <row r="445" spans="1:8" ht="14.25">
      <c r="A445" s="68"/>
      <c r="B445" s="69"/>
      <c r="C445" s="68"/>
      <c r="D445" s="70"/>
      <c r="E445" s="71"/>
      <c r="F445" s="71"/>
      <c r="G445" s="58"/>
      <c r="H445" s="58"/>
    </row>
    <row r="446" spans="1:8" ht="14.25">
      <c r="A446" s="68"/>
      <c r="B446" s="69"/>
      <c r="C446" s="68"/>
      <c r="D446" s="70"/>
      <c r="E446" s="71"/>
      <c r="F446" s="71"/>
      <c r="G446" s="58"/>
      <c r="H446" s="58"/>
    </row>
    <row r="447" spans="1:8" ht="14.25">
      <c r="A447" s="68"/>
      <c r="B447" s="69"/>
      <c r="C447" s="68"/>
      <c r="D447" s="70"/>
      <c r="E447" s="71"/>
      <c r="F447" s="71"/>
      <c r="G447" s="58"/>
      <c r="H447" s="58"/>
    </row>
    <row r="448" spans="1:8" ht="13.5">
      <c r="A448" s="65"/>
      <c r="B448" s="65"/>
      <c r="C448" s="65"/>
      <c r="D448" s="66"/>
      <c r="E448" s="67"/>
      <c r="F448" s="67"/>
      <c r="G448" s="58"/>
      <c r="H448" s="58"/>
    </row>
    <row r="449" spans="1:8" ht="14.25">
      <c r="A449" s="68"/>
      <c r="B449" s="69"/>
      <c r="C449" s="68"/>
      <c r="D449" s="70"/>
      <c r="E449" s="71"/>
      <c r="F449" s="71"/>
      <c r="G449" s="58"/>
      <c r="H449" s="58"/>
    </row>
    <row r="450" spans="1:8" ht="14.25">
      <c r="A450" s="68"/>
      <c r="B450" s="69"/>
      <c r="C450" s="68"/>
      <c r="D450" s="70"/>
      <c r="E450" s="71"/>
      <c r="F450" s="71"/>
      <c r="G450" s="58"/>
      <c r="H450" s="58"/>
    </row>
    <row r="451" spans="1:8" ht="14.25">
      <c r="A451" s="68"/>
      <c r="B451" s="69"/>
      <c r="C451" s="68"/>
      <c r="D451" s="70"/>
      <c r="E451" s="71"/>
      <c r="F451" s="71"/>
      <c r="G451" s="58"/>
      <c r="H451" s="58"/>
    </row>
    <row r="452" spans="1:8" ht="14.25">
      <c r="A452" s="68"/>
      <c r="B452" s="69"/>
      <c r="C452" s="68"/>
      <c r="D452" s="70"/>
      <c r="E452" s="71"/>
      <c r="F452" s="71"/>
      <c r="G452" s="58"/>
      <c r="H452" s="58"/>
    </row>
    <row r="453" spans="1:8" ht="13.5">
      <c r="A453" s="65"/>
      <c r="B453" s="65"/>
      <c r="C453" s="65"/>
      <c r="D453" s="66"/>
      <c r="E453" s="67"/>
      <c r="F453" s="67"/>
      <c r="G453" s="58"/>
      <c r="H453" s="58"/>
    </row>
    <row r="454" spans="1:8" ht="14.25">
      <c r="A454" s="68"/>
      <c r="B454" s="69"/>
      <c r="C454" s="68"/>
      <c r="D454" s="70"/>
      <c r="E454" s="71"/>
      <c r="F454" s="71"/>
      <c r="G454" s="58"/>
      <c r="H454" s="58"/>
    </row>
    <row r="455" spans="1:8" ht="14.25">
      <c r="A455" s="68"/>
      <c r="B455" s="69"/>
      <c r="C455" s="68"/>
      <c r="D455" s="70"/>
      <c r="E455" s="71"/>
      <c r="F455" s="71"/>
      <c r="G455" s="58"/>
      <c r="H455" s="58"/>
    </row>
    <row r="456" spans="1:8" ht="14.25">
      <c r="A456" s="68"/>
      <c r="B456" s="69"/>
      <c r="C456" s="68"/>
      <c r="D456" s="70"/>
      <c r="E456" s="71"/>
      <c r="F456" s="71"/>
      <c r="G456" s="58"/>
      <c r="H456" s="58"/>
    </row>
    <row r="457" spans="1:8" ht="14.25">
      <c r="A457" s="68"/>
      <c r="B457" s="69"/>
      <c r="C457" s="68"/>
      <c r="D457" s="70"/>
      <c r="E457" s="71"/>
      <c r="F457" s="71"/>
      <c r="G457" s="58"/>
      <c r="H457" s="58"/>
    </row>
    <row r="458" spans="1:8" ht="13.5">
      <c r="A458" s="65"/>
      <c r="B458" s="65"/>
      <c r="C458" s="65"/>
      <c r="D458" s="66"/>
      <c r="E458" s="67"/>
      <c r="F458" s="67"/>
      <c r="G458" s="58"/>
      <c r="H458" s="58"/>
    </row>
    <row r="459" spans="1:8" ht="14.25">
      <c r="A459" s="68"/>
      <c r="B459" s="69"/>
      <c r="C459" s="68"/>
      <c r="D459" s="70"/>
      <c r="E459" s="71"/>
      <c r="F459" s="71"/>
      <c r="G459" s="58"/>
      <c r="H459" s="58"/>
    </row>
    <row r="460" spans="1:8" ht="14.25">
      <c r="A460" s="68"/>
      <c r="B460" s="69"/>
      <c r="C460" s="68"/>
      <c r="D460" s="70"/>
      <c r="E460" s="71"/>
      <c r="F460" s="71"/>
      <c r="G460" s="58"/>
      <c r="H460" s="58"/>
    </row>
    <row r="461" spans="1:8" ht="14.25">
      <c r="A461" s="68"/>
      <c r="B461" s="69"/>
      <c r="C461" s="68"/>
      <c r="D461" s="70"/>
      <c r="E461" s="71"/>
      <c r="F461" s="71"/>
      <c r="G461" s="58"/>
      <c r="H461" s="58"/>
    </row>
    <row r="462" spans="1:8" ht="14.25">
      <c r="A462" s="68"/>
      <c r="B462" s="69"/>
      <c r="C462" s="68"/>
      <c r="D462" s="70"/>
      <c r="E462" s="71"/>
      <c r="F462" s="71"/>
      <c r="G462" s="58"/>
      <c r="H462" s="58"/>
    </row>
    <row r="463" spans="1:8" ht="13.5">
      <c r="A463" s="65"/>
      <c r="B463" s="65"/>
      <c r="C463" s="65"/>
      <c r="D463" s="66"/>
      <c r="E463" s="67"/>
      <c r="F463" s="67"/>
      <c r="G463" s="58"/>
      <c r="H463" s="58"/>
    </row>
    <row r="464" spans="1:8" ht="14.25">
      <c r="A464" s="68"/>
      <c r="B464" s="69"/>
      <c r="C464" s="68"/>
      <c r="D464" s="70"/>
      <c r="E464" s="71"/>
      <c r="F464" s="71"/>
      <c r="G464" s="58"/>
      <c r="H464" s="58"/>
    </row>
    <row r="465" spans="1:8" ht="14.25">
      <c r="A465" s="68"/>
      <c r="B465" s="69"/>
      <c r="C465" s="68"/>
      <c r="D465" s="70"/>
      <c r="E465" s="71"/>
      <c r="F465" s="71"/>
      <c r="G465" s="58"/>
      <c r="H465" s="58"/>
    </row>
    <row r="466" spans="1:8" ht="14.25">
      <c r="A466" s="68"/>
      <c r="B466" s="69"/>
      <c r="C466" s="68"/>
      <c r="D466" s="70"/>
      <c r="E466" s="71"/>
      <c r="F466" s="71"/>
      <c r="G466" s="58"/>
      <c r="H466" s="58"/>
    </row>
    <row r="467" spans="1:8" ht="14.25">
      <c r="A467" s="68"/>
      <c r="B467" s="69"/>
      <c r="C467" s="68"/>
      <c r="D467" s="70"/>
      <c r="E467" s="71"/>
      <c r="F467" s="71"/>
      <c r="G467" s="58"/>
      <c r="H467" s="58"/>
    </row>
    <row r="468" spans="1:8" ht="13.5">
      <c r="A468" s="65"/>
      <c r="B468" s="65"/>
      <c r="C468" s="65"/>
      <c r="D468" s="66"/>
      <c r="E468" s="67"/>
      <c r="F468" s="67"/>
      <c r="G468" s="58"/>
      <c r="H468" s="58"/>
    </row>
    <row r="469" spans="1:8" ht="14.25">
      <c r="A469" s="68"/>
      <c r="B469" s="69"/>
      <c r="C469" s="68"/>
      <c r="D469" s="70"/>
      <c r="E469" s="71"/>
      <c r="F469" s="71"/>
      <c r="G469" s="58"/>
      <c r="H469" s="58"/>
    </row>
    <row r="470" spans="1:8" ht="14.25">
      <c r="A470" s="68"/>
      <c r="B470" s="69"/>
      <c r="C470" s="68"/>
      <c r="D470" s="70"/>
      <c r="E470" s="71"/>
      <c r="F470" s="71"/>
      <c r="G470" s="58"/>
      <c r="H470" s="58"/>
    </row>
    <row r="471" spans="1:8" ht="14.25">
      <c r="A471" s="68"/>
      <c r="B471" s="69"/>
      <c r="C471" s="68"/>
      <c r="D471" s="70"/>
      <c r="E471" s="71"/>
      <c r="F471" s="71"/>
      <c r="G471" s="58"/>
      <c r="H471" s="58"/>
    </row>
    <row r="472" spans="1:8" ht="14.25">
      <c r="A472" s="68"/>
      <c r="B472" s="69"/>
      <c r="C472" s="68"/>
      <c r="D472" s="70"/>
      <c r="E472" s="71"/>
      <c r="F472" s="71"/>
      <c r="G472" s="58"/>
      <c r="H472" s="58"/>
    </row>
    <row r="473" spans="1:8" ht="13.5">
      <c r="A473" s="65"/>
      <c r="B473" s="65"/>
      <c r="C473" s="65"/>
      <c r="D473" s="66"/>
      <c r="E473" s="67"/>
      <c r="F473" s="67"/>
      <c r="G473" s="58"/>
      <c r="H473" s="58"/>
    </row>
    <row r="474" spans="1:8" ht="14.25">
      <c r="A474" s="68"/>
      <c r="B474" s="69"/>
      <c r="C474" s="68"/>
      <c r="D474" s="70"/>
      <c r="E474" s="71"/>
      <c r="F474" s="71"/>
      <c r="G474" s="58"/>
      <c r="H474" s="58"/>
    </row>
    <row r="475" spans="1:8" ht="14.25">
      <c r="A475" s="68"/>
      <c r="B475" s="69"/>
      <c r="C475" s="68"/>
      <c r="D475" s="70"/>
      <c r="E475" s="71"/>
      <c r="F475" s="71"/>
      <c r="G475" s="58"/>
      <c r="H475" s="58"/>
    </row>
    <row r="476" spans="1:8" ht="14.25">
      <c r="A476" s="68"/>
      <c r="B476" s="69"/>
      <c r="C476" s="68"/>
      <c r="D476" s="70"/>
      <c r="E476" s="71"/>
      <c r="F476" s="71"/>
      <c r="G476" s="58"/>
      <c r="H476" s="58"/>
    </row>
    <row r="477" spans="1:8" ht="14.25">
      <c r="A477" s="68"/>
      <c r="B477" s="69"/>
      <c r="C477" s="68"/>
      <c r="D477" s="70"/>
      <c r="E477" s="71"/>
      <c r="F477" s="71"/>
      <c r="G477" s="58"/>
      <c r="H477" s="58"/>
    </row>
    <row r="478" spans="1:8" ht="13.5">
      <c r="A478" s="65"/>
      <c r="B478" s="65"/>
      <c r="C478" s="65"/>
      <c r="D478" s="66"/>
      <c r="E478" s="67"/>
      <c r="F478" s="67"/>
      <c r="G478" s="58"/>
      <c r="H478" s="58"/>
    </row>
    <row r="479" spans="1:8" ht="14.25">
      <c r="A479" s="68"/>
      <c r="B479" s="69"/>
      <c r="C479" s="68"/>
      <c r="D479" s="70"/>
      <c r="E479" s="71"/>
      <c r="F479" s="71"/>
      <c r="G479" s="58"/>
      <c r="H479" s="58"/>
    </row>
    <row r="480" spans="1:8" ht="14.25">
      <c r="A480" s="68"/>
      <c r="B480" s="69"/>
      <c r="C480" s="68"/>
      <c r="D480" s="70"/>
      <c r="E480" s="71"/>
      <c r="F480" s="71"/>
      <c r="G480" s="58"/>
      <c r="H480" s="58"/>
    </row>
    <row r="481" spans="1:8" ht="14.25">
      <c r="A481" s="68"/>
      <c r="B481" s="69"/>
      <c r="C481" s="68"/>
      <c r="D481" s="70"/>
      <c r="E481" s="71"/>
      <c r="F481" s="71"/>
      <c r="G481" s="58"/>
      <c r="H481" s="58"/>
    </row>
    <row r="482" spans="1:8" ht="14.25">
      <c r="A482" s="68"/>
      <c r="B482" s="69"/>
      <c r="C482" s="68"/>
      <c r="D482" s="70"/>
      <c r="E482" s="71"/>
      <c r="F482" s="71"/>
      <c r="G482" s="58"/>
      <c r="H482" s="58"/>
    </row>
    <row r="483" spans="1:8" ht="13.5">
      <c r="A483" s="65"/>
      <c r="B483" s="65"/>
      <c r="C483" s="65"/>
      <c r="D483" s="66"/>
      <c r="E483" s="67"/>
      <c r="F483" s="67"/>
      <c r="G483" s="58"/>
      <c r="H483" s="58"/>
    </row>
    <row r="484" spans="1:8" ht="14.25">
      <c r="A484" s="68"/>
      <c r="B484" s="69"/>
      <c r="C484" s="68"/>
      <c r="D484" s="70"/>
      <c r="E484" s="71"/>
      <c r="F484" s="71"/>
      <c r="G484" s="58"/>
      <c r="H484" s="58"/>
    </row>
    <row r="485" spans="1:8" ht="14.25">
      <c r="A485" s="68"/>
      <c r="B485" s="69"/>
      <c r="C485" s="68"/>
      <c r="D485" s="70"/>
      <c r="E485" s="71"/>
      <c r="F485" s="71"/>
      <c r="G485" s="58"/>
      <c r="H485" s="58"/>
    </row>
    <row r="486" spans="1:8" ht="14.25">
      <c r="A486" s="68"/>
      <c r="B486" s="69"/>
      <c r="C486" s="68"/>
      <c r="D486" s="70"/>
      <c r="E486" s="71"/>
      <c r="F486" s="71"/>
      <c r="G486" s="58"/>
      <c r="H486" s="58"/>
    </row>
    <row r="487" spans="1:8" ht="14.25">
      <c r="A487" s="68"/>
      <c r="B487" s="69"/>
      <c r="C487" s="68"/>
      <c r="D487" s="70"/>
      <c r="E487" s="71"/>
      <c r="F487" s="71"/>
      <c r="G487" s="58"/>
      <c r="H487" s="58"/>
    </row>
    <row r="488" spans="1:8" ht="13.5">
      <c r="A488" s="65"/>
      <c r="B488" s="65"/>
      <c r="C488" s="65"/>
      <c r="D488" s="66"/>
      <c r="E488" s="67"/>
      <c r="F488" s="67"/>
      <c r="G488" s="58"/>
      <c r="H488" s="58"/>
    </row>
    <row r="489" spans="1:8" ht="14.25">
      <c r="A489" s="68"/>
      <c r="B489" s="69"/>
      <c r="C489" s="68"/>
      <c r="D489" s="70"/>
      <c r="E489" s="71"/>
      <c r="F489" s="71"/>
      <c r="G489" s="58"/>
      <c r="H489" s="58"/>
    </row>
    <row r="490" spans="1:8" ht="14.25">
      <c r="A490" s="68"/>
      <c r="B490" s="69"/>
      <c r="C490" s="68"/>
      <c r="D490" s="70"/>
      <c r="E490" s="71"/>
      <c r="F490" s="71"/>
      <c r="G490" s="58"/>
      <c r="H490" s="58"/>
    </row>
    <row r="491" spans="1:8" ht="14.25">
      <c r="A491" s="68"/>
      <c r="B491" s="69"/>
      <c r="C491" s="68"/>
      <c r="D491" s="70"/>
      <c r="E491" s="71"/>
      <c r="F491" s="71"/>
      <c r="G491" s="58"/>
      <c r="H491" s="58"/>
    </row>
    <row r="492" spans="1:8" ht="14.25">
      <c r="A492" s="68"/>
      <c r="B492" s="69"/>
      <c r="C492" s="68"/>
      <c r="D492" s="70"/>
      <c r="E492" s="71"/>
      <c r="F492" s="71"/>
      <c r="G492" s="58"/>
      <c r="H492" s="58"/>
    </row>
    <row r="493" spans="1:8" ht="13.5">
      <c r="A493" s="65"/>
      <c r="B493" s="65"/>
      <c r="C493" s="65"/>
      <c r="D493" s="66"/>
      <c r="E493" s="67"/>
      <c r="F493" s="67"/>
      <c r="G493" s="58"/>
      <c r="H493" s="58"/>
    </row>
    <row r="494" spans="1:8" ht="14.25">
      <c r="A494" s="68"/>
      <c r="B494" s="69"/>
      <c r="C494" s="68"/>
      <c r="D494" s="70"/>
      <c r="E494" s="71"/>
      <c r="F494" s="71"/>
      <c r="G494" s="58"/>
      <c r="H494" s="58"/>
    </row>
    <row r="495" spans="1:8" ht="14.25">
      <c r="A495" s="68"/>
      <c r="B495" s="69"/>
      <c r="C495" s="68"/>
      <c r="D495" s="70"/>
      <c r="E495" s="71"/>
      <c r="F495" s="71"/>
      <c r="G495" s="58"/>
      <c r="H495" s="58"/>
    </row>
    <row r="496" spans="1:8" ht="14.25">
      <c r="A496" s="68"/>
      <c r="B496" s="69"/>
      <c r="C496" s="68"/>
      <c r="D496" s="70"/>
      <c r="E496" s="71"/>
      <c r="F496" s="71"/>
      <c r="G496" s="58"/>
      <c r="H496" s="58"/>
    </row>
    <row r="497" spans="1:8" ht="14.25">
      <c r="A497" s="68"/>
      <c r="B497" s="69"/>
      <c r="C497" s="68"/>
      <c r="D497" s="70"/>
      <c r="E497" s="71"/>
      <c r="F497" s="71"/>
      <c r="G497" s="58"/>
      <c r="H497" s="58"/>
    </row>
    <row r="498" spans="1:8" ht="13.5">
      <c r="A498" s="65"/>
      <c r="B498" s="65"/>
      <c r="C498" s="65"/>
      <c r="D498" s="66"/>
      <c r="E498" s="67"/>
      <c r="F498" s="67"/>
      <c r="G498" s="58"/>
      <c r="H498" s="58"/>
    </row>
    <row r="499" spans="1:8" ht="14.25">
      <c r="A499" s="68"/>
      <c r="B499" s="69"/>
      <c r="C499" s="68"/>
      <c r="D499" s="70"/>
      <c r="E499" s="71"/>
      <c r="F499" s="71"/>
      <c r="G499" s="58"/>
      <c r="H499" s="58"/>
    </row>
    <row r="500" spans="1:8" ht="14.25">
      <c r="A500" s="68"/>
      <c r="B500" s="69"/>
      <c r="C500" s="68"/>
      <c r="D500" s="70"/>
      <c r="E500" s="71"/>
      <c r="F500" s="71"/>
      <c r="G500" s="58"/>
      <c r="H500" s="58"/>
    </row>
    <row r="501" spans="1:8" ht="14.25">
      <c r="A501" s="68"/>
      <c r="B501" s="69"/>
      <c r="C501" s="68"/>
      <c r="D501" s="70"/>
      <c r="E501" s="71"/>
      <c r="F501" s="71"/>
      <c r="G501" s="58"/>
      <c r="H501" s="58"/>
    </row>
    <row r="502" spans="1:8" ht="14.25">
      <c r="A502" s="68"/>
      <c r="B502" s="69"/>
      <c r="C502" s="68"/>
      <c r="D502" s="70"/>
      <c r="E502" s="71"/>
      <c r="F502" s="71"/>
      <c r="G502" s="58"/>
      <c r="H502" s="58"/>
    </row>
    <row r="503" spans="1:8" ht="13.5">
      <c r="A503" s="65"/>
      <c r="B503" s="65"/>
      <c r="C503" s="65"/>
      <c r="D503" s="66"/>
      <c r="E503" s="67"/>
      <c r="F503" s="67"/>
      <c r="G503" s="58"/>
      <c r="H503" s="58"/>
    </row>
    <row r="504" spans="1:8" ht="14.25">
      <c r="A504" s="68"/>
      <c r="B504" s="69"/>
      <c r="C504" s="68"/>
      <c r="D504" s="70"/>
      <c r="E504" s="71"/>
      <c r="F504" s="71"/>
      <c r="G504" s="58"/>
      <c r="H504" s="58"/>
    </row>
    <row r="505" spans="1:8" ht="14.25">
      <c r="A505" s="68"/>
      <c r="B505" s="69"/>
      <c r="C505" s="68"/>
      <c r="D505" s="70"/>
      <c r="E505" s="71"/>
      <c r="F505" s="71"/>
      <c r="G505" s="58"/>
      <c r="H505" s="58"/>
    </row>
    <row r="506" spans="1:8" ht="14.25">
      <c r="A506" s="68"/>
      <c r="B506" s="69"/>
      <c r="C506" s="68"/>
      <c r="D506" s="70"/>
      <c r="E506" s="71"/>
      <c r="F506" s="71"/>
      <c r="G506" s="58"/>
      <c r="H506" s="58"/>
    </row>
    <row r="507" spans="1:8" ht="14.25">
      <c r="A507" s="68"/>
      <c r="B507" s="69"/>
      <c r="C507" s="68"/>
      <c r="D507" s="70"/>
      <c r="E507" s="71"/>
      <c r="F507" s="71"/>
      <c r="G507" s="58"/>
      <c r="H507" s="58"/>
    </row>
    <row r="508" spans="1:8" ht="13.5">
      <c r="A508" s="65"/>
      <c r="B508" s="65"/>
      <c r="C508" s="65"/>
      <c r="D508" s="66"/>
      <c r="E508" s="67"/>
      <c r="F508" s="67"/>
      <c r="G508" s="58"/>
      <c r="H508" s="58"/>
    </row>
    <row r="509" spans="1:8" ht="14.25">
      <c r="A509" s="68"/>
      <c r="B509" s="69"/>
      <c r="C509" s="68"/>
      <c r="D509" s="70"/>
      <c r="E509" s="71"/>
      <c r="F509" s="71"/>
      <c r="G509" s="58"/>
      <c r="H509" s="58"/>
    </row>
    <row r="510" spans="1:8" ht="14.25">
      <c r="A510" s="68"/>
      <c r="B510" s="69"/>
      <c r="C510" s="68"/>
      <c r="D510" s="70"/>
      <c r="E510" s="71"/>
      <c r="F510" s="71"/>
      <c r="G510" s="58"/>
      <c r="H510" s="58"/>
    </row>
    <row r="511" spans="1:8" ht="14.25">
      <c r="A511" s="68"/>
      <c r="B511" s="69"/>
      <c r="C511" s="68"/>
      <c r="D511" s="70"/>
      <c r="E511" s="71"/>
      <c r="F511" s="71"/>
      <c r="G511" s="58"/>
      <c r="H511" s="58"/>
    </row>
    <row r="512" spans="1:8" ht="14.25">
      <c r="A512" s="68"/>
      <c r="B512" s="69"/>
      <c r="C512" s="68"/>
      <c r="D512" s="70"/>
      <c r="E512" s="71"/>
      <c r="F512" s="71"/>
      <c r="G512" s="58"/>
      <c r="H512" s="58"/>
    </row>
    <row r="513" spans="1:8" ht="13.5">
      <c r="A513" s="65"/>
      <c r="B513" s="65"/>
      <c r="C513" s="65"/>
      <c r="D513" s="66"/>
      <c r="E513" s="67"/>
      <c r="F513" s="67"/>
      <c r="G513" s="58"/>
      <c r="H513" s="58"/>
    </row>
    <row r="514" spans="1:8" ht="14.25">
      <c r="A514" s="68"/>
      <c r="B514" s="69"/>
      <c r="C514" s="68"/>
      <c r="D514" s="70"/>
      <c r="E514" s="71"/>
      <c r="F514" s="71"/>
      <c r="G514" s="58"/>
      <c r="H514" s="58"/>
    </row>
    <row r="515" spans="1:8" ht="14.25">
      <c r="A515" s="68"/>
      <c r="B515" s="69"/>
      <c r="C515" s="68"/>
      <c r="D515" s="70"/>
      <c r="E515" s="71"/>
      <c r="F515" s="71"/>
      <c r="G515" s="58"/>
      <c r="H515" s="58"/>
    </row>
    <row r="516" spans="1:8" ht="14.25">
      <c r="A516" s="68"/>
      <c r="B516" s="69"/>
      <c r="C516" s="68"/>
      <c r="D516" s="70"/>
      <c r="E516" s="71"/>
      <c r="F516" s="71"/>
      <c r="G516" s="58"/>
      <c r="H516" s="58"/>
    </row>
    <row r="517" spans="1:8" ht="14.25">
      <c r="A517" s="68"/>
      <c r="B517" s="69"/>
      <c r="C517" s="68"/>
      <c r="D517" s="70"/>
      <c r="E517" s="71"/>
      <c r="F517" s="71"/>
      <c r="G517" s="58"/>
      <c r="H517" s="58"/>
    </row>
    <row r="518" spans="1:8" ht="13.5">
      <c r="A518" s="65"/>
      <c r="B518" s="65"/>
      <c r="C518" s="65"/>
      <c r="D518" s="66"/>
      <c r="E518" s="67"/>
      <c r="F518" s="67"/>
      <c r="G518" s="58"/>
      <c r="H518" s="58"/>
    </row>
    <row r="519" spans="1:8" ht="14.25">
      <c r="A519" s="68"/>
      <c r="B519" s="69"/>
      <c r="C519" s="68"/>
      <c r="D519" s="70"/>
      <c r="E519" s="71"/>
      <c r="F519" s="71"/>
      <c r="G519" s="58"/>
      <c r="H519" s="58"/>
    </row>
    <row r="520" spans="1:8" ht="14.25">
      <c r="A520" s="68"/>
      <c r="B520" s="69"/>
      <c r="C520" s="68"/>
      <c r="D520" s="70"/>
      <c r="E520" s="71"/>
      <c r="F520" s="71"/>
      <c r="G520" s="58"/>
      <c r="H520" s="58"/>
    </row>
    <row r="521" spans="1:8" ht="14.25">
      <c r="A521" s="68"/>
      <c r="B521" s="69"/>
      <c r="C521" s="68"/>
      <c r="D521" s="70"/>
      <c r="E521" s="71"/>
      <c r="F521" s="71"/>
      <c r="G521" s="58"/>
      <c r="H521" s="58"/>
    </row>
    <row r="522" spans="1:8" ht="14.25">
      <c r="A522" s="68"/>
      <c r="B522" s="69"/>
      <c r="C522" s="68"/>
      <c r="D522" s="70"/>
      <c r="E522" s="71"/>
      <c r="F522" s="71"/>
      <c r="G522" s="58"/>
      <c r="H522" s="58"/>
    </row>
    <row r="523" spans="1:8" ht="13.5">
      <c r="A523" s="65"/>
      <c r="B523" s="65"/>
      <c r="C523" s="65"/>
      <c r="D523" s="66"/>
      <c r="E523" s="67"/>
      <c r="F523" s="67"/>
      <c r="G523" s="58"/>
      <c r="H523" s="58"/>
    </row>
    <row r="524" spans="1:8" ht="14.25">
      <c r="A524" s="68"/>
      <c r="B524" s="69"/>
      <c r="C524" s="68"/>
      <c r="D524" s="70"/>
      <c r="E524" s="71"/>
      <c r="F524" s="71"/>
      <c r="G524" s="58"/>
      <c r="H524" s="58"/>
    </row>
    <row r="525" spans="1:8" ht="14.25">
      <c r="A525" s="68"/>
      <c r="B525" s="69"/>
      <c r="C525" s="68"/>
      <c r="D525" s="70"/>
      <c r="E525" s="71"/>
      <c r="F525" s="71"/>
      <c r="G525" s="58"/>
      <c r="H525" s="58"/>
    </row>
    <row r="526" spans="1:8" ht="14.25">
      <c r="A526" s="68"/>
      <c r="B526" s="69"/>
      <c r="C526" s="68"/>
      <c r="D526" s="70"/>
      <c r="E526" s="71"/>
      <c r="F526" s="71"/>
      <c r="G526" s="58"/>
      <c r="H526" s="58"/>
    </row>
    <row r="527" spans="1:8" ht="14.25">
      <c r="A527" s="68"/>
      <c r="B527" s="69"/>
      <c r="C527" s="68"/>
      <c r="D527" s="70"/>
      <c r="E527" s="71"/>
      <c r="F527" s="71"/>
      <c r="G527" s="58"/>
      <c r="H527" s="58"/>
    </row>
    <row r="528" spans="1:8" ht="13.5">
      <c r="A528" s="65"/>
      <c r="B528" s="65"/>
      <c r="C528" s="65"/>
      <c r="D528" s="66"/>
      <c r="E528" s="67"/>
      <c r="F528" s="67"/>
      <c r="G528" s="58"/>
      <c r="H528" s="58"/>
    </row>
    <row r="529" spans="1:8" ht="14.25">
      <c r="A529" s="68"/>
      <c r="B529" s="69"/>
      <c r="C529" s="68"/>
      <c r="D529" s="70"/>
      <c r="E529" s="71"/>
      <c r="F529" s="71"/>
      <c r="G529" s="58"/>
      <c r="H529" s="58"/>
    </row>
    <row r="530" spans="1:8" ht="14.25">
      <c r="A530" s="68"/>
      <c r="B530" s="69"/>
      <c r="C530" s="68"/>
      <c r="D530" s="70"/>
      <c r="E530" s="71"/>
      <c r="F530" s="71"/>
      <c r="G530" s="58"/>
      <c r="H530" s="58"/>
    </row>
    <row r="531" spans="1:8" ht="14.25">
      <c r="A531" s="68"/>
      <c r="B531" s="69"/>
      <c r="C531" s="68"/>
      <c r="D531" s="70"/>
      <c r="E531" s="71"/>
      <c r="F531" s="71"/>
      <c r="G531" s="58"/>
      <c r="H531" s="58"/>
    </row>
    <row r="532" spans="1:8" ht="14.25">
      <c r="A532" s="68"/>
      <c r="B532" s="69"/>
      <c r="C532" s="68"/>
      <c r="D532" s="70"/>
      <c r="E532" s="71"/>
      <c r="F532" s="71"/>
      <c r="G532" s="58"/>
      <c r="H532" s="58"/>
    </row>
    <row r="533" spans="1:8" ht="13.5">
      <c r="A533" s="65"/>
      <c r="B533" s="65"/>
      <c r="C533" s="65"/>
      <c r="D533" s="66"/>
      <c r="E533" s="67"/>
      <c r="F533" s="67"/>
      <c r="G533" s="58"/>
      <c r="H533" s="58"/>
    </row>
    <row r="534" spans="1:8" ht="14.25">
      <c r="A534" s="68"/>
      <c r="B534" s="69"/>
      <c r="C534" s="68"/>
      <c r="D534" s="70"/>
      <c r="E534" s="71"/>
      <c r="F534" s="71"/>
      <c r="G534" s="58"/>
      <c r="H534" s="58"/>
    </row>
    <row r="535" spans="1:8" ht="14.25">
      <c r="A535" s="68"/>
      <c r="B535" s="69"/>
      <c r="C535" s="68"/>
      <c r="D535" s="70"/>
      <c r="E535" s="71"/>
      <c r="F535" s="71"/>
      <c r="G535" s="58"/>
      <c r="H535" s="58"/>
    </row>
    <row r="536" spans="1:8" ht="14.25">
      <c r="A536" s="68"/>
      <c r="B536" s="69"/>
      <c r="C536" s="68"/>
      <c r="D536" s="70"/>
      <c r="E536" s="71"/>
      <c r="F536" s="71"/>
      <c r="G536" s="58"/>
      <c r="H536" s="58"/>
    </row>
    <row r="537" spans="1:8" ht="14.25">
      <c r="A537" s="68"/>
      <c r="B537" s="69"/>
      <c r="C537" s="68"/>
      <c r="D537" s="70"/>
      <c r="E537" s="71"/>
      <c r="F537" s="71"/>
      <c r="G537" s="58"/>
      <c r="H537" s="58"/>
    </row>
    <row r="538" spans="1:8" ht="13.5">
      <c r="A538" s="65"/>
      <c r="B538" s="65"/>
      <c r="C538" s="65"/>
      <c r="D538" s="66"/>
      <c r="E538" s="67"/>
      <c r="F538" s="67"/>
      <c r="G538" s="58"/>
      <c r="H538" s="58"/>
    </row>
    <row r="539" spans="1:8" ht="14.25">
      <c r="A539" s="68"/>
      <c r="B539" s="69"/>
      <c r="C539" s="68"/>
      <c r="D539" s="70"/>
      <c r="E539" s="71"/>
      <c r="F539" s="71"/>
      <c r="G539" s="58"/>
      <c r="H539" s="58"/>
    </row>
    <row r="540" spans="1:8" ht="14.25">
      <c r="A540" s="68"/>
      <c r="B540" s="69"/>
      <c r="C540" s="68"/>
      <c r="D540" s="70"/>
      <c r="E540" s="71"/>
      <c r="F540" s="71"/>
      <c r="G540" s="58"/>
      <c r="H540" s="58"/>
    </row>
    <row r="541" spans="1:8" ht="14.25">
      <c r="A541" s="68"/>
      <c r="B541" s="69"/>
      <c r="C541" s="68"/>
      <c r="D541" s="70"/>
      <c r="E541" s="71"/>
      <c r="F541" s="71"/>
      <c r="G541" s="58"/>
      <c r="H541" s="58"/>
    </row>
    <row r="542" spans="1:8" ht="14.25">
      <c r="A542" s="68"/>
      <c r="B542" s="69"/>
      <c r="C542" s="68"/>
      <c r="D542" s="70"/>
      <c r="E542" s="71"/>
      <c r="F542" s="71"/>
      <c r="G542" s="58"/>
      <c r="H542" s="58"/>
    </row>
    <row r="543" spans="1:8" ht="13.5">
      <c r="A543" s="65"/>
      <c r="B543" s="65"/>
      <c r="C543" s="65"/>
      <c r="D543" s="66"/>
      <c r="E543" s="67"/>
      <c r="F543" s="67"/>
      <c r="G543" s="58"/>
      <c r="H543" s="58"/>
    </row>
    <row r="544" spans="1:8" ht="14.25">
      <c r="A544" s="68"/>
      <c r="B544" s="69"/>
      <c r="C544" s="68"/>
      <c r="D544" s="70"/>
      <c r="E544" s="71"/>
      <c r="F544" s="71"/>
      <c r="G544" s="58"/>
      <c r="H544" s="58"/>
    </row>
    <row r="545" spans="1:8" ht="14.25">
      <c r="A545" s="68"/>
      <c r="B545" s="69"/>
      <c r="C545" s="68"/>
      <c r="D545" s="70"/>
      <c r="E545" s="71"/>
      <c r="F545" s="71"/>
      <c r="G545" s="58"/>
      <c r="H545" s="58"/>
    </row>
    <row r="546" spans="1:8" ht="14.25">
      <c r="A546" s="68"/>
      <c r="B546" s="69"/>
      <c r="C546" s="68"/>
      <c r="D546" s="70"/>
      <c r="E546" s="71"/>
      <c r="F546" s="71"/>
      <c r="G546" s="58"/>
      <c r="H546" s="58"/>
    </row>
    <row r="547" spans="1:8" ht="14.25">
      <c r="A547" s="68"/>
      <c r="B547" s="69"/>
      <c r="C547" s="68"/>
      <c r="D547" s="70"/>
      <c r="E547" s="71"/>
      <c r="F547" s="71"/>
      <c r="G547" s="58"/>
      <c r="H547" s="58"/>
    </row>
    <row r="548" spans="1:8" ht="13.5">
      <c r="A548" s="65"/>
      <c r="B548" s="65"/>
      <c r="C548" s="65"/>
      <c r="D548" s="66"/>
      <c r="E548" s="67"/>
      <c r="F548" s="67"/>
      <c r="G548" s="58"/>
      <c r="H548" s="58"/>
    </row>
    <row r="549" spans="1:8" ht="14.25">
      <c r="A549" s="68"/>
      <c r="B549" s="69"/>
      <c r="C549" s="68"/>
      <c r="D549" s="70"/>
      <c r="E549" s="71"/>
      <c r="F549" s="71"/>
      <c r="G549" s="58"/>
      <c r="H549" s="58"/>
    </row>
    <row r="550" spans="1:8" ht="14.25">
      <c r="A550" s="68"/>
      <c r="B550" s="69"/>
      <c r="C550" s="68"/>
      <c r="D550" s="70"/>
      <c r="E550" s="71"/>
      <c r="F550" s="71"/>
      <c r="G550" s="58"/>
      <c r="H550" s="58"/>
    </row>
    <row r="551" spans="1:8" ht="14.25">
      <c r="A551" s="68"/>
      <c r="B551" s="69"/>
      <c r="C551" s="68"/>
      <c r="D551" s="70"/>
      <c r="E551" s="71"/>
      <c r="F551" s="71"/>
      <c r="G551" s="58"/>
      <c r="H551" s="58"/>
    </row>
    <row r="552" spans="1:8" ht="14.25">
      <c r="A552" s="68"/>
      <c r="B552" s="69"/>
      <c r="C552" s="68"/>
      <c r="D552" s="70"/>
      <c r="E552" s="71"/>
      <c r="F552" s="71"/>
      <c r="G552" s="58"/>
      <c r="H552" s="58"/>
    </row>
    <row r="553" spans="1:8" ht="13.5">
      <c r="A553" s="65"/>
      <c r="B553" s="65"/>
      <c r="C553" s="65"/>
      <c r="D553" s="66"/>
      <c r="E553" s="67"/>
      <c r="F553" s="67"/>
      <c r="G553" s="58"/>
      <c r="H553" s="58"/>
    </row>
    <row r="554" spans="1:8" ht="14.25">
      <c r="A554" s="68"/>
      <c r="B554" s="69"/>
      <c r="C554" s="68"/>
      <c r="D554" s="70"/>
      <c r="E554" s="71"/>
      <c r="F554" s="71"/>
      <c r="G554" s="58"/>
      <c r="H554" s="58"/>
    </row>
    <row r="555" spans="1:8" ht="14.25">
      <c r="A555" s="68"/>
      <c r="B555" s="69"/>
      <c r="C555" s="68"/>
      <c r="D555" s="70"/>
      <c r="E555" s="71"/>
      <c r="F555" s="71"/>
      <c r="G555" s="58"/>
      <c r="H555" s="58"/>
    </row>
    <row r="556" spans="1:8" ht="14.25">
      <c r="A556" s="68"/>
      <c r="B556" s="69"/>
      <c r="C556" s="68"/>
      <c r="D556" s="70"/>
      <c r="E556" s="71"/>
      <c r="F556" s="71"/>
      <c r="G556" s="58"/>
      <c r="H556" s="58"/>
    </row>
    <row r="557" spans="1:8" ht="14.25">
      <c r="A557" s="68"/>
      <c r="B557" s="69"/>
      <c r="C557" s="68"/>
      <c r="D557" s="70"/>
      <c r="E557" s="71"/>
      <c r="F557" s="71"/>
      <c r="G557" s="58"/>
      <c r="H557" s="58"/>
    </row>
    <row r="558" spans="1:8" ht="13.5">
      <c r="A558" s="65"/>
      <c r="B558" s="65"/>
      <c r="C558" s="65"/>
      <c r="D558" s="66"/>
      <c r="E558" s="67"/>
      <c r="F558" s="67"/>
      <c r="G558" s="58"/>
      <c r="H558" s="58"/>
    </row>
    <row r="559" spans="1:8" ht="14.25">
      <c r="A559" s="68"/>
      <c r="B559" s="69"/>
      <c r="C559" s="68"/>
      <c r="D559" s="70"/>
      <c r="E559" s="71"/>
      <c r="F559" s="71"/>
      <c r="G559" s="58"/>
      <c r="H559" s="58"/>
    </row>
    <row r="560" spans="1:8" ht="14.25">
      <c r="A560" s="68"/>
      <c r="B560" s="69"/>
      <c r="C560" s="68"/>
      <c r="D560" s="70"/>
      <c r="E560" s="71"/>
      <c r="F560" s="71"/>
      <c r="G560" s="58"/>
      <c r="H560" s="58"/>
    </row>
    <row r="561" spans="1:8" ht="14.25">
      <c r="A561" s="68"/>
      <c r="B561" s="69"/>
      <c r="C561" s="68"/>
      <c r="D561" s="70"/>
      <c r="E561" s="71"/>
      <c r="F561" s="71"/>
      <c r="G561" s="58"/>
      <c r="H561" s="58"/>
    </row>
    <row r="562" spans="1:8" ht="14.25">
      <c r="A562" s="68"/>
      <c r="B562" s="69"/>
      <c r="C562" s="68"/>
      <c r="D562" s="70"/>
      <c r="E562" s="71"/>
      <c r="F562" s="71"/>
      <c r="G562" s="58"/>
      <c r="H562" s="58"/>
    </row>
    <row r="563" spans="1:8" ht="13.5">
      <c r="A563" s="65"/>
      <c r="B563" s="65"/>
      <c r="C563" s="65"/>
      <c r="D563" s="66"/>
      <c r="E563" s="67"/>
      <c r="F563" s="67"/>
      <c r="G563" s="58"/>
      <c r="H563" s="58"/>
    </row>
    <row r="564" spans="1:8" ht="14.25">
      <c r="A564" s="68"/>
      <c r="B564" s="69"/>
      <c r="C564" s="68"/>
      <c r="D564" s="70"/>
      <c r="E564" s="71"/>
      <c r="F564" s="71"/>
      <c r="G564" s="58"/>
      <c r="H564" s="58"/>
    </row>
    <row r="565" spans="1:8" ht="14.25">
      <c r="A565" s="68"/>
      <c r="B565" s="69"/>
      <c r="C565" s="68"/>
      <c r="D565" s="70"/>
      <c r="E565" s="71"/>
      <c r="F565" s="71"/>
      <c r="G565" s="58"/>
      <c r="H565" s="58"/>
    </row>
    <row r="566" spans="1:8" ht="14.25">
      <c r="A566" s="68"/>
      <c r="B566" s="69"/>
      <c r="C566" s="68"/>
      <c r="D566" s="70"/>
      <c r="E566" s="71"/>
      <c r="F566" s="71"/>
      <c r="G566" s="58"/>
      <c r="H566" s="58"/>
    </row>
    <row r="567" spans="1:8" ht="14.25">
      <c r="A567" s="68"/>
      <c r="B567" s="69"/>
      <c r="C567" s="68"/>
      <c r="D567" s="70"/>
      <c r="E567" s="71"/>
      <c r="F567" s="71"/>
      <c r="G567" s="58"/>
      <c r="H567" s="58"/>
    </row>
    <row r="568" spans="1:8" ht="13.5">
      <c r="A568" s="65"/>
      <c r="B568" s="65"/>
      <c r="C568" s="65"/>
      <c r="D568" s="66"/>
      <c r="E568" s="67"/>
      <c r="F568" s="67"/>
      <c r="G568" s="58"/>
      <c r="H568" s="58"/>
    </row>
    <row r="569" spans="1:8" ht="14.25">
      <c r="A569" s="68"/>
      <c r="B569" s="69"/>
      <c r="C569" s="68"/>
      <c r="D569" s="70"/>
      <c r="E569" s="71"/>
      <c r="F569" s="71"/>
      <c r="G569" s="58"/>
      <c r="H569" s="58"/>
    </row>
    <row r="570" spans="1:8" ht="14.25">
      <c r="A570" s="68"/>
      <c r="B570" s="69"/>
      <c r="C570" s="68"/>
      <c r="D570" s="70"/>
      <c r="E570" s="71"/>
      <c r="F570" s="71"/>
      <c r="G570" s="58"/>
      <c r="H570" s="58"/>
    </row>
    <row r="571" spans="1:8" ht="14.25">
      <c r="A571" s="68"/>
      <c r="B571" s="69"/>
      <c r="C571" s="68"/>
      <c r="D571" s="70"/>
      <c r="E571" s="71"/>
      <c r="F571" s="71"/>
      <c r="G571" s="58"/>
      <c r="H571" s="58"/>
    </row>
    <row r="572" spans="1:8" ht="14.25">
      <c r="A572" s="68"/>
      <c r="B572" s="69"/>
      <c r="C572" s="68"/>
      <c r="D572" s="70"/>
      <c r="E572" s="71"/>
      <c r="F572" s="71"/>
      <c r="G572" s="58"/>
      <c r="H572" s="58"/>
    </row>
    <row r="573" spans="1:8" ht="13.5">
      <c r="A573" s="65"/>
      <c r="B573" s="65"/>
      <c r="C573" s="65"/>
      <c r="D573" s="66"/>
      <c r="E573" s="67"/>
      <c r="F573" s="67"/>
      <c r="G573" s="58"/>
      <c r="H573" s="58"/>
    </row>
    <row r="574" spans="1:8" ht="14.25">
      <c r="A574" s="68"/>
      <c r="B574" s="69"/>
      <c r="C574" s="68"/>
      <c r="D574" s="70"/>
      <c r="E574" s="71"/>
      <c r="F574" s="71"/>
      <c r="G574" s="58"/>
      <c r="H574" s="58"/>
    </row>
    <row r="575" spans="1:8" ht="14.25">
      <c r="A575" s="68"/>
      <c r="B575" s="69"/>
      <c r="C575" s="68"/>
      <c r="D575" s="70"/>
      <c r="E575" s="71"/>
      <c r="F575" s="71"/>
      <c r="G575" s="58"/>
      <c r="H575" s="58"/>
    </row>
    <row r="576" spans="1:8" ht="14.25">
      <c r="A576" s="68"/>
      <c r="B576" s="69"/>
      <c r="C576" s="68"/>
      <c r="D576" s="70"/>
      <c r="E576" s="71"/>
      <c r="F576" s="71"/>
      <c r="G576" s="58"/>
      <c r="H576" s="58"/>
    </row>
    <row r="577" spans="1:8" ht="14.25">
      <c r="A577" s="68"/>
      <c r="B577" s="69"/>
      <c r="C577" s="68"/>
      <c r="D577" s="70"/>
      <c r="E577" s="71"/>
      <c r="F577" s="71"/>
      <c r="G577" s="58"/>
      <c r="H577" s="58"/>
    </row>
    <row r="578" spans="1:8" ht="13.5">
      <c r="A578" s="65"/>
      <c r="B578" s="65"/>
      <c r="C578" s="65"/>
      <c r="D578" s="66"/>
      <c r="E578" s="67"/>
      <c r="F578" s="67"/>
      <c r="G578" s="58"/>
      <c r="H578" s="58"/>
    </row>
    <row r="579" spans="1:8" ht="14.25">
      <c r="A579" s="68"/>
      <c r="B579" s="69"/>
      <c r="C579" s="68"/>
      <c r="D579" s="70"/>
      <c r="E579" s="71"/>
      <c r="F579" s="71"/>
      <c r="G579" s="58"/>
      <c r="H579" s="58"/>
    </row>
    <row r="580" spans="1:8" ht="14.25">
      <c r="A580" s="68"/>
      <c r="B580" s="69"/>
      <c r="C580" s="68"/>
      <c r="D580" s="70"/>
      <c r="E580" s="71"/>
      <c r="F580" s="71"/>
      <c r="G580" s="58"/>
      <c r="H580" s="58"/>
    </row>
    <row r="581" spans="1:8" ht="14.25">
      <c r="A581" s="68"/>
      <c r="B581" s="69"/>
      <c r="C581" s="68"/>
      <c r="D581" s="70"/>
      <c r="E581" s="71"/>
      <c r="F581" s="71"/>
      <c r="G581" s="58"/>
      <c r="H581" s="58"/>
    </row>
    <row r="582" spans="1:8" ht="14.25">
      <c r="A582" s="68"/>
      <c r="B582" s="69"/>
      <c r="C582" s="68"/>
      <c r="D582" s="70"/>
      <c r="E582" s="71"/>
      <c r="F582" s="71"/>
      <c r="G582" s="58"/>
      <c r="H582" s="58"/>
    </row>
    <row r="583" spans="1:8" ht="13.5">
      <c r="A583" s="65"/>
      <c r="B583" s="65"/>
      <c r="C583" s="65"/>
      <c r="D583" s="66"/>
      <c r="E583" s="67"/>
      <c r="F583" s="67"/>
      <c r="G583" s="58"/>
      <c r="H583" s="58"/>
    </row>
    <row r="584" spans="1:8" ht="14.25">
      <c r="A584" s="68"/>
      <c r="B584" s="69"/>
      <c r="C584" s="68"/>
      <c r="D584" s="70"/>
      <c r="E584" s="71"/>
      <c r="F584" s="71"/>
      <c r="G584" s="58"/>
      <c r="H584" s="58"/>
    </row>
    <row r="585" spans="1:8" ht="14.25">
      <c r="A585" s="68"/>
      <c r="B585" s="69"/>
      <c r="C585" s="68"/>
      <c r="D585" s="70"/>
      <c r="E585" s="71"/>
      <c r="F585" s="71"/>
      <c r="G585" s="58"/>
      <c r="H585" s="58"/>
    </row>
    <row r="586" spans="1:8" ht="14.25">
      <c r="A586" s="68"/>
      <c r="B586" s="69"/>
      <c r="C586" s="68"/>
      <c r="D586" s="70"/>
      <c r="E586" s="71"/>
      <c r="F586" s="71"/>
      <c r="G586" s="58"/>
      <c r="H586" s="58"/>
    </row>
    <row r="587" spans="1:8" ht="14.25">
      <c r="A587" s="68"/>
      <c r="B587" s="69"/>
      <c r="C587" s="68"/>
      <c r="D587" s="70"/>
      <c r="E587" s="71"/>
      <c r="F587" s="71"/>
      <c r="G587" s="58"/>
      <c r="H587" s="58"/>
    </row>
    <row r="588" spans="1:8" ht="13.5">
      <c r="A588" s="65"/>
      <c r="B588" s="65"/>
      <c r="C588" s="65"/>
      <c r="D588" s="66"/>
      <c r="E588" s="67"/>
      <c r="F588" s="67"/>
      <c r="G588" s="58"/>
      <c r="H588" s="58"/>
    </row>
    <row r="589" spans="1:8" ht="14.25">
      <c r="A589" s="68"/>
      <c r="B589" s="69"/>
      <c r="C589" s="68"/>
      <c r="D589" s="70"/>
      <c r="E589" s="71"/>
      <c r="F589" s="71"/>
      <c r="G589" s="58"/>
      <c r="H589" s="58"/>
    </row>
    <row r="590" spans="1:8" ht="14.25">
      <c r="A590" s="68"/>
      <c r="B590" s="69"/>
      <c r="C590" s="68"/>
      <c r="D590" s="70"/>
      <c r="E590" s="71"/>
      <c r="F590" s="71"/>
      <c r="G590" s="58"/>
      <c r="H590" s="58"/>
    </row>
    <row r="591" spans="1:8" ht="14.25">
      <c r="A591" s="68"/>
      <c r="B591" s="69"/>
      <c r="C591" s="68"/>
      <c r="D591" s="70"/>
      <c r="E591" s="71"/>
      <c r="F591" s="71"/>
      <c r="G591" s="58"/>
      <c r="H591" s="58"/>
    </row>
    <row r="592" spans="1:8" ht="14.25">
      <c r="A592" s="68"/>
      <c r="B592" s="69"/>
      <c r="C592" s="68"/>
      <c r="D592" s="70"/>
      <c r="E592" s="71"/>
      <c r="F592" s="71"/>
      <c r="G592" s="58"/>
      <c r="H592" s="58"/>
    </row>
    <row r="593" spans="1:8" ht="13.5">
      <c r="A593" s="65"/>
      <c r="B593" s="65"/>
      <c r="C593" s="65"/>
      <c r="D593" s="66"/>
      <c r="E593" s="67"/>
      <c r="F593" s="67"/>
      <c r="G593" s="58"/>
      <c r="H593" s="58"/>
    </row>
    <row r="594" spans="1:8" ht="14.25">
      <c r="A594" s="68"/>
      <c r="B594" s="69"/>
      <c r="C594" s="68"/>
      <c r="D594" s="70"/>
      <c r="E594" s="71"/>
      <c r="F594" s="71"/>
      <c r="G594" s="58"/>
      <c r="H594" s="58"/>
    </row>
    <row r="595" spans="1:8" ht="14.25">
      <c r="A595" s="68"/>
      <c r="B595" s="69"/>
      <c r="C595" s="68"/>
      <c r="D595" s="70"/>
      <c r="E595" s="71"/>
      <c r="F595" s="71"/>
      <c r="G595" s="58"/>
      <c r="H595" s="58"/>
    </row>
    <row r="596" spans="1:8" ht="14.25">
      <c r="A596" s="68"/>
      <c r="B596" s="69"/>
      <c r="C596" s="68"/>
      <c r="D596" s="70"/>
      <c r="E596" s="71"/>
      <c r="F596" s="71"/>
      <c r="G596" s="58"/>
      <c r="H596" s="58"/>
    </row>
    <row r="597" spans="1:8" ht="14.25">
      <c r="A597" s="68"/>
      <c r="B597" s="69"/>
      <c r="C597" s="68"/>
      <c r="D597" s="70"/>
      <c r="E597" s="71"/>
      <c r="F597" s="71"/>
      <c r="G597" s="58"/>
      <c r="H597" s="58"/>
    </row>
    <row r="598" spans="1:8" ht="13.5">
      <c r="A598" s="65"/>
      <c r="B598" s="65"/>
      <c r="C598" s="65"/>
      <c r="D598" s="66"/>
      <c r="E598" s="67"/>
      <c r="F598" s="67"/>
      <c r="G598" s="58"/>
      <c r="H598" s="58"/>
    </row>
    <row r="599" spans="1:8" ht="14.25">
      <c r="A599" s="68"/>
      <c r="B599" s="69"/>
      <c r="C599" s="68"/>
      <c r="D599" s="70"/>
      <c r="E599" s="71"/>
      <c r="F599" s="71"/>
      <c r="G599" s="58"/>
      <c r="H599" s="58"/>
    </row>
    <row r="600" spans="1:8" ht="14.25">
      <c r="A600" s="68"/>
      <c r="B600" s="69"/>
      <c r="C600" s="68"/>
      <c r="D600" s="70"/>
      <c r="E600" s="71"/>
      <c r="F600" s="71"/>
      <c r="G600" s="58"/>
      <c r="H600" s="58"/>
    </row>
    <row r="601" spans="1:8" ht="14.25">
      <c r="A601" s="68"/>
      <c r="B601" s="69"/>
      <c r="C601" s="68"/>
      <c r="D601" s="70"/>
      <c r="E601" s="71"/>
      <c r="F601" s="71"/>
      <c r="G601" s="58"/>
      <c r="H601" s="58"/>
    </row>
    <row r="602" spans="1:8" ht="14.25">
      <c r="A602" s="68"/>
      <c r="B602" s="69"/>
      <c r="C602" s="68"/>
      <c r="D602" s="70"/>
      <c r="E602" s="71"/>
      <c r="F602" s="71"/>
      <c r="G602" s="58"/>
      <c r="H602" s="58"/>
    </row>
    <row r="603" spans="1:8" ht="13.5">
      <c r="A603" s="65"/>
      <c r="B603" s="65"/>
      <c r="C603" s="65"/>
      <c r="D603" s="66"/>
      <c r="E603" s="67"/>
      <c r="F603" s="67"/>
      <c r="G603" s="58"/>
      <c r="H603" s="58"/>
    </row>
    <row r="604" spans="1:8" ht="14.25">
      <c r="A604" s="68"/>
      <c r="B604" s="69"/>
      <c r="C604" s="68"/>
      <c r="D604" s="70"/>
      <c r="E604" s="71"/>
      <c r="F604" s="71"/>
      <c r="G604" s="58"/>
      <c r="H604" s="58"/>
    </row>
    <row r="605" spans="1:8" ht="14.25">
      <c r="A605" s="68"/>
      <c r="B605" s="69"/>
      <c r="C605" s="68"/>
      <c r="D605" s="70"/>
      <c r="E605" s="71"/>
      <c r="F605" s="71"/>
      <c r="G605" s="58"/>
      <c r="H605" s="58"/>
    </row>
    <row r="606" spans="1:8" ht="14.25">
      <c r="A606" s="68"/>
      <c r="B606" s="69"/>
      <c r="C606" s="68"/>
      <c r="D606" s="70"/>
      <c r="E606" s="71"/>
      <c r="F606" s="71"/>
      <c r="G606" s="58"/>
      <c r="H606" s="58"/>
    </row>
    <row r="607" spans="1:8" ht="14.25">
      <c r="A607" s="68"/>
      <c r="B607" s="69"/>
      <c r="C607" s="68"/>
      <c r="D607" s="70"/>
      <c r="E607" s="71"/>
      <c r="F607" s="71"/>
      <c r="G607" s="58"/>
      <c r="H607" s="58"/>
    </row>
    <row r="608" spans="1:8" ht="13.5">
      <c r="A608" s="65"/>
      <c r="B608" s="65"/>
      <c r="C608" s="65"/>
      <c r="D608" s="66"/>
      <c r="E608" s="67"/>
      <c r="F608" s="67"/>
      <c r="G608" s="58"/>
      <c r="H608" s="58"/>
    </row>
    <row r="609" spans="1:8" ht="14.25">
      <c r="A609" s="68"/>
      <c r="B609" s="69"/>
      <c r="C609" s="68"/>
      <c r="D609" s="70"/>
      <c r="E609" s="71"/>
      <c r="F609" s="71"/>
      <c r="G609" s="58"/>
      <c r="H609" s="58"/>
    </row>
    <row r="610" spans="1:8" ht="14.25">
      <c r="A610" s="68"/>
      <c r="B610" s="69"/>
      <c r="C610" s="68"/>
      <c r="D610" s="70"/>
      <c r="E610" s="71"/>
      <c r="F610" s="71"/>
      <c r="G610" s="58"/>
      <c r="H610" s="58"/>
    </row>
    <row r="611" spans="1:8" ht="14.25">
      <c r="A611" s="68"/>
      <c r="B611" s="69"/>
      <c r="C611" s="68"/>
      <c r="D611" s="70"/>
      <c r="E611" s="71"/>
      <c r="F611" s="71"/>
      <c r="G611" s="58"/>
      <c r="H611" s="58"/>
    </row>
    <row r="612" spans="1:8" ht="14.25">
      <c r="A612" s="68"/>
      <c r="B612" s="69"/>
      <c r="C612" s="68"/>
      <c r="D612" s="70"/>
      <c r="E612" s="71"/>
      <c r="F612" s="71"/>
      <c r="G612" s="58"/>
      <c r="H612" s="58"/>
    </row>
    <row r="613" spans="1:8" ht="13.5">
      <c r="A613" s="65"/>
      <c r="B613" s="65"/>
      <c r="C613" s="65"/>
      <c r="D613" s="66"/>
      <c r="E613" s="67"/>
      <c r="F613" s="67"/>
      <c r="G613" s="58"/>
      <c r="H613" s="58"/>
    </row>
    <row r="614" spans="1:8" ht="14.25">
      <c r="A614" s="68"/>
      <c r="B614" s="69"/>
      <c r="C614" s="68"/>
      <c r="D614" s="70"/>
      <c r="E614" s="71"/>
      <c r="F614" s="71"/>
      <c r="G614" s="58"/>
      <c r="H614" s="58"/>
    </row>
    <row r="615" spans="1:8" ht="14.25">
      <c r="A615" s="68"/>
      <c r="B615" s="69"/>
      <c r="C615" s="68"/>
      <c r="D615" s="70"/>
      <c r="E615" s="71"/>
      <c r="F615" s="71"/>
      <c r="G615" s="58"/>
      <c r="H615" s="58"/>
    </row>
    <row r="616" spans="1:8" ht="14.25">
      <c r="A616" s="68"/>
      <c r="B616" s="69"/>
      <c r="C616" s="68"/>
      <c r="D616" s="70"/>
      <c r="E616" s="71"/>
      <c r="F616" s="71"/>
      <c r="G616" s="58"/>
      <c r="H616" s="58"/>
    </row>
    <row r="617" spans="1:8" ht="14.25">
      <c r="A617" s="68"/>
      <c r="B617" s="69"/>
      <c r="C617" s="68"/>
      <c r="D617" s="70"/>
      <c r="E617" s="71"/>
      <c r="F617" s="71"/>
      <c r="G617" s="58"/>
      <c r="H617" s="58"/>
    </row>
    <row r="618" spans="1:8" ht="13.5">
      <c r="A618" s="65"/>
      <c r="B618" s="65"/>
      <c r="C618" s="65"/>
      <c r="D618" s="66"/>
      <c r="E618" s="67"/>
      <c r="F618" s="67"/>
      <c r="G618" s="58"/>
      <c r="H618" s="58"/>
    </row>
    <row r="619" spans="1:8" ht="14.25">
      <c r="A619" s="68"/>
      <c r="B619" s="69"/>
      <c r="C619" s="68"/>
      <c r="D619" s="70"/>
      <c r="E619" s="71"/>
      <c r="F619" s="71"/>
      <c r="G619" s="58"/>
      <c r="H619" s="58"/>
    </row>
    <row r="620" spans="1:8" ht="14.25">
      <c r="A620" s="68"/>
      <c r="B620" s="69"/>
      <c r="C620" s="68"/>
      <c r="D620" s="70"/>
      <c r="E620" s="71"/>
      <c r="F620" s="71"/>
      <c r="G620" s="58"/>
      <c r="H620" s="58"/>
    </row>
    <row r="621" spans="1:8" ht="14.25">
      <c r="A621" s="68"/>
      <c r="B621" s="69"/>
      <c r="C621" s="68"/>
      <c r="D621" s="70"/>
      <c r="E621" s="71"/>
      <c r="F621" s="71"/>
      <c r="G621" s="58"/>
      <c r="H621" s="58"/>
    </row>
    <row r="622" spans="1:8" ht="14.25">
      <c r="A622" s="68"/>
      <c r="B622" s="69"/>
      <c r="C622" s="68"/>
      <c r="D622" s="70"/>
      <c r="E622" s="71"/>
      <c r="F622" s="71"/>
      <c r="G622" s="58"/>
      <c r="H622" s="58"/>
    </row>
    <row r="623" spans="1:8" ht="13.5">
      <c r="A623" s="65"/>
      <c r="B623" s="65"/>
      <c r="C623" s="65"/>
      <c r="D623" s="66"/>
      <c r="E623" s="67"/>
      <c r="F623" s="67"/>
      <c r="G623" s="58"/>
      <c r="H623" s="58"/>
    </row>
    <row r="624" spans="1:8" ht="14.25">
      <c r="A624" s="68"/>
      <c r="B624" s="69"/>
      <c r="C624" s="68"/>
      <c r="D624" s="70"/>
      <c r="E624" s="71"/>
      <c r="F624" s="71"/>
      <c r="G624" s="58"/>
      <c r="H624" s="58"/>
    </row>
    <row r="625" spans="1:8" ht="14.25">
      <c r="A625" s="68"/>
      <c r="B625" s="69"/>
      <c r="C625" s="68"/>
      <c r="D625" s="70"/>
      <c r="E625" s="71"/>
      <c r="F625" s="71"/>
      <c r="G625" s="58"/>
      <c r="H625" s="58"/>
    </row>
    <row r="626" spans="1:8" ht="14.25">
      <c r="A626" s="68"/>
      <c r="B626" s="69"/>
      <c r="C626" s="68"/>
      <c r="D626" s="70"/>
      <c r="E626" s="71"/>
      <c r="F626" s="71"/>
      <c r="G626" s="58"/>
      <c r="H626" s="58"/>
    </row>
    <row r="627" spans="1:8" ht="14.25">
      <c r="A627" s="68"/>
      <c r="B627" s="69"/>
      <c r="C627" s="68"/>
      <c r="D627" s="70"/>
      <c r="E627" s="71"/>
      <c r="F627" s="71"/>
      <c r="G627" s="58"/>
      <c r="H627" s="58"/>
    </row>
    <row r="628" spans="1:8" ht="13.5">
      <c r="A628" s="65"/>
      <c r="B628" s="65"/>
      <c r="C628" s="65"/>
      <c r="D628" s="66"/>
      <c r="E628" s="67"/>
      <c r="F628" s="67"/>
      <c r="G628" s="58"/>
      <c r="H628" s="58"/>
    </row>
    <row r="629" spans="1:8" ht="14.25">
      <c r="A629" s="68"/>
      <c r="B629" s="69"/>
      <c r="C629" s="68"/>
      <c r="D629" s="70"/>
      <c r="E629" s="71"/>
      <c r="F629" s="71"/>
      <c r="G629" s="58"/>
      <c r="H629" s="58"/>
    </row>
    <row r="630" spans="1:8" ht="14.25">
      <c r="A630" s="68"/>
      <c r="B630" s="69"/>
      <c r="C630" s="68"/>
      <c r="D630" s="70"/>
      <c r="E630" s="71"/>
      <c r="F630" s="71"/>
      <c r="G630" s="58"/>
      <c r="H630" s="58"/>
    </row>
    <row r="631" spans="1:8" ht="14.25">
      <c r="A631" s="68"/>
      <c r="B631" s="69"/>
      <c r="C631" s="68"/>
      <c r="D631" s="70"/>
      <c r="E631" s="71"/>
      <c r="F631" s="71"/>
      <c r="G631" s="58"/>
      <c r="H631" s="58"/>
    </row>
    <row r="632" spans="1:8" ht="14.25">
      <c r="A632" s="68"/>
      <c r="B632" s="69"/>
      <c r="C632" s="68"/>
      <c r="D632" s="70"/>
      <c r="E632" s="71"/>
      <c r="F632" s="71"/>
      <c r="G632" s="58"/>
      <c r="H632" s="58"/>
    </row>
    <row r="633" spans="1:8" ht="13.5">
      <c r="A633" s="65"/>
      <c r="B633" s="65"/>
      <c r="C633" s="65"/>
      <c r="D633" s="66"/>
      <c r="E633" s="67"/>
      <c r="F633" s="67"/>
      <c r="G633" s="58"/>
      <c r="H633" s="58"/>
    </row>
    <row r="634" spans="1:8" ht="14.25">
      <c r="A634" s="68"/>
      <c r="B634" s="69"/>
      <c r="C634" s="68"/>
      <c r="D634" s="70"/>
      <c r="E634" s="71"/>
      <c r="F634" s="71"/>
      <c r="G634" s="58"/>
      <c r="H634" s="58"/>
    </row>
    <row r="635" spans="1:8" ht="14.25">
      <c r="A635" s="68"/>
      <c r="B635" s="69"/>
      <c r="C635" s="68"/>
      <c r="D635" s="70"/>
      <c r="E635" s="71"/>
      <c r="F635" s="71"/>
      <c r="G635" s="58"/>
      <c r="H635" s="58"/>
    </row>
    <row r="636" spans="1:8" ht="14.25">
      <c r="A636" s="68"/>
      <c r="B636" s="69"/>
      <c r="C636" s="68"/>
      <c r="D636" s="70"/>
      <c r="E636" s="71"/>
      <c r="F636" s="71"/>
      <c r="G636" s="58"/>
      <c r="H636" s="58"/>
    </row>
    <row r="637" spans="1:8" ht="14.25">
      <c r="A637" s="68"/>
      <c r="B637" s="69"/>
      <c r="C637" s="68"/>
      <c r="D637" s="70"/>
      <c r="E637" s="71"/>
      <c r="F637" s="71"/>
      <c r="G637" s="58"/>
      <c r="H637" s="58"/>
    </row>
    <row r="638" spans="1:8" ht="13.5">
      <c r="A638" s="65"/>
      <c r="B638" s="65"/>
      <c r="C638" s="65"/>
      <c r="D638" s="66"/>
      <c r="E638" s="67"/>
      <c r="F638" s="67"/>
      <c r="G638" s="58"/>
      <c r="H638" s="58"/>
    </row>
    <row r="639" spans="1:8" ht="14.25">
      <c r="A639" s="68"/>
      <c r="B639" s="69"/>
      <c r="C639" s="68"/>
      <c r="D639" s="70"/>
      <c r="E639" s="71"/>
      <c r="F639" s="71"/>
      <c r="G639" s="58"/>
      <c r="H639" s="58"/>
    </row>
    <row r="640" spans="1:8" ht="14.25">
      <c r="A640" s="68"/>
      <c r="B640" s="69"/>
      <c r="C640" s="68"/>
      <c r="D640" s="70"/>
      <c r="E640" s="71"/>
      <c r="F640" s="71"/>
      <c r="G640" s="58"/>
      <c r="H640" s="58"/>
    </row>
    <row r="641" spans="1:8" ht="14.25">
      <c r="A641" s="68"/>
      <c r="B641" s="69"/>
      <c r="C641" s="68"/>
      <c r="D641" s="70"/>
      <c r="E641" s="71"/>
      <c r="F641" s="71"/>
      <c r="G641" s="58"/>
      <c r="H641" s="58"/>
    </row>
    <row r="642" spans="1:8" ht="14.25">
      <c r="A642" s="68"/>
      <c r="B642" s="69"/>
      <c r="C642" s="68"/>
      <c r="D642" s="70"/>
      <c r="E642" s="71"/>
      <c r="F642" s="71"/>
      <c r="G642" s="58"/>
      <c r="H642" s="58"/>
    </row>
    <row r="643" spans="1:8" ht="13.5">
      <c r="A643" s="65"/>
      <c r="B643" s="65"/>
      <c r="C643" s="65"/>
      <c r="D643" s="66"/>
      <c r="E643" s="67"/>
      <c r="F643" s="67"/>
      <c r="G643" s="58"/>
      <c r="H643" s="58"/>
    </row>
    <row r="644" spans="1:8" ht="14.25">
      <c r="A644" s="68"/>
      <c r="B644" s="69"/>
      <c r="C644" s="68"/>
      <c r="D644" s="70"/>
      <c r="E644" s="71"/>
      <c r="F644" s="71"/>
      <c r="G644" s="58"/>
      <c r="H644" s="58"/>
    </row>
    <row r="645" spans="1:8" ht="14.25">
      <c r="A645" s="68"/>
      <c r="B645" s="69"/>
      <c r="C645" s="68"/>
      <c r="D645" s="70"/>
      <c r="E645" s="71"/>
      <c r="F645" s="71"/>
      <c r="G645" s="58"/>
      <c r="H645" s="58"/>
    </row>
    <row r="646" spans="1:8" ht="14.25">
      <c r="A646" s="68"/>
      <c r="B646" s="69"/>
      <c r="C646" s="68"/>
      <c r="D646" s="70"/>
      <c r="E646" s="71"/>
      <c r="F646" s="71"/>
      <c r="G646" s="58"/>
      <c r="H646" s="58"/>
    </row>
    <row r="647" spans="1:8" ht="14.25">
      <c r="A647" s="68"/>
      <c r="B647" s="69"/>
      <c r="C647" s="68"/>
      <c r="D647" s="70"/>
      <c r="E647" s="71"/>
      <c r="F647" s="71"/>
      <c r="G647" s="58"/>
      <c r="H647" s="58"/>
    </row>
    <row r="648" spans="1:8" ht="13.5">
      <c r="A648" s="65"/>
      <c r="B648" s="65"/>
      <c r="C648" s="65"/>
      <c r="D648" s="66"/>
      <c r="E648" s="67"/>
      <c r="F648" s="67"/>
      <c r="G648" s="58"/>
      <c r="H648" s="58"/>
    </row>
    <row r="649" spans="1:8" ht="14.25">
      <c r="A649" s="68"/>
      <c r="B649" s="69"/>
      <c r="C649" s="68"/>
      <c r="D649" s="70"/>
      <c r="E649" s="71"/>
      <c r="F649" s="71"/>
      <c r="G649" s="58"/>
      <c r="H649" s="58"/>
    </row>
    <row r="650" spans="1:8" ht="14.25">
      <c r="A650" s="68"/>
      <c r="B650" s="69"/>
      <c r="C650" s="68"/>
      <c r="D650" s="70"/>
      <c r="E650" s="71"/>
      <c r="F650" s="71"/>
      <c r="G650" s="58"/>
      <c r="H650" s="58"/>
    </row>
    <row r="651" spans="1:8" ht="14.25">
      <c r="A651" s="68"/>
      <c r="B651" s="69"/>
      <c r="C651" s="68"/>
      <c r="D651" s="70"/>
      <c r="E651" s="71"/>
      <c r="F651" s="71"/>
      <c r="G651" s="58"/>
      <c r="H651" s="58"/>
    </row>
    <row r="652" spans="1:8" ht="14.25">
      <c r="A652" s="68"/>
      <c r="B652" s="69"/>
      <c r="C652" s="68"/>
      <c r="D652" s="70"/>
      <c r="E652" s="71"/>
      <c r="F652" s="71"/>
      <c r="G652" s="58"/>
      <c r="H652" s="58"/>
    </row>
    <row r="653" spans="1:8" ht="13.5">
      <c r="A653" s="65"/>
      <c r="B653" s="65"/>
      <c r="C653" s="65"/>
      <c r="D653" s="66"/>
      <c r="E653" s="67"/>
      <c r="F653" s="67"/>
      <c r="G653" s="58"/>
      <c r="H653" s="58"/>
    </row>
    <row r="654" spans="1:8" ht="14.25">
      <c r="A654" s="68"/>
      <c r="B654" s="69"/>
      <c r="C654" s="68"/>
      <c r="D654" s="70"/>
      <c r="E654" s="71"/>
      <c r="F654" s="71"/>
      <c r="G654" s="58"/>
      <c r="H654" s="58"/>
    </row>
    <row r="655" spans="1:8" ht="14.25">
      <c r="A655" s="68"/>
      <c r="B655" s="69"/>
      <c r="C655" s="68"/>
      <c r="D655" s="70"/>
      <c r="E655" s="71"/>
      <c r="F655" s="71"/>
      <c r="G655" s="58"/>
      <c r="H655" s="58"/>
    </row>
    <row r="656" spans="1:8" ht="14.25">
      <c r="A656" s="68"/>
      <c r="B656" s="69"/>
      <c r="C656" s="68"/>
      <c r="D656" s="70"/>
      <c r="E656" s="71"/>
      <c r="F656" s="71"/>
      <c r="G656" s="58"/>
      <c r="H656" s="58"/>
    </row>
    <row r="657" spans="1:8" ht="14.25">
      <c r="A657" s="68"/>
      <c r="B657" s="69"/>
      <c r="C657" s="68"/>
      <c r="D657" s="70"/>
      <c r="E657" s="71"/>
      <c r="F657" s="71"/>
      <c r="G657" s="58"/>
      <c r="H657" s="58"/>
    </row>
    <row r="658" spans="1:8" ht="13.5">
      <c r="A658" s="65"/>
      <c r="B658" s="65"/>
      <c r="C658" s="65"/>
      <c r="D658" s="66"/>
      <c r="E658" s="67"/>
      <c r="F658" s="67"/>
      <c r="G658" s="58"/>
      <c r="H658" s="58"/>
    </row>
    <row r="659" spans="1:8" ht="14.25">
      <c r="A659" s="68"/>
      <c r="B659" s="69"/>
      <c r="C659" s="68"/>
      <c r="D659" s="70"/>
      <c r="E659" s="71"/>
      <c r="F659" s="71"/>
      <c r="G659" s="58"/>
      <c r="H659" s="58"/>
    </row>
    <row r="660" spans="1:8" ht="14.25">
      <c r="A660" s="68"/>
      <c r="B660" s="69"/>
      <c r="C660" s="68"/>
      <c r="D660" s="70"/>
      <c r="E660" s="71"/>
      <c r="F660" s="71"/>
      <c r="G660" s="58"/>
      <c r="H660" s="58"/>
    </row>
    <row r="661" spans="1:8" ht="14.25">
      <c r="A661" s="68"/>
      <c r="B661" s="69"/>
      <c r="C661" s="68"/>
      <c r="D661" s="70"/>
      <c r="E661" s="71"/>
      <c r="F661" s="71"/>
      <c r="G661" s="58"/>
      <c r="H661" s="58"/>
    </row>
    <row r="662" spans="1:8" ht="14.25">
      <c r="A662" s="68"/>
      <c r="B662" s="69"/>
      <c r="C662" s="68"/>
      <c r="D662" s="70"/>
      <c r="E662" s="71"/>
      <c r="F662" s="71"/>
      <c r="G662" s="58"/>
      <c r="H662" s="58"/>
    </row>
    <row r="663" spans="1:8" ht="13.5">
      <c r="A663" s="65"/>
      <c r="B663" s="65"/>
      <c r="C663" s="65"/>
      <c r="D663" s="66"/>
      <c r="E663" s="67"/>
      <c r="F663" s="67"/>
      <c r="G663" s="58"/>
      <c r="H663" s="58"/>
    </row>
    <row r="664" spans="1:8" ht="14.25">
      <c r="A664" s="68"/>
      <c r="B664" s="69"/>
      <c r="C664" s="68"/>
      <c r="D664" s="70"/>
      <c r="E664" s="71"/>
      <c r="F664" s="71"/>
      <c r="G664" s="58"/>
      <c r="H664" s="58"/>
    </row>
    <row r="665" spans="1:8" ht="14.25">
      <c r="A665" s="68"/>
      <c r="B665" s="69"/>
      <c r="C665" s="68"/>
      <c r="D665" s="70"/>
      <c r="E665" s="71"/>
      <c r="F665" s="71"/>
      <c r="G665" s="58"/>
      <c r="H665" s="58"/>
    </row>
    <row r="666" spans="1:8" ht="14.25">
      <c r="A666" s="68"/>
      <c r="B666" s="69"/>
      <c r="C666" s="68"/>
      <c r="D666" s="70"/>
      <c r="E666" s="71"/>
      <c r="F666" s="71"/>
      <c r="G666" s="58"/>
      <c r="H666" s="58"/>
    </row>
    <row r="667" spans="1:8" ht="14.25">
      <c r="A667" s="68"/>
      <c r="B667" s="69"/>
      <c r="C667" s="68"/>
      <c r="D667" s="70"/>
      <c r="E667" s="71"/>
      <c r="F667" s="71"/>
      <c r="G667" s="58"/>
      <c r="H667" s="58"/>
    </row>
    <row r="668" spans="1:8">
      <c r="E668" s="71"/>
      <c r="F668" s="71"/>
      <c r="G668" s="58"/>
      <c r="H668" s="58"/>
    </row>
  </sheetData>
  <hyperlinks>
    <hyperlink ref="C3" r:id="rId1" display="PK Polouvsí"/>
    <hyperlink ref="B8" r:id="rId2" display="Odhlásit tým"/>
    <hyperlink ref="B13" r:id="rId3" display="Odhlásit tým"/>
    <hyperlink ref="B18" r:id="rId4" display="Odhlásit tým"/>
    <hyperlink ref="B23" r:id="rId5" display="Odhlásit tým"/>
    <hyperlink ref="B28" r:id="rId6" display="Odhlásit tým"/>
    <hyperlink ref="B33" r:id="rId7" display="Odhlásit tým"/>
    <hyperlink ref="B38" r:id="rId8" display="Odhlásit tým"/>
    <hyperlink ref="B43" r:id="rId9" display="Odhlásit tým"/>
    <hyperlink ref="B48" r:id="rId10" display="Odhlásit tým"/>
    <hyperlink ref="B53" r:id="rId11" display="Odhlásit tým"/>
    <hyperlink ref="B58" r:id="rId12" display="Odhlásit tým"/>
    <hyperlink ref="B63" r:id="rId13" display="Odhlásit tým"/>
    <hyperlink ref="B68" r:id="rId14" display="Odhlásit tým"/>
    <hyperlink ref="B73" r:id="rId15" display="Odhlásit tým"/>
    <hyperlink ref="B78" r:id="rId16" display="Odhlásit tým"/>
    <hyperlink ref="B83" r:id="rId17" display="Odhlásit tým"/>
  </hyperlinks>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3"/>
  <sheetViews>
    <sheetView zoomScaleNormal="100" workbookViewId="0">
      <pane xSplit="4" ySplit="3" topLeftCell="E4" activePane="bottomRight" state="frozen"/>
      <selection pane="topRight" activeCell="E1" sqref="E1"/>
      <selection pane="bottomLeft" activeCell="A4" sqref="A4"/>
      <selection pane="bottomRight" activeCell="E4" sqref="E4"/>
    </sheetView>
  </sheetViews>
  <sheetFormatPr defaultColWidth="8.7109375"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c r="B1" s="293"/>
      <c r="C1" s="320"/>
      <c r="D1" s="320"/>
      <c r="E1" s="320"/>
      <c r="F1" s="320"/>
      <c r="G1" s="320"/>
      <c r="H1" s="320"/>
      <c r="I1" s="320"/>
      <c r="J1" s="320"/>
      <c r="K1" s="320"/>
      <c r="L1" s="320"/>
      <c r="M1" s="320"/>
      <c r="N1" s="320"/>
      <c r="O1" s="320"/>
      <c r="P1" s="320"/>
      <c r="R1" s="279"/>
      <c r="S1" s="279"/>
      <c r="T1" s="279"/>
      <c r="U1" s="279"/>
      <c r="V1" s="325"/>
      <c r="W1" s="279"/>
      <c r="X1" s="279"/>
      <c r="Y1" s="279"/>
      <c r="Z1" s="325"/>
      <c r="AA1" s="279"/>
    </row>
    <row r="2" spans="1:30" ht="32.450000000000003" customHeight="1">
      <c r="A2" s="321"/>
      <c r="B2" s="322"/>
      <c r="C2" s="323">
        <v>8</v>
      </c>
      <c r="D2" s="324" t="s">
        <v>1744</v>
      </c>
      <c r="E2" s="325"/>
      <c r="F2" s="279"/>
      <c r="G2" s="326">
        <v>4</v>
      </c>
      <c r="H2" s="324" t="s">
        <v>1745</v>
      </c>
      <c r="I2" s="279"/>
      <c r="J2" s="279"/>
      <c r="K2" s="326">
        <v>2</v>
      </c>
      <c r="L2" s="324" t="s">
        <v>1746</v>
      </c>
      <c r="M2" s="279"/>
      <c r="N2" s="279"/>
      <c r="O2" s="326">
        <v>1</v>
      </c>
      <c r="P2" s="327" t="s">
        <v>1747</v>
      </c>
      <c r="Q2" s="279"/>
      <c r="R2" s="279"/>
      <c r="S2" s="279"/>
      <c r="T2" s="325"/>
      <c r="U2" s="279"/>
      <c r="V2" s="325"/>
      <c r="W2" s="279"/>
      <c r="X2" s="279"/>
      <c r="Y2" s="279"/>
      <c r="Z2" s="325"/>
      <c r="AA2" s="279"/>
    </row>
    <row r="3" spans="1:30" ht="28.9" customHeight="1">
      <c r="A3" s="279"/>
      <c r="B3" s="279"/>
      <c r="C3" s="328"/>
      <c r="D3" s="330" t="s">
        <v>1748</v>
      </c>
      <c r="E3" s="331" t="str">
        <f ca="1">IF(OR(TRIM(D4)="-",TRIM(D5)="-"),"",VLOOKUP(MIN(C4,C5),Hřiště!$B$11:$E$42,4,0))</f>
        <v/>
      </c>
      <c r="F3" s="332"/>
      <c r="G3" s="332"/>
      <c r="H3" s="334"/>
      <c r="I3" s="335"/>
      <c r="J3" s="332"/>
      <c r="K3" s="332"/>
      <c r="L3" s="334"/>
      <c r="M3" s="335"/>
      <c r="N3" s="332"/>
      <c r="O3" s="332"/>
      <c r="P3" s="334"/>
      <c r="Q3" s="335"/>
      <c r="R3" s="332"/>
      <c r="S3" s="332"/>
      <c r="T3" s="336"/>
      <c r="U3" s="430"/>
      <c r="V3" s="325"/>
      <c r="W3" s="279"/>
      <c r="X3" s="279"/>
      <c r="Y3" s="279"/>
      <c r="Z3" s="325"/>
      <c r="AA3" s="279"/>
    </row>
    <row r="4" spans="1:30" ht="18">
      <c r="A4" s="337" t="str">
        <f ca="1">VLOOKUP(C4,Postupy!$A$3:$C$9,3,0)</f>
        <v>A1</v>
      </c>
      <c r="B4" s="279"/>
      <c r="C4" s="339">
        <v>1</v>
      </c>
      <c r="D4" s="419" t="str">
        <f ca="1">VLOOKUP(C4,Postupy!$A$3:$AI$10,35,0)</f>
        <v xml:space="preserve"> - </v>
      </c>
      <c r="E4" s="341">
        <f ca="1">VLOOKUP(C4,Postupy!$A$3:$AJ$10,36,0)</f>
        <v>0</v>
      </c>
      <c r="F4" s="431"/>
      <c r="G4" s="279"/>
      <c r="H4" s="432"/>
      <c r="I4" s="279"/>
      <c r="J4" s="279"/>
      <c r="K4" s="279"/>
      <c r="L4" s="390"/>
      <c r="M4" s="279"/>
      <c r="N4" s="279"/>
      <c r="O4" s="279"/>
      <c r="P4" s="279"/>
      <c r="Q4" s="279"/>
      <c r="R4" s="279"/>
      <c r="S4" s="279"/>
      <c r="T4" s="346"/>
      <c r="U4" s="279"/>
      <c r="V4" s="279"/>
      <c r="W4" s="279"/>
      <c r="X4" s="279"/>
      <c r="Y4" s="279"/>
      <c r="Z4" s="279"/>
      <c r="AA4" s="279"/>
      <c r="AB4" s="279"/>
    </row>
    <row r="5" spans="1:30" ht="18.75">
      <c r="A5" s="337" t="str">
        <f ca="1">VLOOKUP(C5,Postupy!$A$3:$C$18,3,0)</f>
        <v>B2</v>
      </c>
      <c r="B5" s="279"/>
      <c r="C5" s="347">
        <v>8</v>
      </c>
      <c r="D5" s="419" t="str">
        <f ca="1">VLOOKUP(C5,Postupy!$A$3:$AI$10,35,0)</f>
        <v xml:space="preserve"> -</v>
      </c>
      <c r="E5" s="349">
        <f ca="1">VLOOKUP(C5,Postupy!$A$3:$AJ$10,36,0)</f>
        <v>0</v>
      </c>
      <c r="F5" s="433"/>
      <c r="G5" s="434"/>
      <c r="H5" s="330" t="s">
        <v>1748</v>
      </c>
      <c r="I5" s="331" t="str">
        <f ca="1">IF(OR(TRIM(H6)="-",TRIM(H7)="-"),"",VLOOKUP(MIN(G6,G7),Hřiště!$B$11:$E$42,4,0))</f>
        <v/>
      </c>
      <c r="J5" s="279"/>
      <c r="K5" s="279"/>
      <c r="L5" s="390"/>
      <c r="M5" s="279"/>
      <c r="N5" s="279"/>
      <c r="O5" s="279"/>
      <c r="P5" s="279"/>
      <c r="Q5" s="279"/>
      <c r="R5" s="279"/>
      <c r="S5" s="279"/>
      <c r="T5" s="346"/>
      <c r="U5" s="279"/>
      <c r="V5" s="279"/>
      <c r="W5" s="279"/>
      <c r="X5" s="279"/>
      <c r="Y5" s="279"/>
      <c r="Z5" s="279"/>
      <c r="AA5" s="279"/>
      <c r="AB5" s="279"/>
    </row>
    <row r="6" spans="1:30" ht="18">
      <c r="A6" s="353"/>
      <c r="B6" s="408"/>
      <c r="C6" s="293"/>
      <c r="D6" s="435"/>
      <c r="E6" s="293"/>
      <c r="F6" s="279"/>
      <c r="G6" s="339">
        <v>1</v>
      </c>
      <c r="H6" s="340" t="str">
        <f ca="1">IF(OR(TRIM(D4)="-",TRIM(D5)="-"), IF(TRIM(D4)="-",D5,D4),IF(AND(E4="",E5="")," ",IF(N(E4)=N(E5)," ",IF(N(E4)&gt;N(E5),D4,D5))))</f>
        <v xml:space="preserve"> -</v>
      </c>
      <c r="I6" s="341">
        <f ca="1">VLOOKUP(G6,Postupy!$A$3:$AL$6,38,0)</f>
        <v>0</v>
      </c>
      <c r="J6" s="431"/>
      <c r="K6" s="325"/>
      <c r="L6" s="436"/>
      <c r="M6" s="325"/>
      <c r="N6" s="279"/>
      <c r="O6" s="279"/>
      <c r="P6" s="279"/>
      <c r="Q6" s="279"/>
      <c r="R6" s="279"/>
      <c r="S6" s="279"/>
      <c r="T6" s="279"/>
      <c r="U6" s="279"/>
      <c r="V6" s="325"/>
      <c r="W6" s="279"/>
      <c r="X6" s="279"/>
      <c r="Y6" s="279"/>
      <c r="Z6" s="325"/>
      <c r="AA6" s="279"/>
      <c r="AB6" s="279"/>
      <c r="AC6" s="279"/>
      <c r="AD6" s="346"/>
    </row>
    <row r="7" spans="1:30" ht="18.75">
      <c r="A7" s="359"/>
      <c r="B7" s="328"/>
      <c r="C7" s="279"/>
      <c r="D7" s="330" t="s">
        <v>1748</v>
      </c>
      <c r="E7" s="331" t="str">
        <f ca="1">IF(OR(TRIM(D8)="-",TRIM(D9)="-"),"",VLOOKUP(MIN(C8,C9),Hřiště!$B$11:$E$42,4,0))</f>
        <v/>
      </c>
      <c r="F7" s="279"/>
      <c r="G7" s="347">
        <v>4</v>
      </c>
      <c r="H7" s="348" t="str">
        <f ca="1">IF(OR(TRIM(D8)="-",TRIM(D9)="-"), IF(TRIM(D8)="-",D9,D8),IF(AND(E8="",E9="")," ",IF(N(E8)=N(E9)," ",IF(N(E8)&gt;N(E9),D8,D9))))</f>
        <v xml:space="preserve"> -</v>
      </c>
      <c r="I7" s="349">
        <f ca="1">VLOOKUP(G7,Postupy!$A$3:$AL$6,38,0)</f>
        <v>0</v>
      </c>
      <c r="J7" s="433"/>
      <c r="K7" s="434"/>
      <c r="L7" s="436"/>
      <c r="M7" s="325"/>
      <c r="N7" s="279"/>
      <c r="O7" s="279"/>
      <c r="P7" s="279"/>
      <c r="Q7" s="279"/>
      <c r="R7" s="279"/>
      <c r="S7" s="279"/>
      <c r="T7" s="279"/>
      <c r="U7" s="279"/>
      <c r="V7" s="325"/>
      <c r="W7" s="279"/>
      <c r="X7" s="279"/>
      <c r="Y7" s="279"/>
      <c r="Z7" s="325"/>
      <c r="AA7" s="279"/>
      <c r="AB7" s="279"/>
      <c r="AC7" s="279"/>
      <c r="AD7" s="279"/>
    </row>
    <row r="8" spans="1:30" ht="18.75">
      <c r="A8" s="337" t="str">
        <f ca="1">VLOOKUP(C8,Postupy!$A$3:$C$18,3,0)</f>
        <v>C2</v>
      </c>
      <c r="B8" s="279"/>
      <c r="C8" s="339">
        <v>5</v>
      </c>
      <c r="D8" s="419" t="str">
        <f ca="1">VLOOKUP(C8,Postupy!$A$3:$AI$10,35,0)</f>
        <v xml:space="preserve"> - </v>
      </c>
      <c r="E8" s="341">
        <f ca="1">VLOOKUP(C8,Postupy!$A$3:$AJ$10,36,0)</f>
        <v>0</v>
      </c>
      <c r="F8" s="437"/>
      <c r="G8" s="434"/>
      <c r="H8" s="438"/>
      <c r="I8" s="325"/>
      <c r="J8" s="279"/>
      <c r="K8" s="434"/>
      <c r="L8" s="397" t="s">
        <v>1746</v>
      </c>
      <c r="M8" s="325"/>
      <c r="N8" s="279"/>
      <c r="O8" s="279"/>
      <c r="P8" s="279"/>
      <c r="Q8" s="279"/>
      <c r="R8" s="279"/>
      <c r="S8" s="279"/>
      <c r="T8" s="279"/>
      <c r="U8" s="279"/>
      <c r="V8" s="325"/>
      <c r="W8" s="279"/>
      <c r="X8" s="279"/>
      <c r="Y8" s="279"/>
      <c r="Z8" s="325"/>
      <c r="AA8" s="279"/>
      <c r="AB8" s="279"/>
      <c r="AC8" s="279"/>
      <c r="AD8" s="279"/>
    </row>
    <row r="9" spans="1:30" ht="18.75">
      <c r="A9" s="337" t="str">
        <f ca="1">VLOOKUP(C9,Postupy!$A$3:$C$18,3,0)</f>
        <v>D1</v>
      </c>
      <c r="B9" s="279"/>
      <c r="C9" s="347">
        <v>4</v>
      </c>
      <c r="D9" s="419" t="str">
        <f ca="1">VLOOKUP(C9,Postupy!$A$3:$AI$10,35,0)</f>
        <v xml:space="preserve"> -</v>
      </c>
      <c r="E9" s="349">
        <f ca="1">VLOOKUP(C9,Postupy!$A$3:$AJ$10,36,0)</f>
        <v>0</v>
      </c>
      <c r="F9" s="293"/>
      <c r="G9" s="279"/>
      <c r="H9" s="438"/>
      <c r="I9" s="279"/>
      <c r="J9" s="279"/>
      <c r="K9" s="434"/>
      <c r="L9" s="330" t="s">
        <v>1748</v>
      </c>
      <c r="M9" s="331" t="str">
        <f ca="1">IF(OR(TRIM(L10)="-",TRIM(L11)="-"),"",VLOOKUP(MIN(K10,K11),Hřiště!$B$11:$E$42,4,0))</f>
        <v/>
      </c>
      <c r="N9" s="279"/>
      <c r="O9" s="346"/>
      <c r="P9" s="421"/>
      <c r="Q9" s="279"/>
      <c r="R9" s="279"/>
      <c r="S9" s="279"/>
      <c r="T9" s="346"/>
      <c r="U9" s="279"/>
      <c r="V9" s="279"/>
      <c r="W9" s="279"/>
      <c r="X9" s="279"/>
      <c r="Y9" s="279"/>
      <c r="Z9" s="279"/>
      <c r="AA9" s="279"/>
      <c r="AB9" s="279"/>
    </row>
    <row r="10" spans="1:30" ht="18">
      <c r="A10" s="353"/>
      <c r="B10" s="439"/>
      <c r="C10" s="440"/>
      <c r="D10" s="441"/>
      <c r="E10" s="279"/>
      <c r="F10" s="279"/>
      <c r="G10" s="279"/>
      <c r="H10" s="442"/>
      <c r="I10" s="346"/>
      <c r="J10" s="346"/>
      <c r="K10" s="339">
        <v>1</v>
      </c>
      <c r="L10" s="340" t="str">
        <f ca="1">IF(OR(TRIM(H6)="-",TRIM(H7)="-"), IF(TRIM(H6)="-",H7,H6),IF(AND(I6="",I7="")," ",IF(N(I6)=N(I7)," ",IF(N(I6)&gt;N(I7),H6,H7))))</f>
        <v xml:space="preserve"> -</v>
      </c>
      <c r="M10" s="341">
        <f ca="1">VLOOKUP(K10,Postupy!$A$3:$AN$6,40,0)</f>
        <v>0</v>
      </c>
      <c r="N10" s="437"/>
      <c r="O10" s="393">
        <v>1</v>
      </c>
      <c r="P10" s="406" t="str">
        <f ca="1">IF(AND(M10="",M11="")," ",IF(N(M10)=N(M11)," ",IF(N(M10)&gt;N(M11),L10,L11)))</f>
        <v xml:space="preserve"> </v>
      </c>
      <c r="Q10" s="407">
        <v>1</v>
      </c>
      <c r="R10" s="279"/>
      <c r="S10" s="346"/>
      <c r="T10" s="279"/>
      <c r="U10" s="279"/>
      <c r="V10" s="279"/>
      <c r="W10" s="279"/>
      <c r="X10" s="279"/>
      <c r="Y10" s="279"/>
      <c r="Z10" s="279"/>
      <c r="AA10" s="279"/>
    </row>
    <row r="11" spans="1:30" ht="18.75">
      <c r="A11" s="359"/>
      <c r="B11" s="408"/>
      <c r="C11" s="279"/>
      <c r="D11" s="330" t="s">
        <v>1748</v>
      </c>
      <c r="E11" s="331" t="str">
        <f ca="1">IF(OR(TRIM(D12)="-",TRIM(D13)="-"),"",VLOOKUP(MIN(C12,C13),Hřiště!$B$11:$E$42,4,0))</f>
        <v/>
      </c>
      <c r="F11" s="279"/>
      <c r="G11" s="279"/>
      <c r="H11" s="443"/>
      <c r="I11" s="346"/>
      <c r="J11" s="346"/>
      <c r="K11" s="347">
        <v>2</v>
      </c>
      <c r="L11" s="348" t="str">
        <f ca="1">IF(OR(TRIM(H14)="-",TRIM(H15)="-"), IF(TRIM(H14)="-",H15,H14),IF(AND(I14="",I15="")," ",IF(N(I14)=N(I15)," ",IF(N(I14)&gt;N(I15),H14,H15))))</f>
        <v xml:space="preserve"> -</v>
      </c>
      <c r="M11" s="349">
        <f ca="1">VLOOKUP(K11,Postupy!$A$3:$AN$6,40,0)</f>
        <v>0</v>
      </c>
      <c r="N11" s="279"/>
      <c r="O11" s="393">
        <v>2</v>
      </c>
      <c r="P11" s="412" t="str">
        <f ca="1">IF(AND(M10="",M11="")," ",IF(N(M11)=N(M10)," ",IF(N(M11)&gt;N(M10),L10,L11)))</f>
        <v xml:space="preserve"> </v>
      </c>
      <c r="Q11" s="413">
        <v>2</v>
      </c>
      <c r="R11" s="279"/>
      <c r="S11" s="279"/>
      <c r="T11" s="279"/>
      <c r="U11" s="279"/>
      <c r="V11" s="279"/>
      <c r="W11" s="279"/>
      <c r="X11" s="279"/>
      <c r="Y11" s="325"/>
      <c r="Z11" s="279"/>
      <c r="AA11" s="279"/>
      <c r="AB11" s="279"/>
      <c r="AC11" s="346"/>
    </row>
    <row r="12" spans="1:30" ht="18">
      <c r="A12" s="337" t="str">
        <f ca="1">VLOOKUP(C12,Postupy!$A$3:$C$18,3,0)</f>
        <v>C1</v>
      </c>
      <c r="B12" s="279"/>
      <c r="C12" s="339">
        <v>3</v>
      </c>
      <c r="D12" s="419" t="str">
        <f ca="1">VLOOKUP(C12,Postupy!$A$3:$AI$10,35,0)</f>
        <v xml:space="preserve"> - </v>
      </c>
      <c r="E12" s="341">
        <f ca="1">VLOOKUP(C12,Postupy!$A$3:$AJ$10,36,0)</f>
        <v>0</v>
      </c>
      <c r="F12" s="431"/>
      <c r="G12" s="279"/>
      <c r="H12" s="443"/>
      <c r="I12" s="346"/>
      <c r="J12" s="446"/>
      <c r="K12" s="434"/>
      <c r="L12" s="436"/>
      <c r="M12" s="346"/>
      <c r="N12" s="279"/>
      <c r="O12" s="279"/>
      <c r="P12" s="279"/>
      <c r="Q12" s="279"/>
      <c r="R12" s="279"/>
      <c r="S12" s="346"/>
      <c r="T12" s="279"/>
      <c r="U12" s="279"/>
      <c r="V12" s="279"/>
      <c r="W12" s="279"/>
      <c r="X12" s="279"/>
      <c r="Y12" s="325"/>
      <c r="Z12" s="279"/>
      <c r="AA12" s="279"/>
      <c r="AB12" s="279"/>
      <c r="AC12" s="279"/>
    </row>
    <row r="13" spans="1:30" ht="18.75">
      <c r="A13" s="337" t="str">
        <f ca="1">VLOOKUP(C13,Postupy!$A$3:$C$18,3,0)</f>
        <v>D2</v>
      </c>
      <c r="B13" s="279"/>
      <c r="C13" s="347">
        <v>6</v>
      </c>
      <c r="D13" s="419" t="str">
        <f ca="1">VLOOKUP(C13,Postupy!$A$3:$AI$10,35,0)</f>
        <v xml:space="preserve"> -</v>
      </c>
      <c r="E13" s="349">
        <f ca="1">VLOOKUP(C13,Postupy!$A$3:$AJ$10,36,0)</f>
        <v>0</v>
      </c>
      <c r="F13" s="433"/>
      <c r="G13" s="434"/>
      <c r="H13" s="330" t="s">
        <v>1748</v>
      </c>
      <c r="I13" s="331" t="str">
        <f ca="1">IF(OR(TRIM(H14)="-",TRIM(H15)="-"),"",VLOOKUP(MIN(G14,G15),Hřiště!$B$11:$E$42,4,0))</f>
        <v/>
      </c>
      <c r="J13" s="446"/>
      <c r="K13" s="434"/>
      <c r="L13" s="436"/>
      <c r="M13" s="325"/>
      <c r="N13" s="279"/>
      <c r="O13" s="279"/>
      <c r="P13" s="445"/>
      <c r="Q13" s="346"/>
      <c r="R13" s="279"/>
      <c r="S13" s="346"/>
      <c r="T13" s="279"/>
      <c r="U13" s="279"/>
      <c r="V13" s="279"/>
      <c r="W13" s="279"/>
      <c r="X13" s="279"/>
      <c r="Y13" s="279"/>
      <c r="Z13" s="279"/>
      <c r="AA13" s="279"/>
    </row>
    <row r="14" spans="1:30" ht="18">
      <c r="A14" s="353"/>
      <c r="B14" s="408"/>
      <c r="C14" s="279"/>
      <c r="D14" s="438"/>
      <c r="E14" s="279"/>
      <c r="F14" s="279"/>
      <c r="G14" s="339">
        <v>3</v>
      </c>
      <c r="H14" s="340" t="str">
        <f ca="1">IF(OR(TRIM(D12)="-",TRIM(D13)="-"), IF(TRIM(D12)="-",D13,D12),IF(AND(E12="",E13="")," ",IF(N(E12)=N(E13)," ",IF(N(E12)&gt;N(E13),D12,D13))))</f>
        <v xml:space="preserve"> -</v>
      </c>
      <c r="I14" s="341">
        <f ca="1">VLOOKUP(G14,Postupy!$A$3:$AL$6,38,0)</f>
        <v>0</v>
      </c>
      <c r="J14" s="437"/>
      <c r="K14" s="279"/>
      <c r="L14" s="436"/>
      <c r="M14" s="325"/>
      <c r="N14" s="279"/>
      <c r="O14" s="279"/>
      <c r="P14" s="445"/>
      <c r="Q14" s="279"/>
      <c r="R14" s="279"/>
      <c r="S14" s="279"/>
      <c r="T14" s="279"/>
      <c r="U14" s="346"/>
      <c r="V14" s="279"/>
      <c r="W14" s="279"/>
      <c r="X14" s="279"/>
      <c r="Y14" s="346"/>
      <c r="Z14" s="279"/>
      <c r="AA14" s="279"/>
    </row>
    <row r="15" spans="1:30" ht="18.75">
      <c r="A15" s="359"/>
      <c r="B15" s="328"/>
      <c r="C15" s="279"/>
      <c r="D15" s="330" t="s">
        <v>1748</v>
      </c>
      <c r="E15" s="331" t="str">
        <f ca="1">IF(OR(TRIM(D16)="-",TRIM(D17)="-"),"",VLOOKUP(MIN(C16,C17),Hřiště!$B$11:$E$42,4,0))</f>
        <v/>
      </c>
      <c r="F15" s="279"/>
      <c r="G15" s="347">
        <v>2</v>
      </c>
      <c r="H15" s="348" t="str">
        <f ca="1">IF(OR(TRIM(D16)="-",TRIM(D17)="-"), IF(TRIM(D16)="-",D17,D16),IF(AND(E16="",E17="")," ",IF(N(E16)=N(E17)," ",IF(N(E16)&gt;N(E17),D16,D17))))</f>
        <v xml:space="preserve"> -</v>
      </c>
      <c r="I15" s="349">
        <f ca="1">VLOOKUP(G15,Postupy!$A$3:$AL$6,38,0)</f>
        <v>0</v>
      </c>
      <c r="J15" s="293"/>
      <c r="K15" s="279"/>
      <c r="L15" s="436"/>
      <c r="M15" s="325"/>
      <c r="N15" s="279"/>
      <c r="O15" s="279"/>
      <c r="P15" s="445"/>
      <c r="Q15" s="279"/>
      <c r="R15" s="279"/>
      <c r="S15" s="279"/>
      <c r="T15" s="279"/>
      <c r="U15" s="346"/>
      <c r="V15" s="279"/>
      <c r="W15" s="279"/>
      <c r="X15" s="279"/>
      <c r="Y15" s="346"/>
      <c r="Z15" s="279"/>
      <c r="AA15" s="279"/>
    </row>
    <row r="16" spans="1:30" ht="18">
      <c r="A16" s="337" t="str">
        <f ca="1">VLOOKUP(C16,Postupy!$A$3:$C$18,3,0)</f>
        <v>A2</v>
      </c>
      <c r="B16" s="279"/>
      <c r="C16" s="339">
        <v>7</v>
      </c>
      <c r="D16" s="419" t="str">
        <f ca="1">VLOOKUP(C16,Postupy!$A$3:$AI$10,35,0)</f>
        <v xml:space="preserve"> - </v>
      </c>
      <c r="E16" s="341">
        <f ca="1">VLOOKUP(C16,Postupy!$A$3:$AJ$10,36,0)</f>
        <v>0</v>
      </c>
      <c r="F16" s="437"/>
      <c r="G16" s="434"/>
      <c r="H16" s="438"/>
      <c r="I16" s="325"/>
      <c r="J16" s="279"/>
      <c r="K16" s="279"/>
      <c r="L16" s="436"/>
      <c r="M16" s="325"/>
      <c r="N16" s="279"/>
      <c r="O16" s="279"/>
      <c r="P16" s="445"/>
      <c r="Q16" s="346"/>
      <c r="R16" s="279"/>
      <c r="S16" s="346"/>
      <c r="T16" s="390"/>
      <c r="U16" s="279"/>
      <c r="V16" s="279"/>
      <c r="W16" s="279"/>
      <c r="X16" s="279"/>
      <c r="Y16" s="279"/>
      <c r="Z16" s="279"/>
      <c r="AA16" s="279"/>
    </row>
    <row r="17" spans="1:27" ht="18">
      <c r="A17" s="337" t="str">
        <f ca="1">VLOOKUP(C17,Postupy!$A$3:$C$18,3,0)</f>
        <v>B1</v>
      </c>
      <c r="B17" s="279"/>
      <c r="C17" s="347">
        <v>2</v>
      </c>
      <c r="D17" s="419" t="str">
        <f ca="1">VLOOKUP(C17,Postupy!$A$3:$AI$10,35,0)</f>
        <v xml:space="preserve"> -</v>
      </c>
      <c r="E17" s="349">
        <f ca="1">VLOOKUP(C17,Postupy!$A$3:$AJ$10,36,0)</f>
        <v>0</v>
      </c>
      <c r="F17" s="293"/>
      <c r="G17" s="279"/>
      <c r="H17" s="438"/>
      <c r="I17" s="279"/>
      <c r="J17" s="279"/>
      <c r="K17" s="343"/>
      <c r="L17" s="416" t="s">
        <v>1750</v>
      </c>
      <c r="M17" s="325"/>
      <c r="N17" s="279"/>
      <c r="O17" s="279"/>
      <c r="P17" s="470"/>
      <c r="Q17" s="346"/>
      <c r="R17" s="279"/>
      <c r="S17" s="346"/>
      <c r="T17" s="421"/>
      <c r="U17" s="279"/>
      <c r="V17" s="279"/>
      <c r="W17" s="279"/>
      <c r="X17" s="279"/>
      <c r="Y17" s="279"/>
      <c r="Z17" s="279"/>
      <c r="AA17" s="279"/>
    </row>
    <row r="18" spans="1:27" ht="16.5">
      <c r="A18" s="359"/>
      <c r="B18" s="439"/>
      <c r="C18" s="440"/>
      <c r="D18" s="346"/>
      <c r="E18" s="279"/>
      <c r="F18" s="279"/>
      <c r="G18" s="279"/>
      <c r="H18" s="451"/>
      <c r="I18" s="279"/>
      <c r="J18" s="279"/>
      <c r="K18" s="279"/>
      <c r="L18" s="417" t="s">
        <v>1751</v>
      </c>
      <c r="M18" s="279"/>
      <c r="N18" s="279"/>
      <c r="O18" s="279"/>
      <c r="P18" s="279"/>
      <c r="Q18" s="279"/>
      <c r="R18" s="279"/>
      <c r="S18" s="346"/>
      <c r="T18" s="279"/>
      <c r="U18" s="279"/>
      <c r="V18" s="279"/>
      <c r="W18" s="279"/>
      <c r="X18" s="279"/>
      <c r="Y18" s="279"/>
      <c r="Z18" s="279"/>
      <c r="AA18" s="279"/>
    </row>
    <row r="19" spans="1:27" ht="14.25">
      <c r="A19" s="279"/>
      <c r="B19" s="408"/>
      <c r="C19" s="279"/>
      <c r="D19" s="279"/>
      <c r="E19" s="279"/>
      <c r="F19" s="279"/>
      <c r="G19" s="279"/>
      <c r="H19" s="279"/>
      <c r="I19" s="279"/>
      <c r="J19" s="279"/>
      <c r="K19" s="343"/>
      <c r="L19" s="330" t="s">
        <v>1748</v>
      </c>
      <c r="M19" s="331" t="str">
        <f ca="1">IF(OR(TRIM(L20)="-",TRIM(L21)="-"),"",VLOOKUP(MIN(K20,K21),Hřiště!$B$11:$E$42,4,0))</f>
        <v/>
      </c>
      <c r="N19" s="279"/>
      <c r="O19" s="279"/>
      <c r="P19" s="279"/>
      <c r="Q19" s="279"/>
      <c r="R19" s="279"/>
      <c r="S19" s="346"/>
      <c r="T19" s="279"/>
      <c r="U19" s="279"/>
      <c r="V19" s="279"/>
      <c r="W19" s="279"/>
      <c r="X19" s="279"/>
      <c r="Y19" s="279"/>
      <c r="Z19" s="279"/>
      <c r="AA19" s="279"/>
    </row>
    <row r="20" spans="1:27" ht="18">
      <c r="A20" s="279"/>
      <c r="B20" s="408"/>
      <c r="C20" s="279"/>
      <c r="D20" s="279"/>
      <c r="E20" s="391"/>
      <c r="F20" s="279"/>
      <c r="G20" s="279"/>
      <c r="H20" s="279"/>
      <c r="I20" s="279"/>
      <c r="J20" s="279"/>
      <c r="K20" s="339">
        <v>4</v>
      </c>
      <c r="L20" s="340" t="str">
        <f ca="1">IF(OR(TRIM(H6)="-",TRIM(H7)="-"), IF(TRIM(H6)="-",H6,H7),IF(AND(I6="",I7="")," ",IF(N(I7)=N(I6)," ",IF(N(I7)&gt;N(I6),H6,H7))))</f>
        <v xml:space="preserve"> -</v>
      </c>
      <c r="M20" s="341">
        <f ca="1">VLOOKUP(K20,Postupy!$A$3:$AN$6,40,0)</f>
        <v>0</v>
      </c>
      <c r="N20" s="365"/>
      <c r="O20" s="393">
        <v>3</v>
      </c>
      <c r="P20" s="412" t="str">
        <f ca="1">IF(AND(M20="",M21="")," ",IF(N(M20)=N(M21)," ",IF(N(M20)&gt;N(M21),L20,L21)))</f>
        <v xml:space="preserve"> </v>
      </c>
      <c r="Q20" s="413">
        <v>3</v>
      </c>
      <c r="R20" s="279"/>
      <c r="S20" s="346"/>
      <c r="T20" s="279"/>
      <c r="U20" s="279"/>
      <c r="V20" s="279"/>
      <c r="W20" s="279"/>
      <c r="X20" s="279"/>
      <c r="Y20" s="279"/>
      <c r="Z20" s="279"/>
      <c r="AA20" s="279"/>
    </row>
    <row r="21" spans="1:27" ht="18">
      <c r="A21" s="279"/>
      <c r="B21" s="408"/>
      <c r="C21" s="279"/>
      <c r="D21" s="279"/>
      <c r="E21" s="391"/>
      <c r="F21" s="279"/>
      <c r="G21" s="279"/>
      <c r="H21" s="279"/>
      <c r="I21" s="279"/>
      <c r="J21" s="279"/>
      <c r="K21" s="347">
        <v>3</v>
      </c>
      <c r="L21" s="348" t="str">
        <f ca="1">IF(OR(TRIM(H14)="-",TRIM(H15)="-"), IF(TRIM(H14)="-",H14,H15),IF(AND(I14="",I15="")," ",IF(N(I15)=N(I14)," ",IF(N(I15)&gt;N(I14),H14,H15))))</f>
        <v xml:space="preserve"> -</v>
      </c>
      <c r="M21" s="349">
        <f ca="1">VLOOKUP(K21,Postupy!$A$3:$AN$6,40,0)</f>
        <v>0</v>
      </c>
      <c r="N21" s="350"/>
      <c r="O21" s="393">
        <v>4</v>
      </c>
      <c r="P21" s="412" t="str">
        <f ca="1">IF(AND(M20="",M21="")," ",IF(N(M21)=N(M20)," ",IF(N(M21)&gt;N(M20),L20,L21)))</f>
        <v xml:space="preserve"> </v>
      </c>
      <c r="Q21" s="413">
        <v>4</v>
      </c>
      <c r="R21" s="279"/>
      <c r="S21" s="346"/>
      <c r="T21" s="279"/>
      <c r="U21" s="279"/>
      <c r="V21" s="279"/>
      <c r="W21" s="279"/>
      <c r="X21" s="279"/>
      <c r="Y21" s="279"/>
      <c r="Z21" s="279"/>
      <c r="AA21" s="279"/>
    </row>
    <row r="22" spans="1:27">
      <c r="A22" s="279"/>
      <c r="B22" s="408"/>
      <c r="C22" s="279"/>
      <c r="D22" s="279"/>
      <c r="E22" s="391"/>
      <c r="F22" s="279"/>
      <c r="G22" s="279"/>
      <c r="H22" s="279"/>
      <c r="I22" s="279"/>
      <c r="J22" s="279"/>
      <c r="K22" s="279"/>
      <c r="L22" s="279"/>
      <c r="M22" s="279"/>
      <c r="N22" s="279"/>
      <c r="O22" s="279"/>
      <c r="P22" s="279"/>
      <c r="Q22" s="279"/>
      <c r="R22" s="279"/>
      <c r="S22" s="346"/>
      <c r="T22" s="279"/>
      <c r="U22" s="279"/>
      <c r="V22" s="279"/>
      <c r="W22" s="279"/>
      <c r="X22" s="279"/>
      <c r="Y22" s="279"/>
      <c r="Z22" s="279"/>
      <c r="AA22" s="279"/>
    </row>
    <row r="23" spans="1:27">
      <c r="A23" s="279"/>
      <c r="B23" s="408"/>
      <c r="C23" s="279"/>
      <c r="D23" s="279"/>
      <c r="E23" s="391"/>
      <c r="F23" s="279"/>
      <c r="G23" s="279"/>
      <c r="H23" s="279"/>
      <c r="I23" s="279"/>
      <c r="J23" s="279"/>
      <c r="K23" s="279"/>
      <c r="L23" s="279"/>
      <c r="M23" s="279"/>
      <c r="N23" s="279"/>
      <c r="O23" s="279"/>
      <c r="P23" s="279"/>
      <c r="Q23" s="279"/>
      <c r="R23" s="279"/>
      <c r="S23" s="346"/>
      <c r="T23" s="279"/>
      <c r="U23" s="279"/>
      <c r="V23" s="279"/>
      <c r="W23" s="279"/>
      <c r="X23" s="279"/>
      <c r="Y23" s="279"/>
      <c r="Z23" s="279"/>
      <c r="AA23" s="279"/>
    </row>
    <row r="24" spans="1:27">
      <c r="A24" s="279"/>
      <c r="B24" s="408"/>
      <c r="C24" s="279"/>
      <c r="D24" s="279"/>
      <c r="E24" s="391"/>
      <c r="F24" s="279"/>
      <c r="G24" s="279"/>
      <c r="H24" s="279"/>
      <c r="I24" s="279"/>
      <c r="J24" s="279"/>
      <c r="K24" s="279"/>
      <c r="L24" s="279"/>
      <c r="M24" s="279"/>
      <c r="N24" s="279"/>
      <c r="O24" s="279"/>
      <c r="P24" s="279"/>
      <c r="Q24" s="279"/>
      <c r="R24" s="279"/>
      <c r="S24" s="346"/>
      <c r="T24" s="279"/>
      <c r="U24" s="279"/>
      <c r="V24" s="279"/>
      <c r="W24" s="279"/>
      <c r="X24" s="279"/>
      <c r="Y24" s="279"/>
      <c r="Z24" s="279"/>
      <c r="AA24" s="279"/>
    </row>
    <row r="25" spans="1:27">
      <c r="A25" s="279"/>
      <c r="B25" s="408"/>
      <c r="C25" s="279"/>
      <c r="D25" s="279"/>
      <c r="E25" s="391"/>
      <c r="F25" s="279"/>
      <c r="G25" s="279"/>
      <c r="H25" s="279"/>
      <c r="I25" s="279"/>
      <c r="J25" s="279"/>
      <c r="K25" s="279"/>
      <c r="L25" s="279"/>
      <c r="M25" s="279"/>
      <c r="N25" s="279"/>
      <c r="O25" s="279"/>
      <c r="P25" s="279"/>
      <c r="Q25" s="279"/>
      <c r="R25" s="279"/>
      <c r="S25" s="346"/>
      <c r="T25" s="279"/>
      <c r="U25" s="279"/>
      <c r="V25" s="279"/>
      <c r="W25" s="279"/>
      <c r="X25" s="279"/>
      <c r="Y25" s="279"/>
      <c r="Z25" s="279"/>
      <c r="AA25" s="279"/>
    </row>
    <row r="26" spans="1:27">
      <c r="A26" s="279"/>
      <c r="B26" s="408"/>
      <c r="C26" s="279"/>
      <c r="D26" s="279"/>
      <c r="E26" s="391"/>
      <c r="F26" s="279"/>
      <c r="G26" s="279"/>
      <c r="H26" s="279"/>
      <c r="I26" s="279"/>
      <c r="J26" s="279"/>
      <c r="K26" s="279"/>
      <c r="L26" s="279"/>
      <c r="M26" s="279"/>
      <c r="N26" s="279"/>
      <c r="O26" s="279"/>
      <c r="P26" s="279"/>
      <c r="Q26" s="279"/>
      <c r="R26" s="279"/>
      <c r="S26" s="346"/>
      <c r="T26" s="279"/>
      <c r="U26" s="279"/>
      <c r="V26" s="279"/>
      <c r="W26" s="279"/>
      <c r="X26" s="279"/>
      <c r="Y26" s="279"/>
      <c r="Z26" s="279"/>
      <c r="AA26" s="279"/>
    </row>
    <row r="27" spans="1:27">
      <c r="A27" s="279"/>
      <c r="B27" s="408"/>
      <c r="C27" s="279"/>
      <c r="D27" s="279"/>
      <c r="E27" s="391"/>
      <c r="F27" s="279"/>
      <c r="G27" s="279"/>
      <c r="H27" s="279"/>
      <c r="I27" s="279"/>
      <c r="J27" s="279"/>
      <c r="K27" s="279"/>
      <c r="L27" s="279"/>
      <c r="M27" s="279"/>
      <c r="N27" s="279"/>
      <c r="O27" s="279"/>
      <c r="P27" s="279"/>
      <c r="Q27" s="279"/>
      <c r="R27" s="279"/>
      <c r="S27" s="346"/>
      <c r="T27" s="279"/>
      <c r="U27" s="279"/>
      <c r="V27" s="279"/>
      <c r="W27" s="279"/>
      <c r="X27" s="279"/>
      <c r="Y27" s="279"/>
      <c r="Z27" s="279"/>
      <c r="AA27" s="279"/>
    </row>
    <row r="28" spans="1:27">
      <c r="A28" s="279"/>
      <c r="B28" s="408"/>
      <c r="C28" s="279"/>
      <c r="D28" s="279"/>
      <c r="E28" s="391"/>
      <c r="F28" s="279"/>
      <c r="G28" s="279"/>
      <c r="H28" s="279"/>
      <c r="I28" s="279"/>
      <c r="J28" s="279"/>
      <c r="K28" s="279"/>
      <c r="L28" s="279"/>
      <c r="M28" s="279"/>
      <c r="N28" s="279"/>
      <c r="O28" s="279"/>
      <c r="P28" s="279"/>
      <c r="Q28" s="279"/>
      <c r="R28" s="279"/>
      <c r="S28" s="346"/>
      <c r="T28" s="279"/>
      <c r="U28" s="279"/>
      <c r="V28" s="279"/>
      <c r="W28" s="279"/>
      <c r="X28" s="279"/>
      <c r="Y28" s="279"/>
      <c r="Z28" s="279"/>
      <c r="AA28" s="279"/>
    </row>
    <row r="29" spans="1:27">
      <c r="A29" s="279"/>
      <c r="B29" s="408"/>
      <c r="C29" s="279"/>
      <c r="D29" s="279"/>
      <c r="E29" s="391"/>
      <c r="F29" s="279"/>
      <c r="G29" s="279"/>
      <c r="H29" s="279"/>
      <c r="I29" s="279"/>
      <c r="J29" s="279"/>
      <c r="K29" s="279"/>
      <c r="L29" s="279"/>
      <c r="M29" s="279"/>
      <c r="N29" s="279"/>
      <c r="O29" s="279"/>
      <c r="P29" s="279"/>
      <c r="Q29" s="279"/>
      <c r="R29" s="279"/>
      <c r="S29" s="346"/>
      <c r="T29" s="279"/>
      <c r="U29" s="279"/>
      <c r="V29" s="279"/>
      <c r="W29" s="279"/>
      <c r="X29" s="279"/>
      <c r="Y29" s="279"/>
      <c r="Z29" s="279"/>
      <c r="AA29" s="279"/>
    </row>
    <row r="30" spans="1:27">
      <c r="A30" s="279"/>
      <c r="B30" s="408"/>
      <c r="C30" s="279"/>
      <c r="D30" s="279"/>
      <c r="E30" s="391"/>
      <c r="F30" s="279"/>
      <c r="G30" s="279"/>
      <c r="H30" s="279"/>
      <c r="I30" s="279"/>
      <c r="J30" s="279"/>
      <c r="K30" s="279"/>
      <c r="L30" s="279"/>
      <c r="M30" s="279"/>
      <c r="N30" s="279"/>
      <c r="O30" s="279"/>
      <c r="P30" s="279"/>
      <c r="Q30" s="279"/>
      <c r="R30" s="279"/>
      <c r="S30" s="346"/>
      <c r="T30" s="279"/>
      <c r="U30" s="279"/>
      <c r="V30" s="279"/>
      <c r="W30" s="279"/>
      <c r="X30" s="279"/>
      <c r="Y30" s="279"/>
      <c r="Z30" s="279"/>
      <c r="AA30" s="279"/>
    </row>
    <row r="31" spans="1:27">
      <c r="A31" s="279"/>
      <c r="B31" s="408"/>
      <c r="C31" s="279"/>
      <c r="D31" s="279"/>
      <c r="E31" s="391"/>
      <c r="F31" s="279"/>
      <c r="G31" s="279"/>
      <c r="H31" s="279"/>
      <c r="I31" s="279"/>
      <c r="J31" s="279"/>
      <c r="K31" s="279"/>
      <c r="L31" s="279"/>
      <c r="M31" s="279"/>
      <c r="N31" s="279"/>
      <c r="O31" s="279"/>
      <c r="P31" s="279"/>
      <c r="Q31" s="279"/>
      <c r="R31" s="279"/>
      <c r="S31" s="346"/>
      <c r="T31" s="279"/>
      <c r="U31" s="279"/>
      <c r="V31" s="279"/>
      <c r="W31" s="279"/>
      <c r="X31" s="279"/>
      <c r="Y31" s="279"/>
      <c r="Z31" s="279"/>
      <c r="AA31" s="279"/>
    </row>
    <row r="32" spans="1:27">
      <c r="A32" s="279"/>
      <c r="B32" s="408"/>
      <c r="C32" s="279"/>
      <c r="D32" s="279"/>
      <c r="E32" s="391"/>
      <c r="F32" s="279"/>
      <c r="G32" s="279"/>
      <c r="H32" s="279"/>
      <c r="I32" s="279"/>
      <c r="J32" s="279"/>
      <c r="K32" s="279"/>
      <c r="L32" s="279"/>
      <c r="M32" s="279"/>
      <c r="N32" s="279"/>
      <c r="O32" s="279"/>
      <c r="P32" s="279"/>
      <c r="Q32" s="279"/>
      <c r="R32" s="279"/>
      <c r="S32" s="346"/>
      <c r="T32" s="279"/>
      <c r="U32" s="279"/>
      <c r="V32" s="279"/>
      <c r="W32" s="279"/>
      <c r="X32" s="279"/>
      <c r="Y32" s="279"/>
      <c r="Z32" s="279"/>
      <c r="AA32" s="279"/>
    </row>
    <row r="33" spans="1:27">
      <c r="A33" s="279"/>
      <c r="B33" s="408"/>
      <c r="C33" s="279"/>
      <c r="D33" s="279"/>
      <c r="E33" s="391"/>
      <c r="F33" s="279"/>
      <c r="G33" s="279"/>
      <c r="H33" s="279"/>
      <c r="I33" s="279"/>
      <c r="J33" s="279"/>
      <c r="K33" s="279"/>
      <c r="L33" s="279"/>
      <c r="M33" s="279"/>
      <c r="N33" s="279"/>
      <c r="O33" s="279"/>
      <c r="P33" s="279"/>
      <c r="Q33" s="279"/>
      <c r="R33" s="279"/>
      <c r="S33" s="346"/>
      <c r="T33" s="279"/>
      <c r="U33" s="279"/>
      <c r="V33" s="279"/>
      <c r="W33" s="279"/>
      <c r="X33" s="279"/>
      <c r="Y33" s="279"/>
      <c r="Z33" s="279"/>
      <c r="AA33" s="279"/>
    </row>
    <row r="34" spans="1:27">
      <c r="A34" s="279"/>
      <c r="B34" s="408"/>
      <c r="C34" s="279"/>
      <c r="D34" s="279"/>
      <c r="E34" s="391"/>
      <c r="F34" s="279"/>
      <c r="G34" s="279"/>
      <c r="H34" s="279"/>
      <c r="I34" s="279"/>
      <c r="J34" s="279"/>
      <c r="K34" s="279"/>
      <c r="L34" s="279"/>
      <c r="M34" s="279"/>
      <c r="N34" s="279"/>
      <c r="O34" s="279"/>
      <c r="P34" s="279"/>
      <c r="Q34" s="279"/>
      <c r="R34" s="279"/>
      <c r="S34" s="346"/>
      <c r="T34" s="279"/>
      <c r="U34" s="279"/>
      <c r="V34" s="279"/>
      <c r="W34" s="279"/>
      <c r="X34" s="279"/>
      <c r="Y34" s="279"/>
      <c r="Z34" s="279"/>
      <c r="AA34" s="279"/>
    </row>
    <row r="35" spans="1:27">
      <c r="A35" s="279"/>
      <c r="B35" s="408"/>
      <c r="C35" s="279"/>
      <c r="D35" s="279"/>
      <c r="E35" s="391"/>
      <c r="F35" s="279"/>
      <c r="G35" s="279"/>
      <c r="H35" s="279"/>
      <c r="I35" s="279"/>
      <c r="J35" s="279"/>
      <c r="K35" s="279"/>
      <c r="L35" s="279"/>
      <c r="M35" s="279"/>
      <c r="N35" s="279"/>
      <c r="O35" s="279"/>
      <c r="P35" s="279"/>
      <c r="Q35" s="279"/>
      <c r="R35" s="279"/>
      <c r="S35" s="346"/>
      <c r="T35" s="279"/>
      <c r="U35" s="279"/>
      <c r="V35" s="279"/>
      <c r="W35" s="279"/>
      <c r="X35" s="279"/>
      <c r="Y35" s="279"/>
      <c r="Z35" s="279"/>
      <c r="AA35" s="279"/>
    </row>
    <row r="36" spans="1:27">
      <c r="A36" s="279"/>
      <c r="B36" s="408"/>
      <c r="C36" s="279"/>
      <c r="D36" s="279"/>
      <c r="E36" s="391"/>
      <c r="F36" s="279"/>
      <c r="G36" s="279"/>
      <c r="H36" s="279"/>
      <c r="I36" s="279"/>
      <c r="J36" s="279"/>
      <c r="K36" s="279"/>
      <c r="L36" s="279"/>
      <c r="M36" s="279"/>
      <c r="N36" s="279"/>
      <c r="O36" s="279"/>
      <c r="P36" s="279"/>
      <c r="Q36" s="279"/>
      <c r="R36" s="279"/>
      <c r="S36" s="346"/>
      <c r="T36" s="279"/>
      <c r="U36" s="279"/>
      <c r="V36" s="279"/>
      <c r="W36" s="279"/>
      <c r="X36" s="279"/>
      <c r="Y36" s="279"/>
      <c r="Z36" s="279"/>
      <c r="AA36" s="279"/>
    </row>
    <row r="37" spans="1:27">
      <c r="A37" s="279"/>
      <c r="B37" s="408"/>
      <c r="C37" s="279"/>
      <c r="D37" s="279"/>
      <c r="E37" s="391"/>
      <c r="F37" s="279"/>
      <c r="G37" s="279"/>
      <c r="H37" s="279"/>
      <c r="I37" s="279"/>
      <c r="J37" s="279"/>
      <c r="K37" s="279"/>
      <c r="L37" s="279"/>
      <c r="M37" s="279"/>
      <c r="N37" s="279"/>
      <c r="O37" s="279"/>
      <c r="P37" s="279"/>
      <c r="Q37" s="279"/>
      <c r="R37" s="279"/>
      <c r="S37" s="346"/>
      <c r="T37" s="279"/>
      <c r="U37" s="279"/>
      <c r="V37" s="279"/>
      <c r="W37" s="279"/>
      <c r="X37" s="279"/>
      <c r="Y37" s="279"/>
      <c r="Z37" s="279"/>
      <c r="AA37" s="279"/>
    </row>
    <row r="38" spans="1:27">
      <c r="A38" s="279"/>
      <c r="B38" s="408"/>
      <c r="C38" s="279"/>
      <c r="D38" s="279"/>
      <c r="E38" s="391"/>
      <c r="F38" s="279"/>
      <c r="G38" s="279"/>
      <c r="H38" s="279"/>
      <c r="I38" s="279"/>
      <c r="J38" s="279"/>
      <c r="K38" s="279"/>
      <c r="L38" s="279"/>
      <c r="M38" s="279"/>
      <c r="N38" s="279"/>
      <c r="O38" s="279"/>
      <c r="P38" s="279"/>
      <c r="Q38" s="279"/>
      <c r="R38" s="279"/>
      <c r="S38" s="346"/>
      <c r="T38" s="279"/>
      <c r="U38" s="279"/>
      <c r="V38" s="279"/>
      <c r="W38" s="279"/>
      <c r="X38" s="279"/>
      <c r="Y38" s="279"/>
      <c r="Z38" s="279"/>
      <c r="AA38" s="279"/>
    </row>
    <row r="39" spans="1:27">
      <c r="A39" s="279"/>
      <c r="B39" s="408"/>
      <c r="C39" s="279"/>
      <c r="D39" s="279"/>
      <c r="E39" s="391"/>
      <c r="F39" s="279"/>
      <c r="G39" s="279"/>
      <c r="H39" s="279"/>
      <c r="I39" s="279"/>
      <c r="J39" s="279"/>
      <c r="K39" s="279"/>
      <c r="L39" s="279"/>
      <c r="M39" s="279"/>
      <c r="N39" s="279"/>
      <c r="O39" s="279"/>
      <c r="P39" s="279"/>
      <c r="Q39" s="279"/>
      <c r="R39" s="279"/>
      <c r="S39" s="346"/>
      <c r="T39" s="279"/>
      <c r="U39" s="279"/>
      <c r="V39" s="279"/>
      <c r="W39" s="279"/>
      <c r="X39" s="279"/>
      <c r="Y39" s="279"/>
      <c r="Z39" s="279"/>
      <c r="AA39" s="279"/>
    </row>
    <row r="40" spans="1:27">
      <c r="A40" s="279"/>
      <c r="B40" s="408"/>
      <c r="C40" s="279"/>
      <c r="D40" s="279"/>
      <c r="E40" s="391"/>
      <c r="F40" s="279"/>
      <c r="G40" s="279"/>
      <c r="H40" s="279"/>
      <c r="I40" s="279"/>
      <c r="J40" s="279"/>
      <c r="K40" s="279"/>
      <c r="L40" s="279"/>
      <c r="M40" s="279"/>
      <c r="N40" s="279"/>
      <c r="O40" s="279"/>
      <c r="P40" s="279"/>
      <c r="Q40" s="279"/>
      <c r="R40" s="279"/>
      <c r="S40" s="346"/>
      <c r="T40" s="279"/>
      <c r="U40" s="279"/>
      <c r="V40" s="279"/>
      <c r="W40" s="279"/>
      <c r="X40" s="279"/>
      <c r="Y40" s="279"/>
      <c r="Z40" s="279"/>
      <c r="AA40" s="279"/>
    </row>
    <row r="41" spans="1:27">
      <c r="A41" s="279"/>
      <c r="B41" s="408"/>
      <c r="C41" s="279"/>
      <c r="D41" s="279"/>
      <c r="E41" s="391"/>
      <c r="F41" s="279"/>
      <c r="G41" s="279"/>
      <c r="H41" s="279"/>
      <c r="I41" s="279"/>
      <c r="J41" s="279"/>
      <c r="K41" s="279"/>
      <c r="L41" s="279"/>
      <c r="M41" s="279"/>
      <c r="N41" s="279"/>
      <c r="O41" s="279"/>
      <c r="P41" s="279"/>
      <c r="Q41" s="279"/>
      <c r="R41" s="279"/>
      <c r="S41" s="346"/>
      <c r="T41" s="279"/>
      <c r="U41" s="279"/>
      <c r="V41" s="279"/>
      <c r="W41" s="279"/>
      <c r="X41" s="279"/>
      <c r="Y41" s="279"/>
      <c r="Z41" s="279"/>
      <c r="AA41" s="279"/>
    </row>
    <row r="42" spans="1:27">
      <c r="A42" s="279"/>
      <c r="B42" s="408"/>
      <c r="C42" s="279"/>
      <c r="D42" s="279"/>
      <c r="E42" s="391"/>
      <c r="F42" s="279"/>
      <c r="G42" s="279"/>
      <c r="H42" s="279"/>
      <c r="I42" s="279"/>
      <c r="J42" s="279"/>
      <c r="K42" s="279"/>
      <c r="L42" s="279"/>
      <c r="M42" s="279"/>
      <c r="N42" s="279"/>
      <c r="O42" s="279"/>
      <c r="P42" s="279"/>
      <c r="Q42" s="279"/>
      <c r="R42" s="279"/>
      <c r="S42" s="346"/>
      <c r="T42" s="279"/>
      <c r="U42" s="279"/>
      <c r="V42" s="279"/>
      <c r="W42" s="279"/>
      <c r="X42" s="279"/>
      <c r="Y42" s="279"/>
      <c r="Z42" s="279"/>
      <c r="AA42" s="279"/>
    </row>
    <row r="43" spans="1:27">
      <c r="A43" s="279"/>
      <c r="B43" s="408"/>
      <c r="C43" s="279"/>
      <c r="D43" s="279"/>
      <c r="E43" s="391"/>
      <c r="F43" s="279"/>
      <c r="G43" s="279"/>
      <c r="H43" s="279"/>
      <c r="I43" s="279"/>
      <c r="J43" s="279"/>
      <c r="K43" s="279"/>
      <c r="L43" s="279"/>
      <c r="M43" s="279"/>
      <c r="N43" s="279"/>
      <c r="O43" s="279"/>
      <c r="P43" s="279"/>
      <c r="Q43" s="279"/>
      <c r="R43" s="279"/>
      <c r="S43" s="346"/>
      <c r="T43" s="279"/>
      <c r="U43" s="279"/>
      <c r="V43" s="279"/>
      <c r="W43" s="279"/>
      <c r="X43" s="279"/>
      <c r="Y43" s="279"/>
      <c r="Z43" s="279"/>
      <c r="AA43" s="279"/>
    </row>
  </sheetData>
  <sheetProtection password="CA1B" sheet="1" formatCells="0" formatColumns="0" formatRows="0"/>
  <conditionalFormatting sqref="L10 L20 D4 D12 H6 H14 D8 D16">
    <cfRule type="expression" dxfId="21" priority="2">
      <formula>IF(N(E4)&gt;N(E5),1,0)</formula>
    </cfRule>
  </conditionalFormatting>
  <conditionalFormatting sqref="C4 C8 C12 C16 G6 G14 K10 K20">
    <cfRule type="expression" dxfId="20" priority="3">
      <formula>IF(N(E4)&gt;N(E5),1,0)</formula>
    </cfRule>
  </conditionalFormatting>
  <conditionalFormatting sqref="I6 E16 E4 I14 E8 E12 M10 M20">
    <cfRule type="expression" dxfId="19" priority="4">
      <formula>IF(N(E4)&gt;N(E5),1,0)</formula>
    </cfRule>
  </conditionalFormatting>
  <conditionalFormatting sqref="C5 C9 C13 C17 G7 G15 K11 K21">
    <cfRule type="expression" dxfId="18" priority="5">
      <formula>IF(N(E5)&gt;N(E4),1,0)</formula>
    </cfRule>
  </conditionalFormatting>
  <conditionalFormatting sqref="L21 H15 H7 L11">
    <cfRule type="expression" dxfId="17" priority="6">
      <formula>IF(N(I7)&gt;N(I6),1,0)</formula>
    </cfRule>
  </conditionalFormatting>
  <conditionalFormatting sqref="I7 E17 E5 I15 E9 E13 M11 M21">
    <cfRule type="expression" dxfId="16" priority="7">
      <formula>IF(N(E5)&gt;N(E4),1,0)</formula>
    </cfRule>
  </conditionalFormatting>
  <conditionalFormatting sqref="D5 D9 D13 D17">
    <cfRule type="expression" dxfId="15" priority="8">
      <formula>IF(N(E5)&gt;N(E4),1,0)</formula>
    </cfRule>
  </conditionalFormatting>
  <pageMargins left="0.78749999999999998" right="0.78749999999999998" top="0.98402777777777795" bottom="0.98402777777777795" header="0.51180555555555496" footer="0.51180555555555496"/>
  <pageSetup paperSize="9" firstPageNumber="0" orientation="landscape"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
  <sheetViews>
    <sheetView topLeftCell="B1" zoomScaleNormal="100" workbookViewId="0">
      <pane xSplit="3" ySplit="3" topLeftCell="E4" activePane="bottomRight" state="frozen"/>
      <selection activeCell="B1" sqref="B1"/>
      <selection pane="topRight" activeCell="E1" sqref="E1"/>
      <selection pane="bottomLeft" activeCell="B4" sqref="B4"/>
      <selection pane="bottomRight" activeCell="E4" sqref="E4"/>
    </sheetView>
  </sheetViews>
  <sheetFormatPr defaultColWidth="8.7109375"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c r="B1" s="293"/>
      <c r="C1" s="320"/>
      <c r="D1" s="320"/>
      <c r="E1" s="320"/>
      <c r="F1" s="320"/>
      <c r="G1" s="320"/>
      <c r="H1" s="320"/>
      <c r="I1" s="320"/>
      <c r="J1" s="320"/>
      <c r="K1" s="320"/>
      <c r="L1" s="320"/>
      <c r="M1" s="320"/>
      <c r="N1" s="320"/>
      <c r="O1" s="320"/>
      <c r="P1" s="320"/>
      <c r="R1" s="279"/>
      <c r="S1" s="279"/>
      <c r="T1" s="279"/>
      <c r="U1" s="279"/>
      <c r="V1" s="325"/>
      <c r="W1" s="279"/>
      <c r="X1" s="279"/>
      <c r="Y1" s="279"/>
      <c r="Z1" s="325"/>
      <c r="AA1" s="279"/>
    </row>
    <row r="2" spans="1:30" ht="32.450000000000003" customHeight="1">
      <c r="A2" s="321"/>
      <c r="B2" s="408"/>
      <c r="C2" s="323">
        <v>8</v>
      </c>
      <c r="D2" s="453" t="s">
        <v>1758</v>
      </c>
      <c r="E2" s="325"/>
      <c r="F2" s="279"/>
      <c r="G2" s="279"/>
      <c r="H2" s="294"/>
      <c r="I2" s="279"/>
      <c r="J2" s="279"/>
      <c r="K2" s="279"/>
      <c r="L2" s="279"/>
      <c r="M2" s="279"/>
      <c r="N2" s="279"/>
      <c r="O2" s="279"/>
      <c r="P2" s="279"/>
      <c r="Q2" s="279"/>
      <c r="R2" s="279"/>
      <c r="S2" s="279"/>
      <c r="T2" s="279"/>
      <c r="U2" s="279"/>
      <c r="V2" s="325"/>
      <c r="W2" s="279"/>
      <c r="X2" s="279"/>
      <c r="Y2" s="279"/>
      <c r="Z2" s="325"/>
      <c r="AA2" s="279"/>
    </row>
    <row r="3" spans="1:30" ht="28.9" customHeight="1">
      <c r="A3" s="279"/>
      <c r="B3" s="328"/>
      <c r="C3" s="333"/>
      <c r="D3" s="330" t="s">
        <v>1748</v>
      </c>
      <c r="E3" s="331" t="str">
        <f ca="1">IF(OR(TRIM(D4)="-",TRIM(D5)="-"),"",VLOOKUP(MIN(C4,C5),Hřiště!$B$11:$E$42,4,0))</f>
        <v/>
      </c>
      <c r="F3" s="332"/>
      <c r="G3" s="333"/>
      <c r="H3" s="336"/>
      <c r="I3" s="335"/>
      <c r="J3" s="332"/>
      <c r="K3" s="332"/>
      <c r="L3" s="336"/>
      <c r="M3" s="335"/>
      <c r="N3" s="332"/>
      <c r="O3" s="332"/>
      <c r="P3" s="336"/>
      <c r="Q3" s="335"/>
      <c r="R3" s="279"/>
      <c r="S3" s="279"/>
      <c r="T3" s="279"/>
      <c r="U3" s="279"/>
      <c r="V3" s="325"/>
      <c r="W3" s="279"/>
      <c r="X3" s="279"/>
      <c r="Y3" s="279"/>
      <c r="Z3" s="325"/>
      <c r="AA3" s="279"/>
    </row>
    <row r="4" spans="1:30" ht="18">
      <c r="A4" s="337" t="str">
        <f ca="1">VLOOKUP(C4,Postupy!$A$3:$C$34,3,0)</f>
        <v>B2</v>
      </c>
      <c r="B4" s="471"/>
      <c r="C4" s="339">
        <v>8</v>
      </c>
      <c r="D4" s="419" t="str">
        <f ca="1">IF(OR(TRIM('KO8'!D4)="-",TRIM('KO8'!D5)="-"), IF(TRIM('KO8'!D4)="-",'KO8'!D4,'KO8'!D5),IF(AND('KO8'!E4="",'KO8'!E5="")," ",IF(N('KO8'!E4)=N('KO8'!E5)," ",IF(N('KO8'!E4)&gt;N('KO8'!E5),'KO8'!D5,'KO8'!D4))))</f>
        <v xml:space="preserve"> - </v>
      </c>
      <c r="E4" s="341"/>
      <c r="F4" s="431"/>
      <c r="G4" s="279"/>
      <c r="H4" s="432"/>
      <c r="I4" s="414"/>
      <c r="J4" s="279"/>
      <c r="K4" s="279"/>
      <c r="L4" s="390"/>
      <c r="M4" s="279"/>
      <c r="N4" s="279"/>
      <c r="O4" s="279"/>
      <c r="P4" s="279"/>
      <c r="Q4" s="279"/>
      <c r="R4" s="279"/>
      <c r="S4" s="279"/>
      <c r="T4" s="346"/>
      <c r="U4" s="279"/>
      <c r="V4" s="279"/>
      <c r="W4" s="279"/>
      <c r="X4" s="279"/>
      <c r="Y4" s="279"/>
      <c r="Z4" s="279"/>
      <c r="AA4" s="279"/>
      <c r="AB4" s="279"/>
    </row>
    <row r="5" spans="1:30" ht="18.75">
      <c r="A5" s="337" t="str">
        <f ca="1">VLOOKUP(C5,Postupy!$A$3:$C$34,3,0)</f>
        <v>C2</v>
      </c>
      <c r="B5" s="472"/>
      <c r="C5" s="347">
        <v>5</v>
      </c>
      <c r="D5" s="457" t="str">
        <f ca="1">IF(OR(TRIM('KO8'!D8)="-",TRIM('KO8'!D9)="-"), IF(TRIM('KO8'!D8)="-",'KO8'!D8,'KO8'!D9),IF(AND('KO8'!E8="",'KO8'!E9="")," ",IF(N('KO8'!E8)=N('KO8'!E9)," ",IF(N('KO8'!E8)&gt;N('KO8'!E9),'KO8'!D9,'KO8'!D8))))</f>
        <v xml:space="preserve"> - </v>
      </c>
      <c r="E5" s="349"/>
      <c r="F5" s="433"/>
      <c r="G5" s="434"/>
      <c r="H5" s="459" t="s">
        <v>1759</v>
      </c>
      <c r="I5" s="331" t="str">
        <f ca="1">IF(OR(TRIM(H6)="-",TRIM(H7)="-"),"",VLOOKUP(MIN(G6,G7),Hřiště!$B$11:$E$42,4,0))</f>
        <v/>
      </c>
      <c r="J5" s="279"/>
      <c r="K5" s="279"/>
      <c r="L5" s="390"/>
      <c r="M5" s="279"/>
      <c r="N5" s="279"/>
      <c r="O5" s="279"/>
      <c r="P5" s="279"/>
      <c r="Q5" s="279"/>
      <c r="R5" s="279"/>
      <c r="S5" s="279"/>
      <c r="T5" s="346"/>
      <c r="U5" s="279"/>
      <c r="V5" s="279"/>
      <c r="W5" s="279"/>
      <c r="X5" s="279"/>
      <c r="Y5" s="279"/>
      <c r="Z5" s="279"/>
      <c r="AA5" s="279"/>
      <c r="AB5" s="279"/>
    </row>
    <row r="6" spans="1:30" ht="18">
      <c r="A6" s="353"/>
      <c r="B6" s="408"/>
      <c r="C6" s="279"/>
      <c r="D6" s="438"/>
      <c r="E6" s="414"/>
      <c r="F6" s="279"/>
      <c r="G6" s="339">
        <v>5</v>
      </c>
      <c r="H6" s="340" t="str">
        <f ca="1">IF(OR(TRIM(D4)="-",TRIM(D5)="-"), IF(TRIM(D4)="-",D5,D4),IF(AND(E4="",E5="")," ",IF(N(E4)=N(E5)," ",IF(N(E4)&gt;N(E5),D4,D5))))</f>
        <v xml:space="preserve"> - </v>
      </c>
      <c r="I6" s="341"/>
      <c r="J6" s="437"/>
      <c r="K6" s="407">
        <v>5</v>
      </c>
      <c r="L6" s="406" t="str">
        <f>IF(AND(I6="",I7="")," ",IF(N(I6)=N(I7)," ",IF(N(I6)&gt;N(I7),H6,H7)))</f>
        <v xml:space="preserve"> </v>
      </c>
      <c r="M6" s="407">
        <v>5</v>
      </c>
      <c r="N6" s="279"/>
      <c r="O6" s="279"/>
      <c r="P6" s="346"/>
      <c r="Q6" s="279"/>
      <c r="R6" s="279"/>
      <c r="S6" s="279"/>
      <c r="T6" s="279"/>
      <c r="U6" s="279"/>
      <c r="V6" s="325"/>
      <c r="W6" s="279"/>
      <c r="X6" s="279"/>
      <c r="Y6" s="279"/>
      <c r="Z6" s="325"/>
      <c r="AA6" s="279"/>
      <c r="AB6" s="279"/>
      <c r="AC6" s="279"/>
      <c r="AD6" s="346"/>
    </row>
    <row r="7" spans="1:30" ht="18.75">
      <c r="A7" s="359"/>
      <c r="B7" s="328"/>
      <c r="C7" s="279"/>
      <c r="D7" s="330" t="s">
        <v>1748</v>
      </c>
      <c r="E7" s="331" t="str">
        <f ca="1">IF(OR(TRIM(D8)="-",TRIM(D9)="-"),"",VLOOKUP(MIN(C8,C9),Hřiště!$B$11:$E$42,4,0))</f>
        <v/>
      </c>
      <c r="F7" s="279"/>
      <c r="G7" s="347">
        <v>6</v>
      </c>
      <c r="H7" s="348" t="str">
        <f ca="1">IF(OR(TRIM(D8)="-",TRIM(D9)="-"), IF(TRIM(D8)="-",D9,D8),IF(AND(E8="",E9="")," ",IF(N(E8)=N(E9)," ",IF(N(E8)&gt;N(E9),D8,D9))))</f>
        <v xml:space="preserve"> - </v>
      </c>
      <c r="I7" s="349"/>
      <c r="J7" s="433"/>
      <c r="K7" s="473">
        <v>6</v>
      </c>
      <c r="L7" s="412" t="str">
        <f>IF(AND(I6="",I7="")," ",IF(N(I7)=N(I6)," ",IF(N(I7)&gt;N(I6),H6,H7)))</f>
        <v xml:space="preserve"> </v>
      </c>
      <c r="M7" s="413">
        <v>6</v>
      </c>
      <c r="N7" s="279"/>
      <c r="O7" s="279"/>
      <c r="P7" s="279"/>
      <c r="Q7" s="279"/>
      <c r="R7" s="279"/>
      <c r="S7" s="279"/>
      <c r="T7" s="279"/>
      <c r="U7" s="279"/>
      <c r="V7" s="325"/>
      <c r="W7" s="279"/>
      <c r="X7" s="279"/>
      <c r="Y7" s="279"/>
      <c r="Z7" s="325"/>
      <c r="AA7" s="279"/>
      <c r="AB7" s="279"/>
      <c r="AC7" s="279"/>
      <c r="AD7" s="279"/>
    </row>
    <row r="8" spans="1:30" ht="18">
      <c r="A8" s="337" t="e">
        <f ca="1">VLOOKUP(C50,Postupy!$A$3:$C$34,3,0)</f>
        <v>#N/A</v>
      </c>
      <c r="B8" s="471"/>
      <c r="C8" s="339">
        <v>6</v>
      </c>
      <c r="D8" s="419" t="str">
        <f ca="1">IF(OR(TRIM('KO8'!D12)="-",TRIM('KO8'!D13)="-"), IF(TRIM('KO8'!D12)="-",'KO8'!D12,'KO8'!D13),IF(AND('KO8'!E12="",'KO8'!E13="")," ",IF(N('KO8'!E12)=N('KO8'!E13)," ",IF(N('KO8'!E12)&gt;N('KO8'!E13),'KO8'!D13,'KO8'!D12))))</f>
        <v xml:space="preserve"> - </v>
      </c>
      <c r="E8" s="341"/>
      <c r="F8" s="437"/>
      <c r="G8" s="434"/>
      <c r="H8" s="438"/>
      <c r="I8" s="458"/>
      <c r="J8" s="279"/>
      <c r="K8" s="279"/>
      <c r="L8" s="440"/>
      <c r="M8" s="445"/>
      <c r="N8" s="346"/>
      <c r="O8" s="279"/>
      <c r="P8" s="346"/>
      <c r="Q8" s="279"/>
      <c r="R8" s="279"/>
      <c r="S8" s="279"/>
      <c r="T8" s="279"/>
      <c r="U8" s="279"/>
      <c r="V8" s="325"/>
      <c r="W8" s="279"/>
      <c r="X8" s="279"/>
      <c r="Y8" s="279"/>
      <c r="Z8" s="325"/>
      <c r="AA8" s="279"/>
      <c r="AB8" s="279"/>
      <c r="AC8" s="279"/>
      <c r="AD8" s="279"/>
    </row>
    <row r="9" spans="1:30" ht="18">
      <c r="A9" s="337" t="e">
        <f ca="1">VLOOKUP(C51,Postupy!$A$3:$C$34,3,0)</f>
        <v>#N/A</v>
      </c>
      <c r="B9" s="328"/>
      <c r="C9" s="347">
        <v>7</v>
      </c>
      <c r="D9" s="457" t="str">
        <f ca="1">IF(OR(TRIM('KO8'!D16)="-",TRIM('KO8'!D17)="-"),IF(TRIM('KO8'!D16)="-",'KO8'!D16,'KO8'!D17),IF(AND('KO8'!E16="",'KO8'!E17="")," ",IF(N('KO8'!E16)=N('KO8'!E17)," ",IF(N('KO8'!E16)&gt;N('KO8'!E17),'KO8'!D17,'KO8'!D16))))</f>
        <v xml:space="preserve"> - </v>
      </c>
      <c r="E9" s="349"/>
      <c r="F9" s="293"/>
      <c r="G9" s="279"/>
      <c r="H9" s="438"/>
      <c r="I9" s="414"/>
      <c r="J9" s="441"/>
      <c r="K9" s="441"/>
      <c r="L9" s="441"/>
      <c r="M9" s="441"/>
      <c r="N9" s="441"/>
      <c r="O9" s="441"/>
      <c r="P9" s="441"/>
      <c r="Q9" s="441"/>
      <c r="R9" s="279"/>
      <c r="S9" s="279"/>
      <c r="T9" s="346"/>
      <c r="U9" s="279"/>
      <c r="V9" s="279"/>
      <c r="W9" s="279"/>
      <c r="X9" s="279"/>
      <c r="Y9" s="279"/>
      <c r="Z9" s="279"/>
      <c r="AA9" s="279"/>
      <c r="AB9" s="279"/>
    </row>
    <row r="10" spans="1:30" ht="13.5">
      <c r="A10" s="279"/>
      <c r="B10" s="439"/>
      <c r="C10" s="440"/>
      <c r="D10" s="441"/>
      <c r="E10" s="414"/>
      <c r="F10" s="279"/>
      <c r="G10" s="279"/>
      <c r="H10" s="442"/>
      <c r="I10" s="460"/>
      <c r="J10" s="443"/>
      <c r="K10" s="443"/>
      <c r="L10" s="443"/>
      <c r="M10" s="443"/>
      <c r="N10" s="443"/>
      <c r="O10" s="443"/>
      <c r="P10" s="443"/>
      <c r="Q10" s="443"/>
      <c r="R10" s="279"/>
      <c r="S10" s="346"/>
      <c r="T10" s="279"/>
      <c r="U10" s="279"/>
      <c r="V10" s="279"/>
      <c r="W10" s="279"/>
      <c r="X10" s="279"/>
      <c r="Y10" s="279"/>
      <c r="Z10" s="279"/>
      <c r="AA10" s="279"/>
    </row>
    <row r="11" spans="1:30" ht="14.25">
      <c r="A11" s="279"/>
      <c r="B11" s="408"/>
      <c r="C11" s="279"/>
      <c r="D11" s="438"/>
      <c r="E11" s="414"/>
      <c r="F11" s="279"/>
      <c r="G11" s="279"/>
      <c r="H11" s="459" t="s">
        <v>1760</v>
      </c>
      <c r="I11" s="331" t="str">
        <f ca="1">IF(OR(TRIM(H12)="-",TRIM(H13)="-"),"",VLOOKUP(MIN(G12,G13),Hřiště!$B$11:$E$42,4,0))</f>
        <v/>
      </c>
      <c r="J11" s="443"/>
      <c r="K11" s="443"/>
      <c r="L11" s="443"/>
      <c r="M11" s="443"/>
      <c r="N11" s="443"/>
      <c r="O11" s="443"/>
      <c r="P11" s="443"/>
      <c r="Q11" s="443"/>
      <c r="R11" s="279"/>
      <c r="S11" s="279"/>
      <c r="T11" s="279"/>
      <c r="U11" s="279"/>
      <c r="V11" s="279"/>
      <c r="W11" s="279"/>
      <c r="X11" s="279"/>
      <c r="Y11" s="325"/>
      <c r="Z11" s="279"/>
      <c r="AA11" s="279"/>
      <c r="AB11" s="279"/>
      <c r="AC11" s="346"/>
    </row>
    <row r="12" spans="1:30" ht="18">
      <c r="A12" s="279"/>
      <c r="B12" s="328"/>
      <c r="C12" s="294"/>
      <c r="D12" s="464"/>
      <c r="E12" s="414"/>
      <c r="F12" s="279"/>
      <c r="G12" s="339">
        <v>7</v>
      </c>
      <c r="H12" s="340" t="str">
        <f ca="1">IF(OR(TRIM(D4)="-",TRIM(D5)="-"), IF(TRIM(D4)="-",D5,D4),IF(AND(E4="",E5="")," ",IF(N(E4)=N(E5)," ",IF(N(E5)&gt;N(E4),D4,D5))))</f>
        <v xml:space="preserve"> - </v>
      </c>
      <c r="I12" s="341"/>
      <c r="J12" s="365"/>
      <c r="K12" s="413">
        <v>7</v>
      </c>
      <c r="L12" s="412" t="str">
        <f>IF(AND(I12="",I13="")," ",IF(N(I12)=N(I13)," ",IF(N(I12)&gt;N(I13),H12,H13)))</f>
        <v xml:space="preserve"> </v>
      </c>
      <c r="M12" s="413">
        <v>7</v>
      </c>
      <c r="N12" s="279"/>
      <c r="O12" s="279"/>
      <c r="P12" s="346"/>
      <c r="Q12" s="448"/>
      <c r="R12" s="448"/>
      <c r="S12" s="448"/>
      <c r="T12" s="448"/>
      <c r="U12" s="448"/>
      <c r="V12" s="279"/>
      <c r="W12" s="279"/>
      <c r="X12" s="279"/>
      <c r="Y12" s="279"/>
      <c r="Z12" s="279"/>
      <c r="AA12" s="279"/>
    </row>
    <row r="13" spans="1:30" ht="18">
      <c r="A13" s="279"/>
      <c r="B13" s="439"/>
      <c r="C13" s="465"/>
      <c r="D13" s="466"/>
      <c r="E13" s="376"/>
      <c r="F13" s="279"/>
      <c r="G13" s="347">
        <v>8</v>
      </c>
      <c r="H13" s="348" t="str">
        <f ca="1">IF(OR(TRIM(D8)="-",TRIM(D9)="-"), IF(TRIM(D8)="-",D9,D8),IF(AND(E8="",E9="")," ",IF(N(E8)=N(E9)," ",IF(N(E9)&gt;N(E8),D8,D9))))</f>
        <v xml:space="preserve"> - </v>
      </c>
      <c r="I13" s="349"/>
      <c r="J13" s="350"/>
      <c r="K13" s="473">
        <v>8</v>
      </c>
      <c r="L13" s="412" t="str">
        <f>IF(AND(I12="",I13="")," ",IF(N(I13)=N(I12)," ",IF(N(I13)&gt;N(I12),H12,H13)))</f>
        <v xml:space="preserve"> </v>
      </c>
      <c r="M13" s="413">
        <v>8</v>
      </c>
      <c r="N13" s="279"/>
      <c r="O13" s="279"/>
      <c r="P13" s="346"/>
      <c r="Q13" s="279"/>
      <c r="R13" s="279"/>
      <c r="S13" s="346"/>
      <c r="T13" s="279"/>
      <c r="U13" s="279"/>
      <c r="V13" s="279"/>
      <c r="W13" s="279"/>
      <c r="X13" s="279"/>
      <c r="Y13" s="279"/>
      <c r="Z13" s="279"/>
      <c r="AA13" s="279"/>
    </row>
    <row r="14" spans="1:30">
      <c r="A14" s="279"/>
      <c r="B14" s="439"/>
      <c r="C14" s="467"/>
      <c r="D14" s="468"/>
      <c r="E14" s="279"/>
      <c r="F14" s="279"/>
      <c r="G14" s="279"/>
      <c r="H14" s="451"/>
      <c r="I14" s="279"/>
      <c r="J14" s="279"/>
      <c r="K14" s="279"/>
      <c r="L14" s="279"/>
      <c r="M14" s="279"/>
      <c r="N14" s="279"/>
      <c r="O14" s="279"/>
      <c r="P14" s="346"/>
      <c r="Q14" s="279"/>
      <c r="R14" s="279"/>
      <c r="S14" s="346"/>
      <c r="T14" s="279"/>
      <c r="U14" s="279"/>
      <c r="V14" s="279"/>
      <c r="W14" s="279"/>
      <c r="X14" s="279"/>
      <c r="Y14" s="279"/>
      <c r="Z14" s="279"/>
      <c r="AA14" s="279"/>
    </row>
    <row r="15" spans="1:30">
      <c r="A15" s="279"/>
      <c r="B15" s="408"/>
      <c r="C15" s="279"/>
      <c r="D15" s="279"/>
      <c r="E15" s="279"/>
      <c r="F15" s="279"/>
      <c r="G15" s="279"/>
      <c r="H15" s="279"/>
      <c r="I15" s="279"/>
      <c r="J15" s="279"/>
      <c r="K15" s="279"/>
      <c r="L15" s="279"/>
      <c r="M15" s="279"/>
      <c r="N15" s="279"/>
      <c r="O15" s="279"/>
      <c r="P15" s="346"/>
      <c r="Q15" s="279"/>
      <c r="R15" s="279"/>
      <c r="S15" s="346"/>
      <c r="T15" s="279"/>
      <c r="U15" s="279"/>
      <c r="V15" s="279"/>
      <c r="W15" s="279"/>
      <c r="X15" s="279"/>
      <c r="Y15" s="279"/>
      <c r="Z15" s="279"/>
      <c r="AA15" s="279"/>
    </row>
    <row r="16" spans="1:30" ht="13.5">
      <c r="A16" s="279"/>
      <c r="B16" s="408"/>
      <c r="C16" s="279"/>
      <c r="D16" s="279"/>
      <c r="E16" s="391"/>
      <c r="F16" s="279"/>
      <c r="G16" s="279"/>
      <c r="H16" s="279"/>
      <c r="I16" s="279"/>
      <c r="J16" s="279"/>
      <c r="K16" s="279"/>
      <c r="L16" s="279"/>
      <c r="M16" s="279"/>
      <c r="N16" s="279"/>
      <c r="O16" s="279"/>
      <c r="P16" s="346"/>
      <c r="Q16" s="448"/>
      <c r="R16" s="279"/>
      <c r="S16" s="346"/>
      <c r="T16" s="279"/>
      <c r="U16" s="279"/>
      <c r="V16" s="279"/>
      <c r="W16" s="279"/>
      <c r="X16" s="279"/>
      <c r="Y16" s="279"/>
      <c r="Z16" s="279"/>
      <c r="AA16" s="279"/>
    </row>
    <row r="17" spans="1:27">
      <c r="A17" s="279"/>
      <c r="B17" s="328"/>
      <c r="C17" s="279"/>
      <c r="D17" s="346"/>
      <c r="E17" s="279"/>
      <c r="F17" s="279"/>
      <c r="G17" s="279"/>
      <c r="H17" s="279"/>
      <c r="I17" s="279"/>
      <c r="J17" s="279"/>
      <c r="K17" s="279"/>
      <c r="L17" s="279"/>
      <c r="M17" s="279"/>
      <c r="N17" s="279"/>
      <c r="O17" s="279"/>
      <c r="P17" s="279"/>
      <c r="Q17" s="279"/>
      <c r="R17" s="279"/>
      <c r="S17" s="346"/>
      <c r="T17" s="279"/>
      <c r="U17" s="279"/>
      <c r="V17" s="279"/>
      <c r="W17" s="279"/>
      <c r="X17" s="279"/>
      <c r="Y17" s="279"/>
      <c r="Z17" s="279"/>
      <c r="AA17" s="279"/>
    </row>
    <row r="18" spans="1:27">
      <c r="A18" s="279"/>
      <c r="B18" s="469"/>
      <c r="C18" s="279"/>
      <c r="D18" s="474"/>
      <c r="E18" s="279"/>
      <c r="F18" s="279"/>
      <c r="G18" s="279"/>
      <c r="H18" s="279"/>
      <c r="I18" s="279"/>
      <c r="J18" s="279"/>
      <c r="K18" s="279"/>
      <c r="L18" s="279"/>
      <c r="M18" s="279"/>
      <c r="N18" s="279"/>
      <c r="O18" s="279"/>
      <c r="P18" s="279"/>
      <c r="Q18" s="279"/>
      <c r="R18" s="279"/>
      <c r="S18" s="346"/>
      <c r="T18" s="279"/>
      <c r="U18" s="279"/>
      <c r="V18" s="279"/>
      <c r="W18" s="279"/>
      <c r="X18" s="279"/>
      <c r="Y18" s="279"/>
      <c r="Z18" s="279"/>
      <c r="AA18" s="279"/>
    </row>
    <row r="19" spans="1:27">
      <c r="A19" s="279"/>
      <c r="B19" s="469"/>
      <c r="C19" s="279"/>
      <c r="D19" s="279"/>
      <c r="E19" s="279"/>
      <c r="F19" s="279"/>
      <c r="G19" s="279"/>
      <c r="H19" s="279"/>
      <c r="I19" s="279"/>
      <c r="J19" s="279"/>
      <c r="K19" s="279"/>
      <c r="L19" s="279"/>
      <c r="M19" s="279"/>
      <c r="N19" s="279"/>
      <c r="O19" s="279"/>
      <c r="P19" s="279"/>
      <c r="Q19" s="279"/>
      <c r="R19" s="279"/>
      <c r="S19" s="346"/>
      <c r="T19" s="279"/>
      <c r="U19" s="279"/>
      <c r="V19" s="279"/>
      <c r="W19" s="279"/>
      <c r="X19" s="279"/>
      <c r="Y19" s="279"/>
      <c r="Z19" s="279"/>
      <c r="AA19" s="279"/>
    </row>
    <row r="20" spans="1:27" ht="13.5">
      <c r="A20" s="279"/>
      <c r="B20" s="475"/>
      <c r="C20" s="294"/>
      <c r="D20" s="464"/>
      <c r="E20" s="279"/>
      <c r="F20" s="279"/>
      <c r="G20" s="279"/>
      <c r="H20" s="448"/>
      <c r="I20" s="279"/>
      <c r="J20" s="279"/>
      <c r="K20" s="279"/>
      <c r="L20" s="279"/>
      <c r="M20" s="279"/>
      <c r="N20" s="279"/>
      <c r="O20" s="279"/>
      <c r="P20" s="346"/>
      <c r="Q20" s="448"/>
      <c r="R20" s="448"/>
      <c r="S20" s="448"/>
      <c r="T20" s="448"/>
      <c r="U20" s="448"/>
      <c r="V20" s="279"/>
      <c r="W20" s="279"/>
      <c r="X20" s="279"/>
      <c r="Y20" s="279"/>
      <c r="Z20" s="279"/>
      <c r="AA20" s="279"/>
    </row>
    <row r="21" spans="1:27" ht="13.5">
      <c r="A21" s="279"/>
      <c r="B21" s="475"/>
      <c r="C21" s="294"/>
      <c r="D21" s="464"/>
      <c r="E21" s="279"/>
      <c r="F21" s="279"/>
      <c r="G21" s="279"/>
      <c r="H21" s="448"/>
      <c r="I21" s="279"/>
      <c r="J21" s="279"/>
      <c r="K21" s="279"/>
      <c r="L21" s="279"/>
      <c r="M21" s="279"/>
      <c r="N21" s="279"/>
      <c r="O21" s="279"/>
      <c r="P21" s="346"/>
      <c r="Q21" s="448"/>
      <c r="R21" s="448"/>
      <c r="S21" s="448"/>
      <c r="T21" s="448"/>
      <c r="U21" s="448"/>
      <c r="V21" s="279"/>
      <c r="W21" s="279"/>
      <c r="X21" s="279"/>
      <c r="Y21" s="279"/>
      <c r="Z21" s="279"/>
      <c r="AA21" s="279"/>
    </row>
    <row r="22" spans="1:27" ht="13.5">
      <c r="A22" s="279"/>
      <c r="B22" s="475"/>
      <c r="C22" s="294"/>
      <c r="D22" s="464"/>
      <c r="E22" s="279"/>
      <c r="F22" s="279"/>
      <c r="G22" s="279"/>
      <c r="H22" s="448"/>
      <c r="I22" s="279"/>
      <c r="J22" s="279"/>
      <c r="K22" s="279"/>
      <c r="L22" s="279"/>
      <c r="M22" s="279"/>
      <c r="N22" s="279"/>
      <c r="O22" s="279"/>
      <c r="P22" s="346"/>
      <c r="Q22" s="448"/>
      <c r="R22" s="448"/>
      <c r="S22" s="448"/>
      <c r="T22" s="448"/>
      <c r="U22" s="448"/>
      <c r="V22" s="279"/>
      <c r="W22" s="279"/>
      <c r="X22" s="279"/>
      <c r="Y22" s="279"/>
      <c r="Z22" s="279"/>
      <c r="AA22" s="279"/>
    </row>
    <row r="23" spans="1:27" ht="13.5">
      <c r="A23" s="279"/>
      <c r="B23" s="475"/>
      <c r="C23" s="294"/>
      <c r="D23" s="464"/>
      <c r="E23" s="279"/>
      <c r="F23" s="279"/>
      <c r="G23" s="279"/>
      <c r="H23" s="448"/>
      <c r="I23" s="279"/>
      <c r="J23" s="279"/>
      <c r="K23" s="279"/>
      <c r="L23" s="279"/>
      <c r="M23" s="279"/>
      <c r="N23" s="279"/>
      <c r="O23" s="279"/>
      <c r="P23" s="346"/>
      <c r="Q23" s="448"/>
      <c r="R23" s="448"/>
      <c r="S23" s="448"/>
      <c r="T23" s="448"/>
      <c r="U23" s="448"/>
      <c r="V23" s="279"/>
      <c r="W23" s="279"/>
      <c r="X23" s="279"/>
      <c r="Y23" s="279"/>
      <c r="Z23" s="279"/>
      <c r="AA23" s="279"/>
    </row>
    <row r="24" spans="1:27" ht="13.5">
      <c r="A24" s="279"/>
      <c r="B24" s="475"/>
      <c r="C24" s="294"/>
      <c r="D24" s="464"/>
      <c r="E24" s="279"/>
      <c r="F24" s="279"/>
      <c r="G24" s="279"/>
      <c r="H24" s="448"/>
      <c r="I24" s="279"/>
      <c r="J24" s="279"/>
      <c r="K24" s="279"/>
      <c r="L24" s="279"/>
      <c r="M24" s="279"/>
      <c r="N24" s="279"/>
      <c r="O24" s="279"/>
      <c r="P24" s="346"/>
      <c r="Q24" s="448"/>
      <c r="R24" s="448"/>
      <c r="S24" s="448"/>
      <c r="T24" s="448"/>
      <c r="U24" s="448"/>
      <c r="V24" s="279"/>
      <c r="W24" s="279"/>
      <c r="X24" s="279"/>
      <c r="Y24" s="279"/>
      <c r="Z24" s="279"/>
      <c r="AA24" s="279"/>
    </row>
    <row r="25" spans="1:27" ht="13.5">
      <c r="A25" s="279"/>
      <c r="B25" s="475"/>
      <c r="C25" s="294"/>
      <c r="D25" s="464"/>
      <c r="E25" s="279"/>
      <c r="F25" s="279"/>
      <c r="G25" s="279"/>
      <c r="H25" s="448"/>
      <c r="I25" s="279"/>
      <c r="J25" s="279"/>
      <c r="K25" s="279"/>
      <c r="L25" s="279"/>
      <c r="M25" s="279"/>
      <c r="N25" s="279"/>
      <c r="O25" s="279"/>
      <c r="P25" s="346"/>
      <c r="Q25" s="448"/>
      <c r="R25" s="448"/>
      <c r="S25" s="448"/>
      <c r="T25" s="448"/>
      <c r="U25" s="448"/>
      <c r="V25" s="279"/>
      <c r="W25" s="279"/>
      <c r="X25" s="279"/>
      <c r="Y25" s="279"/>
      <c r="Z25" s="279"/>
      <c r="AA25" s="279"/>
    </row>
    <row r="26" spans="1:27" ht="13.5">
      <c r="A26" s="279"/>
      <c r="B26" s="475"/>
      <c r="C26" s="294"/>
      <c r="D26" s="464"/>
      <c r="E26" s="279"/>
      <c r="F26" s="279"/>
      <c r="G26" s="279"/>
      <c r="H26" s="448"/>
      <c r="I26" s="279"/>
      <c r="J26" s="279"/>
      <c r="K26" s="279"/>
      <c r="L26" s="279"/>
      <c r="M26" s="279"/>
      <c r="N26" s="279"/>
      <c r="O26" s="279"/>
      <c r="P26" s="346"/>
      <c r="Q26" s="448"/>
      <c r="R26" s="448"/>
      <c r="S26" s="448"/>
      <c r="T26" s="448"/>
      <c r="U26" s="448"/>
      <c r="V26" s="279"/>
      <c r="W26" s="279"/>
      <c r="X26" s="279"/>
      <c r="Y26" s="279"/>
      <c r="Z26" s="279"/>
      <c r="AA26" s="279"/>
    </row>
    <row r="27" spans="1:27" ht="13.5">
      <c r="A27" s="279"/>
      <c r="B27" s="475"/>
      <c r="C27" s="294"/>
      <c r="D27" s="464"/>
      <c r="E27" s="279"/>
      <c r="F27" s="279"/>
      <c r="G27" s="279"/>
      <c r="H27" s="448"/>
      <c r="I27" s="279"/>
      <c r="J27" s="279"/>
      <c r="K27" s="279"/>
      <c r="L27" s="279"/>
      <c r="M27" s="279"/>
      <c r="N27" s="279"/>
      <c r="O27" s="279"/>
      <c r="P27" s="346"/>
      <c r="Q27" s="448"/>
      <c r="R27" s="448"/>
      <c r="S27" s="448"/>
      <c r="T27" s="448"/>
      <c r="U27" s="448"/>
      <c r="V27" s="279"/>
      <c r="W27" s="279"/>
      <c r="X27" s="279"/>
      <c r="Y27" s="279"/>
      <c r="Z27" s="279"/>
      <c r="AA27" s="279"/>
    </row>
    <row r="28" spans="1:27" ht="13.5">
      <c r="A28" s="279"/>
      <c r="B28" s="475"/>
      <c r="C28" s="294"/>
      <c r="D28" s="464"/>
      <c r="E28" s="279"/>
      <c r="F28" s="279"/>
      <c r="G28" s="279"/>
      <c r="H28" s="448"/>
      <c r="I28" s="279"/>
      <c r="J28" s="279"/>
      <c r="K28" s="279"/>
      <c r="L28" s="279"/>
      <c r="M28" s="279"/>
      <c r="N28" s="279"/>
      <c r="O28" s="279"/>
      <c r="P28" s="346"/>
      <c r="Q28" s="448"/>
      <c r="R28" s="448"/>
      <c r="S28" s="448"/>
      <c r="T28" s="448"/>
      <c r="U28" s="448"/>
      <c r="V28" s="279"/>
      <c r="W28" s="279"/>
      <c r="X28" s="279"/>
      <c r="Y28" s="279"/>
      <c r="Z28" s="279"/>
      <c r="AA28" s="279"/>
    </row>
    <row r="29" spans="1:27" ht="13.5">
      <c r="A29" s="279"/>
      <c r="B29" s="475"/>
      <c r="C29" s="294"/>
      <c r="D29" s="464"/>
      <c r="E29" s="279"/>
      <c r="F29" s="279"/>
      <c r="G29" s="279"/>
      <c r="H29" s="448"/>
      <c r="I29" s="279"/>
      <c r="J29" s="279"/>
      <c r="K29" s="279"/>
      <c r="L29" s="279"/>
      <c r="M29" s="279"/>
      <c r="N29" s="279"/>
      <c r="O29" s="279"/>
      <c r="P29" s="346"/>
      <c r="Q29" s="448"/>
      <c r="R29" s="448"/>
      <c r="S29" s="448"/>
      <c r="T29" s="448"/>
      <c r="U29" s="448"/>
      <c r="V29" s="279"/>
      <c r="W29" s="279"/>
      <c r="X29" s="279"/>
      <c r="Y29" s="279"/>
      <c r="Z29" s="279"/>
      <c r="AA29" s="279"/>
    </row>
    <row r="30" spans="1:27" ht="13.5">
      <c r="A30" s="279"/>
      <c r="B30" s="475"/>
      <c r="C30" s="294"/>
      <c r="D30" s="464"/>
      <c r="E30" s="279"/>
      <c r="F30" s="279"/>
      <c r="G30" s="279"/>
      <c r="H30" s="448"/>
      <c r="I30" s="279"/>
      <c r="J30" s="279"/>
      <c r="K30" s="279"/>
      <c r="L30" s="279"/>
      <c r="M30" s="279"/>
      <c r="N30" s="279"/>
      <c r="O30" s="279"/>
      <c r="P30" s="346"/>
      <c r="Q30" s="448"/>
      <c r="R30" s="448"/>
      <c r="S30" s="448"/>
      <c r="T30" s="448"/>
      <c r="U30" s="448"/>
      <c r="V30" s="279"/>
      <c r="W30" s="279"/>
      <c r="X30" s="279"/>
      <c r="Y30" s="279"/>
      <c r="Z30" s="279"/>
      <c r="AA30" s="279"/>
    </row>
    <row r="31" spans="1:27" ht="13.5">
      <c r="A31" s="279"/>
      <c r="B31" s="475"/>
      <c r="C31" s="294"/>
      <c r="D31" s="464"/>
      <c r="E31" s="279"/>
      <c r="F31" s="279"/>
      <c r="G31" s="279"/>
      <c r="H31" s="448"/>
      <c r="I31" s="279"/>
      <c r="J31" s="279"/>
      <c r="K31" s="279"/>
      <c r="L31" s="279"/>
      <c r="M31" s="279"/>
      <c r="N31" s="279"/>
      <c r="O31" s="279"/>
      <c r="P31" s="346"/>
      <c r="Q31" s="448"/>
      <c r="R31" s="448"/>
      <c r="S31" s="448"/>
      <c r="T31" s="448"/>
      <c r="U31" s="448"/>
      <c r="V31" s="279"/>
      <c r="W31" s="279"/>
      <c r="X31" s="279"/>
      <c r="Y31" s="279"/>
      <c r="Z31" s="279"/>
      <c r="AA31" s="279"/>
    </row>
    <row r="32" spans="1:27" ht="13.5">
      <c r="A32" s="279"/>
      <c r="B32" s="475"/>
      <c r="C32" s="294"/>
      <c r="D32" s="464"/>
      <c r="E32" s="279"/>
      <c r="F32" s="279"/>
      <c r="G32" s="279"/>
      <c r="H32" s="448"/>
      <c r="I32" s="279"/>
      <c r="J32" s="279"/>
      <c r="K32" s="279"/>
      <c r="L32" s="279"/>
      <c r="M32" s="279"/>
      <c r="N32" s="279"/>
      <c r="O32" s="279"/>
      <c r="P32" s="346"/>
      <c r="Q32" s="448"/>
      <c r="R32" s="448"/>
      <c r="S32" s="448"/>
      <c r="T32" s="448"/>
      <c r="U32" s="448"/>
      <c r="V32" s="279"/>
      <c r="W32" s="279"/>
      <c r="X32" s="279"/>
      <c r="Y32" s="279"/>
      <c r="Z32" s="279"/>
      <c r="AA32" s="279"/>
    </row>
  </sheetData>
  <sheetProtection password="CA1B" sheet="1" formatCells="0" formatColumns="0" formatRows="0"/>
  <conditionalFormatting sqref="D4 D8 H6 H12">
    <cfRule type="expression" dxfId="14" priority="2">
      <formula>IF(N(E4)&gt;N(E5),1,0)</formula>
    </cfRule>
  </conditionalFormatting>
  <conditionalFormatting sqref="C4 C8 G6 G12">
    <cfRule type="expression" dxfId="13" priority="3">
      <formula>IF(N(E4)&gt;N(E5),1,0)</formula>
    </cfRule>
  </conditionalFormatting>
  <conditionalFormatting sqref="E8 I6 E4 I12">
    <cfRule type="expression" dxfId="12" priority="4">
      <formula>IF(N(E4)&gt;N(E5),1,0)</formula>
    </cfRule>
  </conditionalFormatting>
  <conditionalFormatting sqref="C5 C9 G7 G13">
    <cfRule type="expression" dxfId="11" priority="5">
      <formula>IF(N(E5)&gt;N(E4),1,0)</formula>
    </cfRule>
  </conditionalFormatting>
  <conditionalFormatting sqref="D5 D9 H7 H13">
    <cfRule type="expression" dxfId="10" priority="6">
      <formula>IF(N(E5)&gt;N(E4),1,0)</formula>
    </cfRule>
  </conditionalFormatting>
  <conditionalFormatting sqref="E9 I7 E5 I13">
    <cfRule type="expression" dxfId="9" priority="7">
      <formula>IF(N(E5)&gt;N(E4),1,0)</formula>
    </cfRule>
  </conditionalFormatting>
  <pageMargins left="0.78749999999999998" right="0.78749999999999998" top="0.98402777777777795" bottom="0.98402777777777795" header="0.51180555555555496" footer="0.51180555555555496"/>
  <pageSetup paperSize="9" firstPageNumber="0" orientation="landscape"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3"/>
  <sheetViews>
    <sheetView zoomScaleNormal="100" workbookViewId="0">
      <pane xSplit="4" ySplit="3" topLeftCell="E4" activePane="bottomRight" state="frozen"/>
      <selection pane="topRight" activeCell="E1" sqref="E1"/>
      <selection pane="bottomLeft" activeCell="A4" sqref="A4"/>
      <selection pane="bottomRight" activeCell="E4" sqref="E4"/>
    </sheetView>
  </sheetViews>
  <sheetFormatPr defaultColWidth="8.7109375"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c r="B1" s="293"/>
      <c r="C1" s="320"/>
      <c r="D1" s="320"/>
      <c r="E1" s="320"/>
      <c r="F1" s="320"/>
      <c r="G1" s="320"/>
      <c r="H1" s="320"/>
      <c r="I1" s="320"/>
      <c r="J1" s="320"/>
      <c r="K1" s="320"/>
      <c r="L1" s="320"/>
      <c r="M1" s="320"/>
      <c r="N1" s="320"/>
      <c r="O1" s="320"/>
      <c r="P1" s="320"/>
      <c r="Q1" s="320"/>
      <c r="S1" s="279"/>
      <c r="T1" s="279"/>
      <c r="U1" s="279"/>
      <c r="V1" s="279"/>
      <c r="W1" s="325"/>
      <c r="X1" s="279"/>
      <c r="Y1" s="279"/>
      <c r="Z1" s="279"/>
      <c r="AA1" s="325"/>
      <c r="AB1" s="279"/>
    </row>
    <row r="2" spans="1:28" ht="31.5">
      <c r="A2" s="321"/>
      <c r="B2" s="322"/>
      <c r="C2" s="323">
        <v>4</v>
      </c>
      <c r="D2" s="324" t="s">
        <v>1745</v>
      </c>
      <c r="E2" s="279"/>
      <c r="F2" s="279"/>
      <c r="G2" s="326">
        <v>2</v>
      </c>
      <c r="H2" s="324" t="s">
        <v>1746</v>
      </c>
      <c r="I2" s="279"/>
      <c r="J2" s="279"/>
      <c r="K2" s="326">
        <v>1</v>
      </c>
      <c r="L2" s="327" t="s">
        <v>1747</v>
      </c>
      <c r="M2" s="279"/>
      <c r="N2" s="279"/>
      <c r="O2" s="279"/>
      <c r="P2" s="346"/>
    </row>
    <row r="3" spans="1:28" ht="28.9" customHeight="1">
      <c r="A3" s="279"/>
      <c r="B3" s="279"/>
      <c r="C3" s="293"/>
      <c r="D3" s="330" t="s">
        <v>1748</v>
      </c>
      <c r="E3" s="331" t="str">
        <f ca="1">IF(OR(TRIM(D4)="-",TRIM(D5)="-"),"",VLOOKUP(MIN(C4,C5),Hřiště!$B$11:$E$42,4,0))</f>
        <v/>
      </c>
      <c r="F3" s="346"/>
      <c r="G3" s="332"/>
      <c r="H3" s="332"/>
      <c r="I3" s="334"/>
      <c r="J3" s="335"/>
      <c r="K3" s="332"/>
      <c r="L3" s="332"/>
      <c r="M3" s="334"/>
      <c r="N3" s="279"/>
      <c r="O3" s="279"/>
      <c r="P3" s="346"/>
      <c r="Q3" s="334"/>
      <c r="R3" s="335"/>
      <c r="S3" s="332"/>
      <c r="T3" s="332"/>
      <c r="U3" s="336"/>
      <c r="V3" s="430"/>
      <c r="W3" s="325"/>
      <c r="X3" s="279"/>
      <c r="Y3" s="279"/>
      <c r="Z3" s="279"/>
      <c r="AA3" s="325"/>
      <c r="AB3" s="279"/>
    </row>
    <row r="4" spans="1:28" ht="18.75">
      <c r="A4" s="337" t="str">
        <f ca="1">VLOOKUP(C4,Postupy!$A$3:$C$9,3,0)</f>
        <v>A1</v>
      </c>
      <c r="B4" s="279"/>
      <c r="C4" s="339">
        <v>1</v>
      </c>
      <c r="D4" s="419" t="str">
        <f ca="1">VLOOKUP(C4,Postupy!$A$3:$W$6,23,0)</f>
        <v xml:space="preserve"> -</v>
      </c>
      <c r="E4" s="341">
        <f ca="1">VLOOKUP(C4,Postupy!$A$3:$X$6,24,0)</f>
        <v>0</v>
      </c>
      <c r="F4" s="431"/>
      <c r="G4" s="325"/>
      <c r="H4" s="397" t="s">
        <v>1746</v>
      </c>
      <c r="I4" s="325"/>
      <c r="J4" s="279"/>
      <c r="K4" s="279"/>
      <c r="L4" s="279"/>
      <c r="M4" s="279"/>
      <c r="N4" s="279"/>
      <c r="O4" s="279"/>
      <c r="P4" s="346"/>
    </row>
    <row r="5" spans="1:28" ht="18.75">
      <c r="A5" s="337" t="str">
        <f ca="1">VLOOKUP(C5,Postupy!$A$3:$C$18,3,0)</f>
        <v>D1</v>
      </c>
      <c r="B5" s="279"/>
      <c r="C5" s="347">
        <v>4</v>
      </c>
      <c r="D5" s="419" t="str">
        <f ca="1">VLOOKUP(C5,Postupy!$A$3:$W$6,23,0)</f>
        <v xml:space="preserve"> -</v>
      </c>
      <c r="E5" s="349">
        <f ca="1">VLOOKUP(C5,Postupy!$A$3:$X$6,24,0)</f>
        <v>0</v>
      </c>
      <c r="F5" s="433"/>
      <c r="G5" s="434"/>
      <c r="H5" s="330" t="s">
        <v>1748</v>
      </c>
      <c r="I5" s="331" t="str">
        <f ca="1">IF(OR(TRIM(H6)="-",TRIM(H7)="-"),"",VLOOKUP(MIN(G6,G7),Hřiště!$B$11:$E$42,4,0))</f>
        <v/>
      </c>
      <c r="J5" s="346"/>
      <c r="K5" s="346"/>
      <c r="L5" s="421"/>
      <c r="M5" s="279"/>
      <c r="N5" s="279"/>
      <c r="O5" s="279"/>
      <c r="P5" s="346"/>
    </row>
    <row r="6" spans="1:28" ht="18">
      <c r="A6" s="353"/>
      <c r="B6" s="408"/>
      <c r="C6" s="279"/>
      <c r="D6" s="442"/>
      <c r="E6" s="346"/>
      <c r="F6" s="346"/>
      <c r="G6" s="339">
        <v>1</v>
      </c>
      <c r="H6" s="340" t="str">
        <f ca="1">IF(OR(TRIM(D4)="-",TRIM(D5)="-"), IF(TRIM(D4)="-",D5,D4),IF(AND(E4="",E5="")," ",IF(N(E4)=N(E5)," ",IF(N(E4)&gt;N(E5),D4,D5))))</f>
        <v xml:space="preserve"> -</v>
      </c>
      <c r="I6" s="341">
        <f ca="1">VLOOKUP(G6,Postupy!$A$3:$Z$6,26,0)</f>
        <v>0</v>
      </c>
      <c r="J6" s="437"/>
      <c r="K6" s="393">
        <v>1</v>
      </c>
      <c r="L6" s="406" t="str">
        <f ca="1">IF(AND(I6="",I7="")," ",IF(N(I6)=N(I7)," ",IF(N(I6)&gt;N(I7),H6,H7)))</f>
        <v xml:space="preserve"> </v>
      </c>
      <c r="M6" s="407">
        <v>1</v>
      </c>
      <c r="N6" s="279"/>
      <c r="O6" s="346"/>
      <c r="P6" s="279"/>
    </row>
    <row r="7" spans="1:28" ht="18.75">
      <c r="A7" s="359"/>
      <c r="B7" s="328"/>
      <c r="C7" s="279"/>
      <c r="D7" s="330" t="s">
        <v>1748</v>
      </c>
      <c r="E7" s="331" t="str">
        <f ca="1">IF(OR(TRIM(D8)="-",TRIM(D9)="-"),"",VLOOKUP(MIN(C8,C9),Hřiště!$B$11:$E$42,4,0))</f>
        <v/>
      </c>
      <c r="F7" s="346"/>
      <c r="G7" s="347">
        <v>2</v>
      </c>
      <c r="H7" s="348" t="str">
        <f ca="1">IF(OR(TRIM(D8)="-",TRIM(D9)="-"), IF(TRIM(D8)="-",D9,D8),IF(AND(E8="",E9="")," ",IF(N(E8)=N(E9)," ",IF(N(E8)&gt;N(E9),D8,D9))))</f>
        <v xml:space="preserve"> -</v>
      </c>
      <c r="I7" s="349">
        <f ca="1">VLOOKUP(G7,Postupy!$A$3:$Z$6,26,0)</f>
        <v>0</v>
      </c>
      <c r="J7" s="279"/>
      <c r="K7" s="393">
        <v>2</v>
      </c>
      <c r="L7" s="412" t="str">
        <f ca="1">IF(AND(I6="",I7="")," ",IF(N(I7)=N(I6)," ",IF(N(I7)&gt;N(I6),H6,H7)))</f>
        <v xml:space="preserve"> </v>
      </c>
      <c r="M7" s="413">
        <v>2</v>
      </c>
      <c r="N7" s="279"/>
      <c r="O7" s="279"/>
      <c r="P7" s="279"/>
    </row>
    <row r="8" spans="1:28" ht="18">
      <c r="A8" s="337" t="str">
        <f ca="1">VLOOKUP(C8,Postupy!$A$3:$C$9,3,0)</f>
        <v>C1</v>
      </c>
      <c r="B8" s="279"/>
      <c r="C8" s="339">
        <v>3</v>
      </c>
      <c r="D8" s="419" t="str">
        <f ca="1">VLOOKUP(C8,Postupy!$A$3:$W$6,23,0)</f>
        <v xml:space="preserve"> -</v>
      </c>
      <c r="E8" s="341">
        <f ca="1">VLOOKUP(C8,Postupy!$A$3:$X$6,24,0)</f>
        <v>0</v>
      </c>
      <c r="F8" s="437"/>
      <c r="G8" s="279"/>
      <c r="H8" s="443"/>
      <c r="I8" s="346"/>
      <c r="J8" s="279"/>
      <c r="K8" s="279"/>
      <c r="L8" s="279"/>
      <c r="M8" s="279"/>
      <c r="N8" s="279"/>
      <c r="O8" s="346"/>
      <c r="P8" s="279"/>
    </row>
    <row r="9" spans="1:28" ht="18">
      <c r="A9" s="337" t="str">
        <f ca="1">VLOOKUP(C9,Postupy!$A$3:$C$18,3,0)</f>
        <v>B1</v>
      </c>
      <c r="B9" s="279"/>
      <c r="C9" s="347">
        <v>2</v>
      </c>
      <c r="D9" s="419" t="str">
        <f ca="1">VLOOKUP(C9,Postupy!$A$3:$W$6,23,0)</f>
        <v xml:space="preserve"> -</v>
      </c>
      <c r="E9" s="349">
        <f ca="1">VLOOKUP(C9,Postupy!$A$3:$X$6,24,0)</f>
        <v>0</v>
      </c>
      <c r="F9" s="293"/>
      <c r="G9" s="279"/>
      <c r="H9" s="441"/>
      <c r="I9" s="346"/>
      <c r="J9" s="441"/>
      <c r="K9" s="441"/>
      <c r="L9" s="346"/>
      <c r="M9" s="346"/>
      <c r="N9" s="279"/>
      <c r="O9" s="279"/>
      <c r="P9" s="346"/>
    </row>
    <row r="10" spans="1:28">
      <c r="A10" s="353"/>
      <c r="B10" s="439"/>
      <c r="C10" s="279"/>
      <c r="D10" s="438"/>
      <c r="E10" s="325"/>
      <c r="F10" s="279"/>
      <c r="G10" s="279"/>
      <c r="H10" s="441"/>
      <c r="I10" s="346"/>
      <c r="J10" s="441"/>
      <c r="K10" s="441"/>
      <c r="L10" s="346"/>
      <c r="M10" s="346"/>
      <c r="N10" s="279"/>
      <c r="O10" s="279"/>
      <c r="P10" s="346"/>
    </row>
    <row r="11" spans="1:28">
      <c r="A11" s="359"/>
      <c r="B11" s="408"/>
      <c r="C11" s="279"/>
      <c r="D11" s="438"/>
      <c r="E11" s="279"/>
      <c r="F11" s="279"/>
      <c r="G11" s="279"/>
      <c r="H11" s="441"/>
      <c r="I11" s="346"/>
      <c r="J11" s="441"/>
      <c r="K11" s="441"/>
      <c r="L11" s="346"/>
      <c r="M11" s="346"/>
      <c r="N11" s="279"/>
      <c r="O11" s="279"/>
      <c r="P11" s="346"/>
    </row>
    <row r="12" spans="1:28" ht="13.5">
      <c r="A12" s="353"/>
      <c r="B12" s="279"/>
      <c r="C12" s="279"/>
      <c r="D12" s="448"/>
      <c r="E12" s="279"/>
      <c r="F12" s="279"/>
      <c r="G12" s="279"/>
      <c r="H12" s="441"/>
      <c r="I12" s="346"/>
      <c r="J12" s="441"/>
      <c r="K12" s="441"/>
      <c r="L12" s="346"/>
      <c r="M12" s="346"/>
      <c r="N12" s="279"/>
      <c r="O12" s="279"/>
      <c r="P12" s="346"/>
    </row>
    <row r="13" spans="1:28" ht="16.5">
      <c r="A13" s="359"/>
      <c r="B13" s="279"/>
      <c r="C13" s="279"/>
      <c r="D13" s="448"/>
      <c r="E13" s="279"/>
      <c r="F13" s="279"/>
      <c r="G13" s="441"/>
      <c r="H13" s="416" t="s">
        <v>1750</v>
      </c>
      <c r="I13" s="346"/>
      <c r="J13" s="441"/>
      <c r="K13" s="441"/>
      <c r="L13" s="346"/>
      <c r="M13" s="346"/>
      <c r="N13" s="279"/>
      <c r="O13" s="279"/>
      <c r="P13" s="346"/>
    </row>
    <row r="14" spans="1:28" ht="16.5">
      <c r="A14" s="353"/>
      <c r="B14" s="408"/>
      <c r="C14" s="279"/>
      <c r="D14" s="448"/>
      <c r="E14" s="279"/>
      <c r="F14" s="279"/>
      <c r="G14" s="441"/>
      <c r="H14" s="417" t="s">
        <v>1751</v>
      </c>
      <c r="I14" s="346"/>
      <c r="J14" s="441"/>
      <c r="K14" s="441"/>
      <c r="L14" s="346"/>
      <c r="M14" s="346"/>
      <c r="N14" s="279"/>
      <c r="O14" s="279"/>
      <c r="P14" s="346"/>
    </row>
    <row r="15" spans="1:28" ht="17.45" customHeight="1">
      <c r="A15" s="359"/>
      <c r="B15" s="328"/>
      <c r="C15" s="279"/>
      <c r="D15" s="438"/>
      <c r="E15" s="279"/>
      <c r="F15" s="279"/>
      <c r="G15" s="343"/>
      <c r="H15" s="330" t="s">
        <v>1748</v>
      </c>
      <c r="I15" s="331" t="str">
        <f ca="1">IF(OR(TRIM(H16)="-",TRIM(H17)="-"),"",VLOOKUP(MIN(G16,G17),Hřiště!$B$11:$E$42,4,0))</f>
        <v/>
      </c>
      <c r="J15" s="346"/>
      <c r="K15" s="279"/>
      <c r="L15" s="279"/>
      <c r="M15" s="279"/>
      <c r="N15" s="279"/>
      <c r="O15" s="346"/>
      <c r="P15" s="279"/>
    </row>
    <row r="16" spans="1:28" ht="18">
      <c r="A16" s="359"/>
      <c r="B16" s="279"/>
      <c r="C16" s="279"/>
      <c r="D16" s="438"/>
      <c r="E16" s="279"/>
      <c r="F16" s="279"/>
      <c r="G16" s="339">
        <v>4</v>
      </c>
      <c r="H16" s="340" t="str">
        <f ca="1">IF(OR(TRIM(D4)="-",TRIM(D5)="-"), IF(TRIM(D4)="-",D5,D4),IF(AND(E4="",E5="")," ",IF(N(E5)=N(E4)," ",IF(N(E5)&gt;N(E4),D4,D5))))</f>
        <v xml:space="preserve"> -</v>
      </c>
      <c r="I16" s="341">
        <f ca="1">VLOOKUP(G16,Postupy!$A$3:$Z$6,26,0)</f>
        <v>0</v>
      </c>
      <c r="J16" s="365"/>
      <c r="K16" s="393">
        <v>3</v>
      </c>
      <c r="L16" s="412" t="str">
        <f ca="1">IF(AND(I16="",I17="")," ",IF(N(I16)=N(I17)," ",IF(N(I16)&gt;N(I17),H16,H17)))</f>
        <v xml:space="preserve"> </v>
      </c>
      <c r="M16" s="413">
        <v>3</v>
      </c>
      <c r="N16" s="279"/>
      <c r="O16" s="346"/>
      <c r="P16" s="279"/>
    </row>
    <row r="17" spans="1:16" ht="18">
      <c r="A17" s="359"/>
      <c r="B17" s="279"/>
      <c r="C17" s="279"/>
      <c r="D17" s="438"/>
      <c r="E17" s="279"/>
      <c r="F17" s="279"/>
      <c r="G17" s="347">
        <v>3</v>
      </c>
      <c r="H17" s="348" t="str">
        <f ca="1">IF(OR(TRIM(D8)="-",TRIM(D9)="-"), IF(TRIM(D8)="-",D9,D8),IF(AND(E8="",E9="")," ",IF(N(E9)=N(E8)," ",IF(N(E9)&gt;N(E8),D8,D9))))</f>
        <v xml:space="preserve"> -</v>
      </c>
      <c r="I17" s="349">
        <f ca="1">VLOOKUP(G17,Postupy!$A$3:$Z$6,26,0)</f>
        <v>0</v>
      </c>
      <c r="J17" s="350"/>
      <c r="K17" s="393">
        <v>4</v>
      </c>
      <c r="L17" s="412" t="str">
        <f ca="1">IF(AND(I16="",I17="")," ",IF(N(I17)=N(I16)," ",IF(N(I17)&gt;N(I16),H16,H17)))</f>
        <v xml:space="preserve"> </v>
      </c>
      <c r="M17" s="413">
        <v>4</v>
      </c>
      <c r="N17" s="279"/>
      <c r="O17" s="346"/>
      <c r="P17" s="279"/>
    </row>
    <row r="18" spans="1:16">
      <c r="A18" s="359"/>
      <c r="B18" s="439"/>
      <c r="C18" s="279"/>
      <c r="D18" s="438"/>
      <c r="E18" s="279"/>
      <c r="F18" s="279"/>
      <c r="G18" s="279"/>
      <c r="H18" s="441"/>
      <c r="I18" s="346"/>
      <c r="J18" s="279"/>
      <c r="K18" s="279"/>
      <c r="L18" s="279"/>
      <c r="M18" s="279"/>
      <c r="N18" s="279"/>
      <c r="O18" s="346"/>
      <c r="P18" s="279"/>
    </row>
    <row r="19" spans="1:16">
      <c r="A19" s="359"/>
      <c r="B19" s="408"/>
      <c r="C19" s="279"/>
      <c r="D19" s="438"/>
      <c r="E19" s="279"/>
      <c r="F19" s="279"/>
      <c r="G19" s="279"/>
      <c r="H19" s="441"/>
      <c r="I19" s="346"/>
      <c r="J19" s="441"/>
      <c r="K19" s="441"/>
      <c r="L19" s="346"/>
      <c r="M19" s="346"/>
      <c r="N19" s="279"/>
      <c r="O19" s="279"/>
      <c r="P19" s="346"/>
    </row>
    <row r="20" spans="1:16">
      <c r="A20" s="359"/>
      <c r="B20" s="408"/>
      <c r="C20" s="279"/>
      <c r="D20" s="438"/>
      <c r="E20" s="279"/>
      <c r="F20" s="279"/>
      <c r="G20" s="279"/>
      <c r="H20" s="441"/>
      <c r="I20" s="346"/>
      <c r="J20" s="441"/>
      <c r="K20" s="441"/>
      <c r="L20" s="346"/>
      <c r="M20" s="346"/>
      <c r="N20" s="279"/>
      <c r="O20" s="279"/>
      <c r="P20" s="346"/>
    </row>
    <row r="21" spans="1:16">
      <c r="A21" s="359"/>
      <c r="B21" s="408"/>
      <c r="C21" s="279"/>
      <c r="D21" s="438"/>
      <c r="E21" s="279"/>
      <c r="F21" s="279"/>
      <c r="G21" s="279"/>
      <c r="H21" s="441"/>
      <c r="I21" s="346"/>
      <c r="J21" s="441"/>
      <c r="K21" s="441"/>
      <c r="L21" s="346"/>
      <c r="M21" s="346"/>
      <c r="N21" s="279"/>
      <c r="O21" s="279"/>
      <c r="P21" s="346"/>
    </row>
    <row r="22" spans="1:16">
      <c r="A22" s="359"/>
      <c r="B22" s="408"/>
      <c r="C22" s="279"/>
      <c r="D22" s="438"/>
      <c r="E22" s="279"/>
      <c r="F22" s="279"/>
      <c r="G22" s="279"/>
      <c r="H22" s="441"/>
      <c r="I22" s="346"/>
      <c r="J22" s="441"/>
      <c r="K22" s="441"/>
      <c r="L22" s="346"/>
      <c r="M22" s="346"/>
      <c r="N22" s="279"/>
      <c r="O22" s="279"/>
      <c r="P22" s="346"/>
    </row>
    <row r="23" spans="1:16">
      <c r="A23" s="359"/>
      <c r="B23" s="408"/>
      <c r="C23" s="279"/>
      <c r="D23" s="438"/>
      <c r="E23" s="279"/>
      <c r="F23" s="279"/>
      <c r="G23" s="279"/>
      <c r="H23" s="441"/>
      <c r="I23" s="346"/>
      <c r="J23" s="441"/>
      <c r="K23" s="441"/>
      <c r="L23" s="346"/>
      <c r="M23" s="346"/>
      <c r="N23" s="279"/>
      <c r="O23" s="279"/>
      <c r="P23" s="346"/>
    </row>
    <row r="24" spans="1:16">
      <c r="A24" s="359"/>
      <c r="B24" s="408"/>
      <c r="C24" s="279"/>
      <c r="D24" s="438"/>
      <c r="E24" s="279"/>
      <c r="F24" s="279"/>
      <c r="G24" s="279"/>
      <c r="H24" s="441"/>
      <c r="I24" s="346"/>
      <c r="J24" s="441"/>
      <c r="K24" s="441"/>
      <c r="L24" s="346"/>
      <c r="M24" s="346"/>
      <c r="N24" s="279"/>
      <c r="O24" s="279"/>
      <c r="P24" s="346"/>
    </row>
    <row r="25" spans="1:16">
      <c r="A25" s="359"/>
      <c r="B25" s="408"/>
      <c r="C25" s="279"/>
      <c r="D25" s="438"/>
      <c r="E25" s="279"/>
      <c r="F25" s="279"/>
      <c r="G25" s="279"/>
      <c r="H25" s="441"/>
      <c r="I25" s="346"/>
      <c r="J25" s="441"/>
      <c r="K25" s="441"/>
      <c r="L25" s="346"/>
      <c r="M25" s="346"/>
      <c r="N25" s="279"/>
      <c r="O25" s="279"/>
      <c r="P25" s="346"/>
    </row>
    <row r="26" spans="1:16">
      <c r="A26" s="359"/>
      <c r="B26" s="408"/>
      <c r="C26" s="279"/>
      <c r="D26" s="438"/>
      <c r="E26" s="279"/>
      <c r="F26" s="279"/>
      <c r="G26" s="279"/>
      <c r="H26" s="441"/>
      <c r="I26" s="346"/>
      <c r="J26" s="441"/>
      <c r="K26" s="441"/>
      <c r="L26" s="346"/>
      <c r="M26" s="346"/>
      <c r="N26" s="279"/>
      <c r="O26" s="279"/>
      <c r="P26" s="346"/>
    </row>
    <row r="27" spans="1:16">
      <c r="A27" s="359"/>
      <c r="B27" s="408"/>
      <c r="C27" s="279"/>
      <c r="D27" s="438"/>
      <c r="E27" s="279"/>
      <c r="F27" s="279"/>
      <c r="G27" s="279"/>
      <c r="H27" s="441"/>
      <c r="I27" s="346"/>
      <c r="J27" s="441"/>
      <c r="K27" s="441"/>
      <c r="L27" s="346"/>
      <c r="M27" s="346"/>
      <c r="N27" s="279"/>
      <c r="O27" s="279"/>
      <c r="P27" s="346"/>
    </row>
    <row r="28" spans="1:16">
      <c r="A28" s="353"/>
      <c r="B28" s="408"/>
    </row>
    <row r="29" spans="1:16">
      <c r="A29" s="359"/>
      <c r="B29" s="408"/>
    </row>
    <row r="30" spans="1:16">
      <c r="A30" s="353"/>
      <c r="B30" s="408"/>
    </row>
    <row r="31" spans="1:16">
      <c r="A31" s="359"/>
      <c r="B31" s="408"/>
    </row>
    <row r="32" spans="1:16">
      <c r="A32" s="279"/>
      <c r="B32" s="408"/>
    </row>
    <row r="33" spans="1:2">
      <c r="A33" s="279"/>
      <c r="B33" s="408"/>
    </row>
    <row r="34" spans="1:2">
      <c r="A34" s="279"/>
      <c r="B34" s="408"/>
    </row>
    <row r="35" spans="1:2">
      <c r="A35" s="279"/>
      <c r="B35" s="408"/>
    </row>
    <row r="36" spans="1:2">
      <c r="A36" s="279"/>
      <c r="B36" s="408"/>
    </row>
    <row r="37" spans="1:2">
      <c r="A37" s="279"/>
      <c r="B37" s="408"/>
    </row>
    <row r="38" spans="1:2">
      <c r="B38" s="408"/>
    </row>
    <row r="39" spans="1:2">
      <c r="B39" s="408"/>
    </row>
    <row r="40" spans="1:2">
      <c r="B40" s="408"/>
    </row>
    <row r="41" spans="1:2">
      <c r="B41" s="408"/>
    </row>
    <row r="42" spans="1:2">
      <c r="B42" s="408"/>
    </row>
    <row r="43" spans="1:2">
      <c r="B43" s="408"/>
    </row>
  </sheetData>
  <sheetProtection password="CA1B" sheet="1" formatCells="0" formatColumns="0" formatRows="0"/>
  <conditionalFormatting sqref="H16 D8 D4 H6">
    <cfRule type="expression" dxfId="8" priority="2">
      <formula>IF(N(E4)&gt;N(E5),1,0)</formula>
    </cfRule>
  </conditionalFormatting>
  <conditionalFormatting sqref="G6 C4 C8 G16">
    <cfRule type="expression" dxfId="7" priority="3">
      <formula>IF(N(E4)&gt;N(E5),1,0)</formula>
    </cfRule>
  </conditionalFormatting>
  <conditionalFormatting sqref="E8 I6 I16 E4">
    <cfRule type="expression" dxfId="6" priority="4">
      <formula>IF(N(E4)&gt;N(E5),1,0)</formula>
    </cfRule>
  </conditionalFormatting>
  <conditionalFormatting sqref="G7 C5 C9 G17">
    <cfRule type="expression" dxfId="5" priority="5">
      <formula>IF(N(E5)&gt;N(E4),1,0)</formula>
    </cfRule>
  </conditionalFormatting>
  <conditionalFormatting sqref="D9 H17 D5 H7">
    <cfRule type="expression" dxfId="4" priority="6">
      <formula>IF(N(E5)&gt;N(E4),1,0)</formula>
    </cfRule>
  </conditionalFormatting>
  <conditionalFormatting sqref="E9 I7 I17 E5">
    <cfRule type="expression" dxfId="3" priority="7">
      <formula>IF(N(E5)&gt;N(E4),1,0)</formula>
    </cfRule>
  </conditionalFormatting>
  <pageMargins left="0.78749999999999998" right="0.78749999999999998" top="0.98402777777777795" bottom="0.98402777777777795" header="0.51180555555555496" footer="0.51180555555555496"/>
  <pageSetup paperSize="9" firstPageNumber="0" orientation="landscape"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8"/>
  <sheetViews>
    <sheetView zoomScaleNormal="100" workbookViewId="0">
      <pane xSplit="1" ySplit="1" topLeftCell="B2" activePane="bottomRight" state="frozen"/>
      <selection pane="topRight" activeCell="B1" sqref="B1"/>
      <selection pane="bottomLeft" activeCell="A2" sqref="A2"/>
      <selection pane="bottomRight"/>
    </sheetView>
  </sheetViews>
  <sheetFormatPr defaultColWidth="8.7109375" defaultRowHeight="12.75"/>
  <cols>
    <col min="1" max="1" width="10.5703125" customWidth="1"/>
    <col min="2" max="2" width="62.85546875" customWidth="1"/>
    <col min="3" max="3" width="84.7109375" customWidth="1"/>
    <col min="4" max="4" width="13" hidden="1" customWidth="1"/>
  </cols>
  <sheetData>
    <row r="1" spans="1:4" ht="42.6" customHeight="1">
      <c r="A1" s="476"/>
      <c r="B1" s="477" t="s">
        <v>1616</v>
      </c>
      <c r="D1" s="279"/>
    </row>
    <row r="2" spans="1:4" ht="24.6" customHeight="1">
      <c r="A2" s="478">
        <v>1</v>
      </c>
      <c r="B2" s="479" t="str">
        <f ca="1">VLOOKUP($A2,Postupy!$A$3:$I$18,9,0)</f>
        <v xml:space="preserve"> </v>
      </c>
      <c r="C2" s="480"/>
      <c r="D2" s="478">
        <v>1</v>
      </c>
    </row>
    <row r="3" spans="1:4" ht="22.9" customHeight="1">
      <c r="A3" s="481">
        <v>2</v>
      </c>
      <c r="B3" s="482" t="str">
        <f ca="1">VLOOKUP($A3,Postupy!$A$3:$I$18,9,0)</f>
        <v xml:space="preserve"> </v>
      </c>
      <c r="C3" s="480"/>
      <c r="D3" s="481">
        <v>2</v>
      </c>
    </row>
    <row r="4" spans="1:4" ht="22.9" customHeight="1">
      <c r="A4" s="481">
        <v>3</v>
      </c>
      <c r="B4" s="482" t="str">
        <f ca="1">VLOOKUP($A4,Postupy!$A$3:$I$18,9,0)</f>
        <v xml:space="preserve"> </v>
      </c>
      <c r="C4" s="480"/>
      <c r="D4" s="481">
        <v>3</v>
      </c>
    </row>
    <row r="5" spans="1:4" ht="22.9" customHeight="1">
      <c r="A5" s="481">
        <v>4</v>
      </c>
      <c r="B5" s="482" t="str">
        <f ca="1">VLOOKUP($A5,Postupy!$A$3:$I$18,9,0)</f>
        <v xml:space="preserve"> </v>
      </c>
      <c r="C5" s="480"/>
      <c r="D5" s="481">
        <v>4</v>
      </c>
    </row>
    <row r="6" spans="1:4" ht="22.9" customHeight="1">
      <c r="A6" s="481">
        <v>5</v>
      </c>
      <c r="B6" s="482" t="str">
        <f ca="1">VLOOKUP($A6,Postupy!$A$3:$I$18,9,0)</f>
        <v xml:space="preserve"> </v>
      </c>
      <c r="C6" s="480"/>
      <c r="D6" s="481">
        <v>5</v>
      </c>
    </row>
    <row r="7" spans="1:4" ht="22.9" customHeight="1">
      <c r="A7" s="481">
        <v>6</v>
      </c>
      <c r="B7" s="482" t="str">
        <f ca="1">VLOOKUP($A7,Postupy!$A$3:$I$18,9,0)</f>
        <v xml:space="preserve"> </v>
      </c>
      <c r="C7" s="480"/>
      <c r="D7" s="481">
        <v>6</v>
      </c>
    </row>
    <row r="8" spans="1:4" ht="22.9" customHeight="1">
      <c r="A8" s="481">
        <v>7</v>
      </c>
      <c r="B8" s="482" t="str">
        <f ca="1">VLOOKUP($A8,Postupy!$A$3:$I$18,9,0)</f>
        <v xml:space="preserve"> </v>
      </c>
      <c r="C8" s="480"/>
      <c r="D8" s="481">
        <v>7</v>
      </c>
    </row>
    <row r="9" spans="1:4" ht="22.9" customHeight="1">
      <c r="A9" s="481">
        <v>8</v>
      </c>
      <c r="B9" s="482" t="str">
        <f ca="1">VLOOKUP($A9,Postupy!$A$3:$I$18,9,0)</f>
        <v xml:space="preserve"> </v>
      </c>
      <c r="C9" s="480"/>
      <c r="D9" s="481">
        <v>8</v>
      </c>
    </row>
    <row r="10" spans="1:4" ht="22.9" customHeight="1">
      <c r="A10" s="481">
        <v>9</v>
      </c>
      <c r="B10" s="482" t="str">
        <f ca="1">VLOOKUP($A10,Postupy!$A$3:$I$18,9,0)</f>
        <v xml:space="preserve"> </v>
      </c>
      <c r="C10" s="480"/>
      <c r="D10" s="481">
        <v>9</v>
      </c>
    </row>
    <row r="11" spans="1:4" ht="22.9" customHeight="1">
      <c r="A11" s="481">
        <v>10</v>
      </c>
      <c r="B11" s="482" t="str">
        <f ca="1">VLOOKUP($A11,Postupy!$A$3:$I$18,9,0)</f>
        <v xml:space="preserve"> </v>
      </c>
      <c r="C11" s="480"/>
      <c r="D11" s="481">
        <v>10</v>
      </c>
    </row>
    <row r="12" spans="1:4" ht="22.9" customHeight="1">
      <c r="A12" s="481">
        <v>11</v>
      </c>
      <c r="B12" s="482" t="str">
        <f ca="1">VLOOKUP($A12,Postupy!$A$3:$I$18,9,0)</f>
        <v xml:space="preserve"> </v>
      </c>
      <c r="C12" s="480"/>
      <c r="D12" s="481">
        <v>11</v>
      </c>
    </row>
    <row r="13" spans="1:4" ht="22.9" customHeight="1">
      <c r="A13" s="481">
        <v>12</v>
      </c>
      <c r="B13" s="482" t="str">
        <f ca="1">VLOOKUP($A13,Postupy!$A$3:$I$18,9,0)</f>
        <v xml:space="preserve"> </v>
      </c>
      <c r="C13" s="480"/>
      <c r="D13" s="481">
        <v>12</v>
      </c>
    </row>
    <row r="14" spans="1:4" ht="22.9" customHeight="1">
      <c r="A14" s="481">
        <v>13</v>
      </c>
      <c r="B14" s="482" t="str">
        <f ca="1">VLOOKUP($A14,Postupy!$A$3:$I$18,9,0)</f>
        <v xml:space="preserve"> </v>
      </c>
      <c r="C14" s="480"/>
      <c r="D14" s="481">
        <v>13</v>
      </c>
    </row>
    <row r="15" spans="1:4" ht="22.9" customHeight="1">
      <c r="A15" s="481">
        <v>14</v>
      </c>
      <c r="B15" s="482" t="str">
        <f ca="1">VLOOKUP($A15,Postupy!$A$3:$I$18,9,0)</f>
        <v xml:space="preserve"> </v>
      </c>
      <c r="C15" s="480"/>
      <c r="D15" s="481">
        <v>14</v>
      </c>
    </row>
    <row r="16" spans="1:4" ht="22.9" customHeight="1">
      <c r="A16" s="481">
        <v>15</v>
      </c>
      <c r="B16" s="482" t="str">
        <f ca="1">VLOOKUP($A16,Postupy!$A$3:$I$18,9,0)</f>
        <v xml:space="preserve"> </v>
      </c>
      <c r="C16" s="480"/>
      <c r="D16" s="481">
        <v>15</v>
      </c>
    </row>
    <row r="17" spans="1:4" ht="22.9" customHeight="1">
      <c r="A17" s="483">
        <v>16</v>
      </c>
      <c r="B17" s="484" t="str">
        <f ca="1">VLOOKUP($A17,Postupy!$A$3:$I$18,9,0)</f>
        <v xml:space="preserve"> </v>
      </c>
      <c r="C17" s="480"/>
      <c r="D17" s="483">
        <v>16</v>
      </c>
    </row>
    <row r="18" spans="1:4">
      <c r="A18" s="485"/>
      <c r="B18" s="293"/>
      <c r="C18" s="279"/>
      <c r="D18" s="279"/>
    </row>
    <row r="19" spans="1:4">
      <c r="A19" s="298"/>
      <c r="B19" s="279"/>
      <c r="C19" s="279"/>
      <c r="D19" s="279"/>
    </row>
    <row r="20" spans="1:4">
      <c r="A20" s="298"/>
      <c r="B20" s="279"/>
      <c r="C20" s="279"/>
      <c r="D20" s="279"/>
    </row>
    <row r="21" spans="1:4">
      <c r="A21" s="298"/>
      <c r="B21" s="279"/>
      <c r="C21" s="279"/>
      <c r="D21" s="279"/>
    </row>
    <row r="22" spans="1:4">
      <c r="A22" s="298"/>
      <c r="B22" s="279"/>
      <c r="C22" s="279"/>
      <c r="D22" s="279"/>
    </row>
    <row r="23" spans="1:4">
      <c r="A23" s="298"/>
      <c r="B23" s="279"/>
      <c r="C23" s="279"/>
      <c r="D23" s="279"/>
    </row>
    <row r="24" spans="1:4">
      <c r="A24" s="298"/>
      <c r="B24" s="279"/>
      <c r="C24" s="279"/>
      <c r="D24" s="279"/>
    </row>
    <row r="25" spans="1:4">
      <c r="A25" s="298"/>
      <c r="B25" s="279"/>
      <c r="C25" s="279"/>
      <c r="D25" s="279"/>
    </row>
    <row r="26" spans="1:4">
      <c r="A26" s="298"/>
      <c r="B26" s="279"/>
      <c r="C26" s="279"/>
      <c r="D26" s="279"/>
    </row>
    <row r="27" spans="1:4">
      <c r="A27" s="298"/>
      <c r="B27" s="279"/>
      <c r="C27" s="279"/>
      <c r="D27" s="279"/>
    </row>
    <row r="28" spans="1:4">
      <c r="A28" s="298"/>
      <c r="B28" s="279"/>
      <c r="C28" s="279"/>
      <c r="D28" s="279"/>
    </row>
    <row r="29" spans="1:4">
      <c r="A29" s="298"/>
      <c r="B29" s="279"/>
      <c r="C29" s="279"/>
      <c r="D29" s="279"/>
    </row>
    <row r="30" spans="1:4">
      <c r="A30" s="298"/>
      <c r="B30" s="279"/>
      <c r="C30" s="279"/>
      <c r="D30" s="279"/>
    </row>
    <row r="31" spans="1:4">
      <c r="A31" s="298"/>
      <c r="B31" s="279"/>
      <c r="C31" s="279"/>
      <c r="D31" s="279"/>
    </row>
    <row r="32" spans="1:4">
      <c r="A32" s="298"/>
      <c r="B32" s="279"/>
      <c r="C32" s="279"/>
      <c r="D32" s="279"/>
    </row>
    <row r="33" spans="1:4">
      <c r="A33" s="298"/>
      <c r="B33" s="279"/>
      <c r="C33" s="279"/>
      <c r="D33" s="279"/>
    </row>
    <row r="34" spans="1:4">
      <c r="A34" s="298"/>
      <c r="B34" s="279"/>
      <c r="C34" s="279"/>
      <c r="D34" s="279"/>
    </row>
    <row r="35" spans="1:4">
      <c r="A35" s="298"/>
      <c r="B35" s="279"/>
      <c r="C35" s="279"/>
      <c r="D35" s="279"/>
    </row>
    <row r="36" spans="1:4">
      <c r="A36" s="298"/>
      <c r="B36" s="279"/>
      <c r="C36" s="279"/>
      <c r="D36" s="279"/>
    </row>
    <row r="37" spans="1:4">
      <c r="A37" s="298"/>
      <c r="B37" s="279"/>
      <c r="C37" s="279"/>
      <c r="D37" s="279"/>
    </row>
    <row r="38" spans="1:4">
      <c r="A38" s="298"/>
      <c r="B38" s="279"/>
      <c r="C38" s="279"/>
      <c r="D38" s="279"/>
    </row>
  </sheetData>
  <printOptions horizontalCentered="1"/>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4"/>
  <sheetViews>
    <sheetView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8.7109375" defaultRowHeight="12.75"/>
  <cols>
    <col min="3" max="3" width="47.7109375" customWidth="1"/>
    <col min="6" max="7" width="10.42578125" customWidth="1"/>
    <col min="8" max="12" width="9" customWidth="1"/>
    <col min="13" max="13" width="5" style="176" customWidth="1"/>
    <col min="14" max="15" width="11" customWidth="1"/>
    <col min="16" max="16" width="4" customWidth="1"/>
    <col min="17" max="34" width="11" customWidth="1"/>
  </cols>
  <sheetData>
    <row r="1" spans="1:59" ht="13.5">
      <c r="A1" s="176"/>
      <c r="B1" s="176"/>
      <c r="C1" s="176"/>
      <c r="D1" s="176"/>
      <c r="E1" s="176"/>
      <c r="F1" s="16" t="s">
        <v>1761</v>
      </c>
      <c r="G1" s="176"/>
      <c r="H1" s="176"/>
      <c r="I1" s="176"/>
      <c r="J1" s="176"/>
      <c r="K1" s="176"/>
      <c r="L1" s="176"/>
      <c r="N1" s="486">
        <f>Start.listina!M6</f>
        <v>3</v>
      </c>
      <c r="O1" s="486">
        <f>Start.listina!M7</f>
        <v>4</v>
      </c>
      <c r="P1" s="176"/>
      <c r="Q1" s="176">
        <v>0</v>
      </c>
      <c r="R1" s="176"/>
      <c r="S1" s="176"/>
      <c r="T1" s="176">
        <v>-1</v>
      </c>
      <c r="U1" s="176"/>
      <c r="V1" s="176"/>
      <c r="W1" s="176">
        <v>-2</v>
      </c>
      <c r="X1" s="176"/>
      <c r="Y1" s="176"/>
      <c r="Z1" s="176">
        <v>-3</v>
      </c>
      <c r="AA1" s="176"/>
      <c r="AB1" s="176"/>
      <c r="AC1" s="176">
        <v>-4</v>
      </c>
      <c r="AD1" s="176"/>
      <c r="AE1" s="176"/>
      <c r="AF1" s="176">
        <v>-5</v>
      </c>
      <c r="AG1" s="176"/>
      <c r="AH1" s="176"/>
      <c r="AI1" s="176"/>
      <c r="AJ1" s="176"/>
      <c r="AK1" s="176"/>
      <c r="AL1" s="176"/>
      <c r="AM1" s="176"/>
      <c r="AN1" s="176"/>
      <c r="AO1" s="176"/>
      <c r="AP1" s="176"/>
      <c r="AQ1" s="176"/>
      <c r="AR1" s="176"/>
      <c r="AS1" s="176"/>
      <c r="AT1" s="176"/>
      <c r="AU1" s="176"/>
      <c r="AV1" s="176"/>
      <c r="AW1" s="176"/>
      <c r="AX1" s="176"/>
      <c r="AY1" s="176"/>
      <c r="AZ1" s="176"/>
      <c r="BA1" s="176"/>
      <c r="BB1" s="176"/>
      <c r="BC1" s="176"/>
      <c r="BD1" s="176"/>
      <c r="BE1" s="176"/>
      <c r="BF1" s="176"/>
      <c r="BG1" s="176"/>
    </row>
    <row r="2" spans="1:59" ht="42.6" customHeight="1">
      <c r="A2" s="177" t="s">
        <v>1762</v>
      </c>
      <c r="B2" s="177" t="s">
        <v>1631</v>
      </c>
      <c r="C2" s="177" t="s">
        <v>1620</v>
      </c>
      <c r="D2" s="177" t="s">
        <v>1763</v>
      </c>
      <c r="E2" s="177" t="s">
        <v>1764</v>
      </c>
      <c r="F2" s="487" t="s">
        <v>1765</v>
      </c>
      <c r="G2" s="487">
        <v>64</v>
      </c>
      <c r="H2" s="487">
        <v>32</v>
      </c>
      <c r="I2" s="487">
        <v>16</v>
      </c>
      <c r="J2" s="487">
        <v>8</v>
      </c>
      <c r="K2" s="487">
        <v>4</v>
      </c>
      <c r="L2" s="487" t="s">
        <v>1766</v>
      </c>
      <c r="M2" s="311">
        <f ca="1">Start.listina!$O$7</f>
        <v>4</v>
      </c>
      <c r="N2" s="488">
        <f ca="1">(P2-O2*O1)/N1</f>
        <v>0</v>
      </c>
      <c r="O2" s="488">
        <f ca="1">IF(S2=0,Q2,IF(V2=0,T2,IF(Y2=0,W2,IF(AB2=0,Z2,IF(AE2=0,IF(AH2=0,AF2,0))))))</f>
        <v>4</v>
      </c>
      <c r="P2" s="311">
        <f ca="1">Start.listina!$K$7</f>
        <v>16</v>
      </c>
      <c r="Q2" s="488">
        <f ca="1">INT($P2/$O1)+Q1</f>
        <v>4</v>
      </c>
      <c r="R2" s="488">
        <f ca="1">IF(($P2-INT(Q2)*$O1)&gt;$P2,-1,$P2-INT(Q2)*$O1)</f>
        <v>0</v>
      </c>
      <c r="S2" s="489">
        <f ca="1">IF(($P2-INT(Q2)*$O1)&gt;$P2,-1,MOD(R2,$N1))</f>
        <v>0</v>
      </c>
      <c r="T2" s="488">
        <f ca="1">INT($P2/$O1)+T1</f>
        <v>3</v>
      </c>
      <c r="U2" s="488">
        <f ca="1">IF(($P2-INT(T2)*$O1)&gt;$P2,-1,$P2-INT(T2)*$O1)</f>
        <v>4</v>
      </c>
      <c r="V2" s="489">
        <f ca="1">IF(($P2-INT(T2)*$O1)&gt;$P2,-1,MOD(U2,$N1))</f>
        <v>1</v>
      </c>
      <c r="W2" s="488">
        <f ca="1">INT($P2/$O1)+W1</f>
        <v>2</v>
      </c>
      <c r="X2" s="488">
        <f ca="1">IF(($P2-INT(W2)*$O1)&gt;$P2,-1,$P2-INT(W2)*$O1)</f>
        <v>8</v>
      </c>
      <c r="Y2" s="489">
        <f ca="1">IF(($P2-INT(W2)*$O1)&gt;$P2,-1,MOD(X2,$N1))</f>
        <v>2</v>
      </c>
      <c r="Z2" s="488">
        <f ca="1">INT($P2/$O1)+Z1</f>
        <v>1</v>
      </c>
      <c r="AA2" s="488">
        <f ca="1">IF(($P2-INT(Z2)*$O1)&gt;$P2,-1,$P2-INT(Z2)*$O1)</f>
        <v>12</v>
      </c>
      <c r="AB2" s="489">
        <f ca="1">IF(($P2-INT(Z2)*$O1)&gt;$P2,-1,MOD(AA2,$N1))</f>
        <v>0</v>
      </c>
      <c r="AC2" s="488">
        <f ca="1">INT($P2/$O1)+AC1</f>
        <v>0</v>
      </c>
      <c r="AD2" s="488">
        <f ca="1">IF(($P2-INT(AC2)*$O1)&gt;$P2,-1,$P2-INT(AC2)*$O1)</f>
        <v>16</v>
      </c>
      <c r="AE2" s="489">
        <f ca="1">IF(($P2-INT(AC2)*$O1)&gt;$P2,-1,MOD(AD2,$N1))</f>
        <v>1</v>
      </c>
      <c r="AF2" s="488">
        <f ca="1">INT($P2/$O1)+AF1</f>
        <v>-1</v>
      </c>
      <c r="AG2" s="488">
        <f ca="1">IF(($P2-INT(AF2)*$O1)&gt;$P2,-1,$P2-INT(AF2)*$O1)</f>
        <v>-1</v>
      </c>
      <c r="AH2" s="489">
        <f ca="1">IF(($P2-INT(AF2)*$O1)&gt;$P2,-1,MOD(AG2,$N1))</f>
        <v>-1</v>
      </c>
    </row>
    <row r="3" spans="1:59">
      <c r="A3">
        <f ca="1">IF(OR(Start.listina!H11&gt;Start.listina!$K$7,Start.listina!G11=1),"",Start.listina!H11)</f>
        <v>1</v>
      </c>
      <c r="B3" s="176" t="str">
        <f ca="1">IF(A3&gt;Start.listina!$K$7,"",ADDRESS(INT((A3-1)/$M$2)+1,IF(MOD(A3,$M$2)=0,IF(MOD(INT((A3-1)/$M$2)+1,2)=1,$M$2,1),IF(MOD(INT((A3-1)/$M$2)+1,2)=1,MOD(A3,$M$2),$M$2-MOD(A3,$M$2)+1)),4,1))</f>
        <v>A1</v>
      </c>
      <c r="C3" s="178" t="str">
        <f ca="1">Start.listina!$AL11</f>
        <v>SKP Kulová osma - Chmelař Ivo</v>
      </c>
      <c r="D3" s="176">
        <f ca="1">IF(A3&gt;Start.listina!$K$7,"",INT((A3-1)/$M$2)+1)</f>
        <v>1</v>
      </c>
      <c r="E3" s="490">
        <f ca="1">IF(A3&gt;Start.listina!$K$7,"",MIN(F3:L3))</f>
        <v>16</v>
      </c>
      <c r="F3" s="176">
        <f ca="1">IF(TYPE(VLOOKUP(C3,Konečné_pořadí_1_16!$B$2:$D$17,3,0))&lt;4,VLOOKUP(C3,Konečné_pořadí_1_16!$B$2:$D$17,3,0),999)</f>
        <v>999</v>
      </c>
      <c r="G3" s="176">
        <f ca="1">IF(TYPE(VLOOKUP(C3,'KO64'!$D$4:$D$129,1,0))&lt;4,64,999)</f>
        <v>999</v>
      </c>
      <c r="H3" s="176">
        <f ca="1">IF(TYPE(VLOOKUP(C3,'KO32'!$D$4:$D$65,1,0))&lt;4,32,999)</f>
        <v>999</v>
      </c>
      <c r="I3" s="176">
        <f ca="1">IF(TYPE(VLOOKUP(C3,'KO16'!$D$4:$D$33,1,0))&lt;4,16,999)</f>
        <v>999</v>
      </c>
      <c r="J3" s="176">
        <f ca="1">IF(TYPE(VLOOKUP(C3,'KO8'!$D$4:$D$17,1,0))&lt;4,8,999)</f>
        <v>999</v>
      </c>
      <c r="K3" s="176">
        <f ca="1">IF(TYPE(VLOOKUP(C3,'KO4'!$D$4:$D$9,1,0))&lt;4,4,999)</f>
        <v>999</v>
      </c>
      <c r="L3" s="176">
        <f ca="1">Start.listina!$K$7</f>
        <v>16</v>
      </c>
      <c r="N3" s="176"/>
      <c r="O3" s="176"/>
      <c r="P3" s="176"/>
      <c r="Q3" s="176"/>
      <c r="R3" s="176"/>
      <c r="S3" s="176"/>
      <c r="T3" s="176"/>
      <c r="U3" s="176"/>
      <c r="V3" s="176"/>
      <c r="W3" s="176"/>
      <c r="X3" s="176"/>
      <c r="Y3" s="176"/>
      <c r="Z3" s="176"/>
      <c r="AA3" s="176"/>
      <c r="AB3" s="176"/>
      <c r="AC3" s="176"/>
      <c r="AD3" s="176"/>
      <c r="AE3" s="176"/>
      <c r="AF3" s="176"/>
      <c r="AG3" s="176"/>
      <c r="AH3" s="176"/>
    </row>
    <row r="4" spans="1:59">
      <c r="A4">
        <f ca="1">IF(OR(Start.listina!H12&gt;Start.listina!$K$7,Start.listina!G12=1),"",Start.listina!H12)</f>
        <v>2</v>
      </c>
      <c r="B4" s="176" t="str">
        <f ca="1">IF(A4&gt;Start.listina!$K$7,"",ADDRESS(INT((A4-1)/$M$2)+1,IF(MOD(A4,$M$2)=0,IF(MOD(INT((A4-1)/$M$2)+1,2)=1,$M$2,1),IF(MOD(INT((A4-1)/$M$2)+1,2)=1,MOD(A4,$M$2),$M$2-MOD(A4,$M$2)+1)),4,1))</f>
        <v>B1</v>
      </c>
      <c r="C4" s="178" t="str">
        <f ca="1">Start.listina!$AL12</f>
        <v>HAPEK - Bureš Pavel st.</v>
      </c>
      <c r="D4" s="176">
        <f ca="1">IF(A4&gt;Start.listina!$K$7,"",INT((A4-1)/$M$2)+1)</f>
        <v>1</v>
      </c>
      <c r="E4" s="490">
        <f ca="1">IF(A4&gt;Start.listina!$K$7,"",MIN(F4:L4))</f>
        <v>16</v>
      </c>
      <c r="F4" s="176">
        <f ca="1">IF(TYPE(VLOOKUP(C4,Konečné_pořadí_1_16!$B$2:$D$17,3,0))&lt;4,VLOOKUP(C4,Konečné_pořadí_1_16!$B$2:$D$17,3,0),999)</f>
        <v>999</v>
      </c>
      <c r="G4" s="176">
        <f ca="1">IF(TYPE(VLOOKUP(C4,'KO64'!$D$4:$D$129,1,0))&lt;4,64,999)</f>
        <v>999</v>
      </c>
      <c r="H4" s="176">
        <f ca="1">IF(TYPE(VLOOKUP(C4,'KO32'!$D$4:$D$65,1,0))&lt;4,32,999)</f>
        <v>999</v>
      </c>
      <c r="I4" s="176">
        <f ca="1">IF(TYPE(VLOOKUP(C4,'KO16'!$D$4:$D$33,1,0))&lt;4,16,999)</f>
        <v>999</v>
      </c>
      <c r="J4" s="176">
        <f ca="1">IF(TYPE(VLOOKUP(C4,'KO8'!$D$4:$D$17,1,0))&lt;4,8,999)</f>
        <v>999</v>
      </c>
      <c r="K4" s="176">
        <f ca="1">IF(TYPE(VLOOKUP(C4,'KO4'!$D$4:$D$9,1,0))&lt;4,4,999)</f>
        <v>999</v>
      </c>
      <c r="L4" s="176">
        <f ca="1">Start.listina!$K$7</f>
        <v>16</v>
      </c>
      <c r="N4" s="176"/>
      <c r="O4" s="176"/>
      <c r="P4" s="176"/>
      <c r="Q4" s="176"/>
      <c r="R4" s="176"/>
      <c r="S4" s="176"/>
      <c r="T4" s="176"/>
      <c r="U4" s="176"/>
      <c r="V4" s="176"/>
      <c r="W4" s="176"/>
      <c r="X4" s="176"/>
      <c r="Y4" s="176"/>
      <c r="Z4" s="176"/>
      <c r="AA4" s="176"/>
      <c r="AB4" s="176"/>
      <c r="AC4" s="176"/>
      <c r="AD4" s="176"/>
      <c r="AE4" s="176"/>
      <c r="AF4" s="176"/>
      <c r="AG4" s="176"/>
      <c r="AH4" s="176"/>
    </row>
    <row r="5" spans="1:59">
      <c r="A5">
        <f ca="1">IF(OR(Start.listina!H13&gt;Start.listina!$K$7,Start.listina!G13=1),"",Start.listina!H13)</f>
        <v>3</v>
      </c>
      <c r="B5" s="176" t="str">
        <f ca="1">IF(A5&gt;Start.listina!$K$7,"",ADDRESS(INT((A5-1)/$M$2)+1,IF(MOD(A5,$M$2)=0,IF(MOD(INT((A5-1)/$M$2)+1,2)=1,$M$2,1),IF(MOD(INT((A5-1)/$M$2)+1,2)=1,MOD(A5,$M$2),$M$2-MOD(A5,$M$2)+1)),4,1))</f>
        <v>C1</v>
      </c>
      <c r="C5" s="178" t="str">
        <f ca="1">Start.listina!$AL13</f>
        <v>TOP - ORLOVÁ - Ulmann Jiří</v>
      </c>
      <c r="D5" s="176">
        <f ca="1">IF(A5&gt;Start.listina!$K$7,"",INT((A5-1)/$M$2)+1)</f>
        <v>1</v>
      </c>
      <c r="E5" s="490">
        <f ca="1">IF(A5&gt;Start.listina!$K$7,"",MIN(F5:L5))</f>
        <v>16</v>
      </c>
      <c r="F5" s="176">
        <f ca="1">IF(TYPE(VLOOKUP(C5,Konečné_pořadí_1_16!$B$2:$D$17,3,0))&lt;4,VLOOKUP(C5,Konečné_pořadí_1_16!$B$2:$D$17,3,0),999)</f>
        <v>999</v>
      </c>
      <c r="G5" s="176">
        <f ca="1">IF(TYPE(VLOOKUP(C5,'KO64'!$D$4:$D$129,1,0))&lt;4,64,999)</f>
        <v>999</v>
      </c>
      <c r="H5" s="176">
        <f ca="1">IF(TYPE(VLOOKUP(C5,'KO32'!$D$4:$D$65,1,0))&lt;4,32,999)</f>
        <v>999</v>
      </c>
      <c r="I5" s="176">
        <f ca="1">IF(TYPE(VLOOKUP(C5,'KO16'!$D$4:$D$33,1,0))&lt;4,16,999)</f>
        <v>999</v>
      </c>
      <c r="J5" s="176">
        <f ca="1">IF(TYPE(VLOOKUP(C5,'KO8'!$D$4:$D$17,1,0))&lt;4,8,999)</f>
        <v>999</v>
      </c>
      <c r="K5" s="176">
        <f ca="1">IF(TYPE(VLOOKUP(C5,'KO4'!$D$4:$D$9,1,0))&lt;4,4,999)</f>
        <v>999</v>
      </c>
      <c r="L5" s="176">
        <f ca="1">Start.listina!$K$7</f>
        <v>16</v>
      </c>
      <c r="N5" s="176"/>
      <c r="O5" s="176"/>
      <c r="P5" s="176"/>
      <c r="Q5" s="176"/>
      <c r="R5" s="176"/>
      <c r="S5" s="176"/>
      <c r="T5" s="176"/>
      <c r="U5" s="176"/>
      <c r="V5" s="176"/>
      <c r="W5" s="176"/>
      <c r="X5" s="176"/>
      <c r="Y5" s="176"/>
      <c r="Z5" s="176"/>
      <c r="AA5" s="176"/>
      <c r="AB5" s="176"/>
      <c r="AC5" s="176"/>
      <c r="AD5" s="176"/>
      <c r="AE5" s="176"/>
      <c r="AF5" s="176"/>
      <c r="AG5" s="176"/>
      <c r="AH5" s="176"/>
    </row>
    <row r="6" spans="1:59">
      <c r="A6">
        <f ca="1">IF(OR(Start.listina!H14&gt;Start.listina!$K$7,Start.listina!G14=1),"",Start.listina!H14)</f>
        <v>4</v>
      </c>
      <c r="B6" s="176" t="str">
        <f ca="1">IF(A6&gt;Start.listina!$K$7,"",ADDRESS(INT((A6-1)/$M$2)+1,IF(MOD(A6,$M$2)=0,IF(MOD(INT((A6-1)/$M$2)+1,2)=1,$M$2,1),IF(MOD(INT((A6-1)/$M$2)+1,2)=1,MOD(A6,$M$2),$M$2-MOD(A6,$M$2)+1)),4,1))</f>
        <v>D1</v>
      </c>
      <c r="C6" s="178" t="str">
        <f ca="1">Start.listina!$AL14</f>
        <v>HRODE KRUMSÍN - Krpec František</v>
      </c>
      <c r="D6" s="176">
        <f ca="1">IF(A6&gt;Start.listina!$K$7,"",INT((A6-1)/$M$2)+1)</f>
        <v>1</v>
      </c>
      <c r="E6" s="490">
        <f ca="1">IF(A6&gt;Start.listina!$K$7,"",MIN(F6:L6))</f>
        <v>16</v>
      </c>
      <c r="F6" s="176">
        <f ca="1">IF(TYPE(VLOOKUP(C6,Konečné_pořadí_1_16!$B$2:$D$17,3,0))&lt;4,VLOOKUP(C6,Konečné_pořadí_1_16!$B$2:$D$17,3,0),999)</f>
        <v>999</v>
      </c>
      <c r="G6" s="176">
        <f ca="1">IF(TYPE(VLOOKUP(C6,'KO64'!$D$4:$D$129,1,0))&lt;4,64,999)</f>
        <v>999</v>
      </c>
      <c r="H6" s="176">
        <f ca="1">IF(TYPE(VLOOKUP(C6,'KO32'!$D$4:$D$65,1,0))&lt;4,32,999)</f>
        <v>999</v>
      </c>
      <c r="I6" s="176">
        <f ca="1">IF(TYPE(VLOOKUP(C6,'KO16'!$D$4:$D$33,1,0))&lt;4,16,999)</f>
        <v>999</v>
      </c>
      <c r="J6" s="176">
        <f ca="1">IF(TYPE(VLOOKUP(C6,'KO8'!$D$4:$D$17,1,0))&lt;4,8,999)</f>
        <v>999</v>
      </c>
      <c r="K6" s="176">
        <f ca="1">IF(TYPE(VLOOKUP(C6,'KO4'!$D$4:$D$9,1,0))&lt;4,4,999)</f>
        <v>999</v>
      </c>
      <c r="L6" s="176">
        <f ca="1">Start.listina!$K$7</f>
        <v>16</v>
      </c>
      <c r="N6" s="176"/>
      <c r="O6" s="176"/>
      <c r="P6" s="176"/>
      <c r="Q6" s="176"/>
      <c r="R6" s="176"/>
      <c r="S6" s="176"/>
      <c r="T6" s="176"/>
      <c r="U6" s="176"/>
      <c r="V6" s="176"/>
      <c r="W6" s="176"/>
      <c r="X6" s="176"/>
      <c r="Y6" s="176"/>
      <c r="Z6" s="176"/>
      <c r="AA6" s="176"/>
      <c r="AB6" s="176"/>
      <c r="AC6" s="176"/>
      <c r="AD6" s="176"/>
      <c r="AE6" s="176"/>
      <c r="AF6" s="176"/>
      <c r="AG6" s="176"/>
      <c r="AH6" s="176"/>
    </row>
    <row r="7" spans="1:59">
      <c r="A7">
        <f ca="1">IF(OR(Start.listina!H15&gt;Start.listina!$K$7,Start.listina!G15=1),"",Start.listina!H15)</f>
        <v>5</v>
      </c>
      <c r="B7" s="176" t="str">
        <f ca="1">IF(A7&gt;Start.listina!$K$7,"",ADDRESS(INT((A7-1)/$M$2)+1,IF(MOD(A7,$M$2)=0,IF(MOD(INT((A7-1)/$M$2)+1,2)=1,$M$2,1),IF(MOD(INT((A7-1)/$M$2)+1,2)=1,MOD(A7,$M$2),$M$2-MOD(A7,$M$2)+1)),4,1))</f>
        <v>D2</v>
      </c>
      <c r="C7" s="178" t="str">
        <f ca="1">Start.listina!$AL15</f>
        <v>HRODE KRUMSÍN - Karásek Jiří</v>
      </c>
      <c r="D7" s="176">
        <f ca="1">IF(A7&gt;Start.listina!$K$7,"",INT((A7-1)/$M$2)+1)</f>
        <v>2</v>
      </c>
      <c r="E7" s="490">
        <f ca="1">IF(A7&gt;Start.listina!$K$7,"",MIN(F7:L7))</f>
        <v>16</v>
      </c>
      <c r="F7" s="176">
        <f ca="1">IF(TYPE(VLOOKUP(C7,Konečné_pořadí_1_16!$B$2:$D$17,3,0))&lt;4,VLOOKUP(C7,Konečné_pořadí_1_16!$B$2:$D$17,3,0),999)</f>
        <v>999</v>
      </c>
      <c r="G7" s="176">
        <f ca="1">IF(TYPE(VLOOKUP(C7,'KO64'!$D$4:$D$129,1,0))&lt;4,64,999)</f>
        <v>999</v>
      </c>
      <c r="H7" s="176">
        <f ca="1">IF(TYPE(VLOOKUP(C7,'KO32'!$D$4:$D$65,1,0))&lt;4,32,999)</f>
        <v>999</v>
      </c>
      <c r="I7" s="176">
        <f ca="1">IF(TYPE(VLOOKUP(C7,'KO16'!$D$4:$D$33,1,0))&lt;4,16,999)</f>
        <v>999</v>
      </c>
      <c r="J7" s="176">
        <f ca="1">IF(TYPE(VLOOKUP(C7,'KO8'!$D$4:$D$17,1,0))&lt;4,8,999)</f>
        <v>999</v>
      </c>
      <c r="K7" s="176">
        <f ca="1">IF(TYPE(VLOOKUP(C7,'KO4'!$D$4:$D$9,1,0))&lt;4,4,999)</f>
        <v>999</v>
      </c>
      <c r="L7" s="176">
        <f ca="1">Start.listina!$K$7</f>
        <v>16</v>
      </c>
      <c r="N7" s="176"/>
      <c r="O7" s="176"/>
      <c r="P7" s="176"/>
      <c r="Q7" s="176"/>
      <c r="R7" s="176"/>
      <c r="S7" s="176"/>
      <c r="T7" s="176"/>
      <c r="U7" s="176"/>
      <c r="V7" s="176"/>
      <c r="W7" s="176"/>
      <c r="X7" s="176"/>
      <c r="Y7" s="176"/>
      <c r="Z7" s="176"/>
      <c r="AA7" s="176"/>
      <c r="AB7" s="176"/>
      <c r="AC7" s="176"/>
      <c r="AD7" s="176"/>
      <c r="AE7" s="176"/>
      <c r="AF7" s="176"/>
      <c r="AG7" s="176"/>
      <c r="AH7" s="176"/>
    </row>
    <row r="8" spans="1:59">
      <c r="A8">
        <f ca="1">IF(OR(Start.listina!H16&gt;Start.listina!$K$7,Start.listina!G16=1),"",Start.listina!H16)</f>
        <v>6</v>
      </c>
      <c r="B8" s="176" t="str">
        <f ca="1">IF(A8&gt;Start.listina!$K$7,"",ADDRESS(INT((A8-1)/$M$2)+1,IF(MOD(A8,$M$2)=0,IF(MOD(INT((A8-1)/$M$2)+1,2)=1,$M$2,1),IF(MOD(INT((A8-1)/$M$2)+1,2)=1,MOD(A8,$M$2),$M$2-MOD(A8,$M$2)+1)),4,1))</f>
        <v>C2</v>
      </c>
      <c r="C8" s="178" t="str">
        <f ca="1">Start.listina!$AL16</f>
        <v>FENYX Adamov - Mrlina Karel</v>
      </c>
      <c r="D8" s="176">
        <f ca="1">IF(A8&gt;Start.listina!$K$7,"",INT((A8-1)/$M$2)+1)</f>
        <v>2</v>
      </c>
      <c r="E8" s="490">
        <f ca="1">IF(A8&gt;Start.listina!$K$7,"",MIN(F8:L8))</f>
        <v>16</v>
      </c>
      <c r="F8" s="176">
        <f ca="1">IF(TYPE(VLOOKUP(C8,Konečné_pořadí_1_16!$B$2:$D$17,3,0))&lt;4,VLOOKUP(C8,Konečné_pořadí_1_16!$B$2:$D$17,3,0),999)</f>
        <v>999</v>
      </c>
      <c r="G8" s="176">
        <f ca="1">IF(TYPE(VLOOKUP(C8,'KO64'!$D$4:$D$129,1,0))&lt;4,64,999)</f>
        <v>999</v>
      </c>
      <c r="H8" s="176">
        <f ca="1">IF(TYPE(VLOOKUP(C8,'KO32'!$D$4:$D$65,1,0))&lt;4,32,999)</f>
        <v>999</v>
      </c>
      <c r="I8" s="176">
        <f ca="1">IF(TYPE(VLOOKUP(C8,'KO16'!$D$4:$D$33,1,0))&lt;4,16,999)</f>
        <v>999</v>
      </c>
      <c r="J8" s="176">
        <f ca="1">IF(TYPE(VLOOKUP(C8,'KO8'!$D$4:$D$17,1,0))&lt;4,8,999)</f>
        <v>999</v>
      </c>
      <c r="K8" s="176">
        <f ca="1">IF(TYPE(VLOOKUP(C8,'KO4'!$D$4:$D$9,1,0))&lt;4,4,999)</f>
        <v>999</v>
      </c>
      <c r="L8" s="176">
        <f ca="1">Start.listina!$K$7</f>
        <v>16</v>
      </c>
      <c r="N8" s="176"/>
      <c r="O8" s="176"/>
      <c r="P8" s="176"/>
      <c r="Q8" s="176"/>
      <c r="R8" s="176"/>
      <c r="S8" s="176"/>
      <c r="T8" s="176"/>
      <c r="U8" s="176"/>
      <c r="V8" s="176"/>
      <c r="W8" s="176"/>
      <c r="X8" s="176"/>
      <c r="Y8" s="176"/>
      <c r="Z8" s="176"/>
      <c r="AA8" s="176"/>
      <c r="AB8" s="176"/>
      <c r="AC8" s="176"/>
      <c r="AD8" s="176"/>
      <c r="AE8" s="176"/>
      <c r="AF8" s="176"/>
      <c r="AG8" s="176"/>
      <c r="AH8" s="176"/>
    </row>
    <row r="9" spans="1:59">
      <c r="A9">
        <f ca="1">IF(OR(Start.listina!H17&gt;Start.listina!$K$7,Start.listina!G17=1),"",Start.listina!H17)</f>
        <v>7</v>
      </c>
      <c r="B9" s="176" t="str">
        <f ca="1">IF(A9&gt;Start.listina!$K$7,"",ADDRESS(INT((A9-1)/$M$2)+1,IF(MOD(A9,$M$2)=0,IF(MOD(INT((A9-1)/$M$2)+1,2)=1,$M$2,1),IF(MOD(INT((A9-1)/$M$2)+1,2)=1,MOD(A9,$M$2),$M$2-MOD(A9,$M$2)+1)),4,1))</f>
        <v>B2</v>
      </c>
      <c r="C9" s="178" t="str">
        <f ca="1">Start.listina!$AL17</f>
        <v>SKP Kulová osma - Sjögren Magda</v>
      </c>
      <c r="D9" s="176">
        <f ca="1">IF(A9&gt;Start.listina!$K$7,"",INT((A9-1)/$M$2)+1)</f>
        <v>2</v>
      </c>
      <c r="E9" s="490">
        <f ca="1">IF(A9&gt;Start.listina!$K$7,"",MIN(F9:L9))</f>
        <v>16</v>
      </c>
      <c r="F9" s="176">
        <f ca="1">IF(TYPE(VLOOKUP(C9,Konečné_pořadí_1_16!$B$2:$D$17,3,0))&lt;4,VLOOKUP(C9,Konečné_pořadí_1_16!$B$2:$D$17,3,0),999)</f>
        <v>999</v>
      </c>
      <c r="G9" s="176">
        <f ca="1">IF(TYPE(VLOOKUP(C9,'KO64'!$D$4:$D$129,1,0))&lt;4,64,999)</f>
        <v>999</v>
      </c>
      <c r="H9" s="176">
        <f ca="1">IF(TYPE(VLOOKUP(C9,'KO32'!$D$4:$D$65,1,0))&lt;4,32,999)</f>
        <v>999</v>
      </c>
      <c r="I9" s="176">
        <f ca="1">IF(TYPE(VLOOKUP(C9,'KO16'!$D$4:$D$33,1,0))&lt;4,16,999)</f>
        <v>999</v>
      </c>
      <c r="J9" s="176">
        <f ca="1">IF(TYPE(VLOOKUP(C9,'KO8'!$D$4:$D$17,1,0))&lt;4,8,999)</f>
        <v>999</v>
      </c>
      <c r="K9" s="176">
        <f ca="1">IF(TYPE(VLOOKUP(C9,'KO4'!$D$4:$D$9,1,0))&lt;4,4,999)</f>
        <v>999</v>
      </c>
      <c r="L9" s="176">
        <f ca="1">Start.listina!$K$7</f>
        <v>16</v>
      </c>
      <c r="N9" s="176"/>
      <c r="O9" s="176"/>
      <c r="P9" s="176"/>
      <c r="Q9" s="176"/>
      <c r="R9" s="176"/>
      <c r="S9" s="176"/>
      <c r="T9" s="176"/>
      <c r="U9" s="176"/>
      <c r="V9" s="176"/>
      <c r="W9" s="176"/>
      <c r="X9" s="176"/>
      <c r="Y9" s="176"/>
      <c r="Z9" s="176"/>
      <c r="AA9" s="176"/>
      <c r="AB9" s="176"/>
      <c r="AC9" s="176"/>
      <c r="AD9" s="176"/>
      <c r="AE9" s="176"/>
      <c r="AF9" s="176"/>
      <c r="AG9" s="176"/>
      <c r="AH9" s="176"/>
    </row>
    <row r="10" spans="1:59">
      <c r="A10">
        <f ca="1">IF(OR(Start.listina!H18&gt;Start.listina!$K$7,Start.listina!G18=1),"",Start.listina!H18)</f>
        <v>8</v>
      </c>
      <c r="B10" s="176" t="str">
        <f ca="1">IF(A10&gt;Start.listina!$K$7,"",ADDRESS(INT((A10-1)/$M$2)+1,IF(MOD(A10,$M$2)=0,IF(MOD(INT((A10-1)/$M$2)+1,2)=1,$M$2,1),IF(MOD(INT((A10-1)/$M$2)+1,2)=1,MOD(A10,$M$2),$M$2-MOD(A10,$M$2)+1)),4,1))</f>
        <v>A2</v>
      </c>
      <c r="C10" s="178" t="str">
        <f ca="1">Start.listina!$AL18</f>
        <v>PAK Albrechtice - Bukovčík Jan</v>
      </c>
      <c r="D10" s="176">
        <f ca="1">IF(A10&gt;Start.listina!$K$7,"",INT((A10-1)/$M$2)+1)</f>
        <v>2</v>
      </c>
      <c r="E10" s="490">
        <f ca="1">IF(A10&gt;Start.listina!$K$7,"",MIN(F10:L10))</f>
        <v>16</v>
      </c>
      <c r="F10" s="176">
        <f ca="1">IF(TYPE(VLOOKUP(C10,Konečné_pořadí_1_16!$B$2:$D$17,3,0))&lt;4,VLOOKUP(C10,Konečné_pořadí_1_16!$B$2:$D$17,3,0),999)</f>
        <v>999</v>
      </c>
      <c r="G10" s="176">
        <f ca="1">IF(TYPE(VLOOKUP(C10,'KO64'!$D$4:$D$129,1,0))&lt;4,64,999)</f>
        <v>999</v>
      </c>
      <c r="H10" s="176">
        <f ca="1">IF(TYPE(VLOOKUP(C10,'KO32'!$D$4:$D$65,1,0))&lt;4,32,999)</f>
        <v>999</v>
      </c>
      <c r="I10" s="176">
        <f ca="1">IF(TYPE(VLOOKUP(C10,'KO16'!$D$4:$D$33,1,0))&lt;4,16,999)</f>
        <v>999</v>
      </c>
      <c r="J10" s="176">
        <f ca="1">IF(TYPE(VLOOKUP(C10,'KO8'!$D$4:$D$17,1,0))&lt;4,8,999)</f>
        <v>999</v>
      </c>
      <c r="K10" s="176">
        <f ca="1">IF(TYPE(VLOOKUP(C10,'KO4'!$D$4:$D$9,1,0))&lt;4,4,999)</f>
        <v>999</v>
      </c>
      <c r="L10" s="176">
        <f ca="1">Start.listina!$K$7</f>
        <v>16</v>
      </c>
      <c r="N10" s="176"/>
      <c r="O10" s="176"/>
      <c r="P10" s="176"/>
      <c r="Q10" s="176"/>
      <c r="R10" s="176"/>
      <c r="S10" s="176"/>
      <c r="T10" s="176"/>
      <c r="U10" s="176"/>
      <c r="V10" s="176"/>
      <c r="W10" s="176"/>
      <c r="X10" s="176"/>
      <c r="Y10" s="176"/>
      <c r="Z10" s="176"/>
      <c r="AA10" s="176"/>
      <c r="AB10" s="176"/>
      <c r="AC10" s="176"/>
      <c r="AD10" s="176"/>
      <c r="AE10" s="176"/>
      <c r="AF10" s="176"/>
      <c r="AG10" s="176"/>
      <c r="AH10" s="176"/>
    </row>
    <row r="11" spans="1:59">
      <c r="A11">
        <f ca="1">IF(OR(Start.listina!H19&gt;Start.listina!$K$7,Start.listina!G19=1),"",Start.listina!H19)</f>
        <v>9</v>
      </c>
      <c r="B11" s="176" t="str">
        <f ca="1">IF(A11&gt;Start.listina!$K$7,"",ADDRESS(INT((A11-1)/$M$2)+1,IF(MOD(A11,$M$2)=0,IF(MOD(INT((A11-1)/$M$2)+1,2)=1,$M$2,1),IF(MOD(INT((A11-1)/$M$2)+1,2)=1,MOD(A11,$M$2),$M$2-MOD(A11,$M$2)+1)),4,1))</f>
        <v>A3</v>
      </c>
      <c r="C11" s="178" t="str">
        <f ca="1">Start.listina!$AL19</f>
        <v>PK Sokol Medlánky - Bejšovec Petr</v>
      </c>
      <c r="D11" s="176">
        <f ca="1">IF(A11&gt;Start.listina!$K$7,"",INT((A11-1)/$M$2)+1)</f>
        <v>3</v>
      </c>
      <c r="E11" s="490">
        <f ca="1">IF(A11&gt;Start.listina!$K$7,"",MIN(F11:L11))</f>
        <v>16</v>
      </c>
      <c r="F11" s="176">
        <f ca="1">IF(TYPE(VLOOKUP(C11,Konečné_pořadí_1_16!$B$2:$D$17,3,0))&lt;4,VLOOKUP(C11,Konečné_pořadí_1_16!$B$2:$D$17,3,0),999)</f>
        <v>999</v>
      </c>
      <c r="G11" s="176">
        <f ca="1">IF(TYPE(VLOOKUP(C11,'KO64'!$D$4:$D$129,1,0))&lt;4,64,999)</f>
        <v>999</v>
      </c>
      <c r="H11" s="176">
        <f ca="1">IF(TYPE(VLOOKUP(C11,'KO32'!$D$4:$D$65,1,0))&lt;4,32,999)</f>
        <v>999</v>
      </c>
      <c r="I11" s="176">
        <f ca="1">IF(TYPE(VLOOKUP(C11,'KO16'!$D$4:$D$33,1,0))&lt;4,16,999)</f>
        <v>999</v>
      </c>
      <c r="J11" s="176">
        <f ca="1">IF(TYPE(VLOOKUP(C11,'KO8'!$D$4:$D$17,1,0))&lt;4,8,999)</f>
        <v>999</v>
      </c>
      <c r="K11" s="176">
        <f ca="1">IF(TYPE(VLOOKUP(C11,'KO4'!$D$4:$D$9,1,0))&lt;4,4,999)</f>
        <v>999</v>
      </c>
      <c r="L11" s="176">
        <f ca="1">Start.listina!$K$7</f>
        <v>16</v>
      </c>
      <c r="N11" s="176"/>
      <c r="O11" s="176"/>
      <c r="P11" s="176"/>
      <c r="Q11" s="176"/>
      <c r="R11" s="176"/>
      <c r="S11" s="176"/>
      <c r="T11" s="176"/>
      <c r="U11" s="176"/>
      <c r="V11" s="176"/>
      <c r="W11" s="176"/>
      <c r="X11" s="176"/>
      <c r="Y11" s="176"/>
      <c r="Z11" s="176"/>
      <c r="AA11" s="176"/>
      <c r="AB11" s="176"/>
      <c r="AC11" s="176"/>
      <c r="AD11" s="176"/>
      <c r="AE11" s="176"/>
      <c r="AF11" s="176"/>
      <c r="AG11" s="176"/>
      <c r="AH11" s="176"/>
    </row>
    <row r="12" spans="1:59">
      <c r="A12">
        <f ca="1">IF(OR(Start.listina!H20&gt;Start.listina!$K$7,Start.listina!G20=1),"",Start.listina!H20)</f>
        <v>10</v>
      </c>
      <c r="B12" s="176" t="str">
        <f ca="1">IF(A12&gt;Start.listina!$K$7,"",ADDRESS(INT((A12-1)/$M$2)+1,IF(MOD(A12,$M$2)=0,IF(MOD(INT((A12-1)/$M$2)+1,2)=1,$M$2,1),IF(MOD(INT((A12-1)/$M$2)+1,2)=1,MOD(A12,$M$2),$M$2-MOD(A12,$M$2)+1)),4,1))</f>
        <v>B3</v>
      </c>
      <c r="C12" s="178" t="str">
        <f ca="1">Start.listina!$AL20</f>
        <v>1. Starobrněnský PK - Ilgner Vladimír</v>
      </c>
      <c r="D12" s="176">
        <f ca="1">IF(A12&gt;Start.listina!$K$7,"",INT((A12-1)/$M$2)+1)</f>
        <v>3</v>
      </c>
      <c r="E12" s="490">
        <f ca="1">IF(A12&gt;Start.listina!$K$7,"",MIN(F12:L12))</f>
        <v>16</v>
      </c>
      <c r="F12" s="176">
        <f ca="1">IF(TYPE(VLOOKUP(C12,Konečné_pořadí_1_16!$B$2:$D$17,3,0))&lt;4,VLOOKUP(C12,Konečné_pořadí_1_16!$B$2:$D$17,3,0),999)</f>
        <v>999</v>
      </c>
      <c r="G12" s="176">
        <f ca="1">IF(TYPE(VLOOKUP(C12,'KO64'!$D$4:$D$129,1,0))&lt;4,64,999)</f>
        <v>999</v>
      </c>
      <c r="H12" s="176">
        <f ca="1">IF(TYPE(VLOOKUP(C12,'KO32'!$D$4:$D$65,1,0))&lt;4,32,999)</f>
        <v>999</v>
      </c>
      <c r="I12" s="176">
        <f ca="1">IF(TYPE(VLOOKUP(C12,'KO16'!$D$4:$D$33,1,0))&lt;4,16,999)</f>
        <v>999</v>
      </c>
      <c r="J12" s="176">
        <f ca="1">IF(TYPE(VLOOKUP(C12,'KO8'!$D$4:$D$17,1,0))&lt;4,8,999)</f>
        <v>999</v>
      </c>
      <c r="K12" s="176">
        <f ca="1">IF(TYPE(VLOOKUP(C12,'KO4'!$D$4:$D$9,1,0))&lt;4,4,999)</f>
        <v>999</v>
      </c>
      <c r="L12" s="176">
        <f ca="1">Start.listina!$K$7</f>
        <v>16</v>
      </c>
      <c r="N12" s="176"/>
      <c r="O12" s="176"/>
      <c r="P12" s="176"/>
      <c r="Q12" s="176"/>
      <c r="R12" s="176"/>
      <c r="S12" s="176"/>
      <c r="T12" s="176"/>
      <c r="U12" s="176"/>
      <c r="V12" s="176"/>
      <c r="W12" s="176"/>
      <c r="X12" s="176"/>
      <c r="Y12" s="176"/>
      <c r="Z12" s="176"/>
      <c r="AA12" s="176"/>
      <c r="AB12" s="176"/>
      <c r="AC12" s="176"/>
      <c r="AD12" s="176"/>
      <c r="AE12" s="176"/>
      <c r="AF12" s="176"/>
      <c r="AG12" s="176"/>
      <c r="AH12" s="176"/>
    </row>
    <row r="13" spans="1:59">
      <c r="A13">
        <f ca="1">IF(OR(Start.listina!H21&gt;Start.listina!$K$7,Start.listina!G21=1),"",Start.listina!H21)</f>
        <v>11</v>
      </c>
      <c r="B13" s="176" t="str">
        <f ca="1">IF(A13&gt;Start.listina!$K$7,"",ADDRESS(INT((A13-1)/$M$2)+1,IF(MOD(A13,$M$2)=0,IF(MOD(INT((A13-1)/$M$2)+1,2)=1,$M$2,1),IF(MOD(INT((A13-1)/$M$2)+1,2)=1,MOD(A13,$M$2),$M$2-MOD(A13,$M$2)+1)),4,1))</f>
        <v>C3</v>
      </c>
      <c r="C13" s="178" t="str">
        <f ca="1">Start.listina!$AL21</f>
        <v>PK Polouvsí - Koudelka Josef</v>
      </c>
      <c r="D13" s="176">
        <f ca="1">IF(A13&gt;Start.listina!$K$7,"",INT((A13-1)/$M$2)+1)</f>
        <v>3</v>
      </c>
      <c r="E13" s="490">
        <f ca="1">IF(A13&gt;Start.listina!$K$7,"",MIN(F13:L13))</f>
        <v>16</v>
      </c>
      <c r="F13" s="176">
        <f ca="1">IF(TYPE(VLOOKUP(C13,Konečné_pořadí_1_16!$B$2:$D$17,3,0))&lt;4,VLOOKUP(C13,Konečné_pořadí_1_16!$B$2:$D$17,3,0),999)</f>
        <v>999</v>
      </c>
      <c r="G13" s="176">
        <f ca="1">IF(TYPE(VLOOKUP(C13,'KO64'!$D$4:$D$129,1,0))&lt;4,64,999)</f>
        <v>999</v>
      </c>
      <c r="H13" s="176">
        <f ca="1">IF(TYPE(VLOOKUP(C13,'KO32'!$D$4:$D$65,1,0))&lt;4,32,999)</f>
        <v>999</v>
      </c>
      <c r="I13" s="176">
        <f ca="1">IF(TYPE(VLOOKUP(C13,'KO16'!$D$4:$D$33,1,0))&lt;4,16,999)</f>
        <v>999</v>
      </c>
      <c r="J13" s="176">
        <f ca="1">IF(TYPE(VLOOKUP(C13,'KO8'!$D$4:$D$17,1,0))&lt;4,8,999)</f>
        <v>999</v>
      </c>
      <c r="K13" s="176">
        <f ca="1">IF(TYPE(VLOOKUP(C13,'KO4'!$D$4:$D$9,1,0))&lt;4,4,999)</f>
        <v>999</v>
      </c>
      <c r="L13" s="176">
        <f ca="1">Start.listina!$K$7</f>
        <v>16</v>
      </c>
      <c r="N13" s="176"/>
      <c r="O13" s="176"/>
      <c r="P13" s="176"/>
      <c r="Q13" s="176"/>
      <c r="R13" s="176"/>
      <c r="S13" s="176"/>
      <c r="T13" s="176"/>
      <c r="U13" s="176"/>
      <c r="V13" s="176"/>
      <c r="W13" s="176"/>
      <c r="X13" s="176"/>
      <c r="Y13" s="176"/>
      <c r="Z13" s="176"/>
      <c r="AA13" s="176"/>
      <c r="AB13" s="176"/>
      <c r="AC13" s="176"/>
      <c r="AD13" s="176"/>
      <c r="AE13" s="176"/>
      <c r="AF13" s="176"/>
      <c r="AG13" s="176"/>
      <c r="AH13" s="176"/>
    </row>
    <row r="14" spans="1:59">
      <c r="A14">
        <f ca="1">IF(OR(Start.listina!H22&gt;Start.listina!$K$7,Start.listina!G22=1),"",Start.listina!H22)</f>
        <v>12</v>
      </c>
      <c r="B14" s="176" t="str">
        <f ca="1">IF(A14&gt;Start.listina!$K$7,"",ADDRESS(INT((A14-1)/$M$2)+1,IF(MOD(A14,$M$2)=0,IF(MOD(INT((A14-1)/$M$2)+1,2)=1,$M$2,1),IF(MOD(INT((A14-1)/$M$2)+1,2)=1,MOD(A14,$M$2),$M$2-MOD(A14,$M$2)+1)),4,1))</f>
        <v>D3</v>
      </c>
      <c r="C14" s="178" t="str">
        <f ca="1">Start.listina!$AL22</f>
        <v>PK Polouvsí - Valošková Sára</v>
      </c>
      <c r="D14" s="176">
        <f ca="1">IF(A14&gt;Start.listina!$K$7,"",INT((A14-1)/$M$2)+1)</f>
        <v>3</v>
      </c>
      <c r="E14" s="490">
        <f ca="1">IF(A14&gt;Start.listina!$K$7,"",MIN(F14:L14))</f>
        <v>16</v>
      </c>
      <c r="F14" s="176">
        <f ca="1">IF(TYPE(VLOOKUP(C14,Konečné_pořadí_1_16!$B$2:$D$17,3,0))&lt;4,VLOOKUP(C14,Konečné_pořadí_1_16!$B$2:$D$17,3,0),999)</f>
        <v>999</v>
      </c>
      <c r="G14" s="176">
        <f ca="1">IF(TYPE(VLOOKUP(C14,'KO64'!$D$4:$D$129,1,0))&lt;4,64,999)</f>
        <v>999</v>
      </c>
      <c r="H14" s="176">
        <f ca="1">IF(TYPE(VLOOKUP(C14,'KO32'!$D$4:$D$65,1,0))&lt;4,32,999)</f>
        <v>999</v>
      </c>
      <c r="I14" s="176">
        <f ca="1">IF(TYPE(VLOOKUP(C14,'KO16'!$D$4:$D$33,1,0))&lt;4,16,999)</f>
        <v>999</v>
      </c>
      <c r="J14" s="176">
        <f ca="1">IF(TYPE(VLOOKUP(C14,'KO8'!$D$4:$D$17,1,0))&lt;4,8,999)</f>
        <v>999</v>
      </c>
      <c r="K14" s="176">
        <f ca="1">IF(TYPE(VLOOKUP(C14,'KO4'!$D$4:$D$9,1,0))&lt;4,4,999)</f>
        <v>999</v>
      </c>
      <c r="L14" s="176">
        <f ca="1">Start.listina!$K$7</f>
        <v>16</v>
      </c>
      <c r="N14" s="176"/>
      <c r="O14" s="176"/>
      <c r="P14" s="176"/>
      <c r="Q14" s="176"/>
      <c r="R14" s="176"/>
      <c r="S14" s="176"/>
      <c r="T14" s="176"/>
      <c r="U14" s="176"/>
      <c r="V14" s="176"/>
      <c r="W14" s="176"/>
      <c r="X14" s="176"/>
      <c r="Y14" s="176"/>
      <c r="Z14" s="176"/>
      <c r="AA14" s="176"/>
      <c r="AB14" s="176"/>
      <c r="AC14" s="176"/>
      <c r="AD14" s="176"/>
      <c r="AE14" s="176"/>
      <c r="AF14" s="176"/>
      <c r="AG14" s="176"/>
      <c r="AH14" s="176"/>
    </row>
    <row r="15" spans="1:59">
      <c r="A15">
        <f ca="1">IF(OR(Start.listina!H23&gt;Start.listina!$K$7,Start.listina!G23=1),"",Start.listina!H23)</f>
        <v>13</v>
      </c>
      <c r="B15" s="176" t="str">
        <f ca="1">IF(A15&gt;Start.listina!$K$7,"",ADDRESS(INT((A15-1)/$M$2)+1,IF(MOD(A15,$M$2)=0,IF(MOD(INT((A15-1)/$M$2)+1,2)=1,$M$2,1),IF(MOD(INT((A15-1)/$M$2)+1,2)=1,MOD(A15,$M$2),$M$2-MOD(A15,$M$2)+1)),4,1))</f>
        <v>D4</v>
      </c>
      <c r="C15" s="178" t="str">
        <f ca="1">Start.listina!$AL23</f>
        <v>HAPEK - Navrátil Petr</v>
      </c>
      <c r="D15" s="176">
        <f ca="1">IF(A15&gt;Start.listina!$K$7,"",INT((A15-1)/$M$2)+1)</f>
        <v>4</v>
      </c>
      <c r="E15" s="490">
        <f ca="1">IF(A15&gt;Start.listina!$K$7,"",MIN(F15:L15))</f>
        <v>16</v>
      </c>
      <c r="F15" s="176">
        <f ca="1">IF(TYPE(VLOOKUP(C15,Konečné_pořadí_1_16!$B$2:$D$17,3,0))&lt;4,VLOOKUP(C15,Konečné_pořadí_1_16!$B$2:$D$17,3,0),999)</f>
        <v>999</v>
      </c>
      <c r="G15" s="176">
        <f ca="1">IF(TYPE(VLOOKUP(C15,'KO64'!$D$4:$D$129,1,0))&lt;4,64,999)</f>
        <v>999</v>
      </c>
      <c r="H15" s="176">
        <f ca="1">IF(TYPE(VLOOKUP(C15,'KO32'!$D$4:$D$65,1,0))&lt;4,32,999)</f>
        <v>999</v>
      </c>
      <c r="I15" s="176">
        <f ca="1">IF(TYPE(VLOOKUP(C15,'KO16'!$D$4:$D$33,1,0))&lt;4,16,999)</f>
        <v>999</v>
      </c>
      <c r="J15" s="176">
        <f ca="1">IF(TYPE(VLOOKUP(C15,'KO8'!$D$4:$D$17,1,0))&lt;4,8,999)</f>
        <v>999</v>
      </c>
      <c r="K15" s="176">
        <f ca="1">IF(TYPE(VLOOKUP(C15,'KO4'!$D$4:$D$9,1,0))&lt;4,4,999)</f>
        <v>999</v>
      </c>
      <c r="L15" s="176">
        <f ca="1">Start.listina!$K$7</f>
        <v>16</v>
      </c>
      <c r="N15" s="176"/>
      <c r="O15" s="176"/>
      <c r="P15" s="176"/>
      <c r="Q15" s="176"/>
      <c r="R15" s="176"/>
      <c r="S15" s="176"/>
      <c r="T15" s="176"/>
      <c r="U15" s="176"/>
      <c r="V15" s="176"/>
      <c r="W15" s="176"/>
      <c r="X15" s="176"/>
      <c r="Y15" s="176"/>
      <c r="Z15" s="176"/>
      <c r="AA15" s="176"/>
      <c r="AB15" s="176"/>
      <c r="AC15" s="176"/>
      <c r="AD15" s="176"/>
      <c r="AE15" s="176"/>
      <c r="AF15" s="176"/>
      <c r="AG15" s="176"/>
      <c r="AH15" s="176"/>
    </row>
    <row r="16" spans="1:59">
      <c r="A16">
        <f ca="1">IF(OR(Start.listina!H24&gt;Start.listina!$K$7,Start.listina!G24=1),"",Start.listina!H24)</f>
        <v>14</v>
      </c>
      <c r="B16" s="176" t="str">
        <f ca="1">IF(A16&gt;Start.listina!$K$7,"",ADDRESS(INT((A16-1)/$M$2)+1,IF(MOD(A16,$M$2)=0,IF(MOD(INT((A16-1)/$M$2)+1,2)=1,$M$2,1),IF(MOD(INT((A16-1)/$M$2)+1,2)=1,MOD(A16,$M$2),$M$2-MOD(A16,$M$2)+1)),4,1))</f>
        <v>C4</v>
      </c>
      <c r="C16" s="178" t="str">
        <f ca="1">Start.listina!$AL24</f>
        <v>SKP Hranice VI-Valšovice - Suk Miroslav</v>
      </c>
      <c r="D16" s="176">
        <f ca="1">IF(A16&gt;Start.listina!$K$7,"",INT((A16-1)/$M$2)+1)</f>
        <v>4</v>
      </c>
      <c r="E16" s="490">
        <f ca="1">IF(A16&gt;Start.listina!$K$7,"",MIN(F16:L16))</f>
        <v>16</v>
      </c>
      <c r="F16" s="176">
        <f ca="1">IF(TYPE(VLOOKUP(C16,Konečné_pořadí_1_16!$B$2:$D$17,3,0))&lt;4,VLOOKUP(C16,Konečné_pořadí_1_16!$B$2:$D$17,3,0),999)</f>
        <v>999</v>
      </c>
      <c r="G16" s="176">
        <f ca="1">IF(TYPE(VLOOKUP(C16,'KO64'!$D$4:$D$129,1,0))&lt;4,64,999)</f>
        <v>999</v>
      </c>
      <c r="H16" s="176">
        <f ca="1">IF(TYPE(VLOOKUP(C16,'KO32'!$D$4:$D$65,1,0))&lt;4,32,999)</f>
        <v>999</v>
      </c>
      <c r="I16" s="176">
        <f ca="1">IF(TYPE(VLOOKUP(C16,'KO16'!$D$4:$D$33,1,0))&lt;4,16,999)</f>
        <v>999</v>
      </c>
      <c r="J16" s="176">
        <f ca="1">IF(TYPE(VLOOKUP(C16,'KO8'!$D$4:$D$17,1,0))&lt;4,8,999)</f>
        <v>999</v>
      </c>
      <c r="K16" s="176">
        <f ca="1">IF(TYPE(VLOOKUP(C16,'KO4'!$D$4:$D$9,1,0))&lt;4,4,999)</f>
        <v>999</v>
      </c>
      <c r="L16" s="176">
        <f ca="1">Start.listina!$K$7</f>
        <v>16</v>
      </c>
      <c r="N16" s="176"/>
      <c r="O16" s="176"/>
      <c r="P16" s="176"/>
      <c r="Q16" s="176"/>
      <c r="R16" s="176"/>
      <c r="S16" s="176"/>
      <c r="T16" s="176"/>
      <c r="U16" s="176"/>
      <c r="V16" s="176"/>
      <c r="W16" s="176"/>
      <c r="X16" s="176"/>
      <c r="Y16" s="176"/>
      <c r="Z16" s="176"/>
      <c r="AA16" s="176"/>
      <c r="AB16" s="176"/>
      <c r="AC16" s="176"/>
      <c r="AD16" s="176"/>
      <c r="AE16" s="176"/>
      <c r="AF16" s="176"/>
      <c r="AG16" s="176"/>
      <c r="AH16" s="176"/>
    </row>
    <row r="17" spans="1:34">
      <c r="A17">
        <f ca="1">IF(OR(Start.listina!H25&gt;Start.listina!$K$7,Start.listina!G25=1),"",Start.listina!H25)</f>
        <v>15</v>
      </c>
      <c r="B17" s="176" t="str">
        <f ca="1">IF(A17&gt;Start.listina!$K$7,"",ADDRESS(INT((A17-1)/$M$2)+1,IF(MOD(A17,$M$2)=0,IF(MOD(INT((A17-1)/$M$2)+1,2)=1,$M$2,1),IF(MOD(INT((A17-1)/$M$2)+1,2)=1,MOD(A17,$M$2),$M$2-MOD(A17,$M$2)+1)),4,1))</f>
        <v>B4</v>
      </c>
      <c r="C17" s="178" t="str">
        <f ca="1">Start.listina!$AL25</f>
        <v>SKP Hranice VI-Valšovice - Suková Eva</v>
      </c>
      <c r="D17" s="176">
        <f ca="1">IF(A17&gt;Start.listina!$K$7,"",INT((A17-1)/$M$2)+1)</f>
        <v>4</v>
      </c>
      <c r="E17" s="490">
        <f ca="1">IF(A17&gt;Start.listina!$K$7,"",MIN(F17:L17))</f>
        <v>16</v>
      </c>
      <c r="F17" s="176">
        <f ca="1">IF(TYPE(VLOOKUP(C17,Konečné_pořadí_1_16!$B$2:$D$17,3,0))&lt;4,VLOOKUP(C17,Konečné_pořadí_1_16!$B$2:$D$17,3,0),999)</f>
        <v>999</v>
      </c>
      <c r="G17" s="176">
        <f ca="1">IF(TYPE(VLOOKUP(C17,'KO64'!$D$4:$D$129,1,0))&lt;4,64,999)</f>
        <v>999</v>
      </c>
      <c r="H17" s="176">
        <f ca="1">IF(TYPE(VLOOKUP(C17,'KO32'!$D$4:$D$65,1,0))&lt;4,32,999)</f>
        <v>999</v>
      </c>
      <c r="I17" s="176">
        <f ca="1">IF(TYPE(VLOOKUP(C17,'KO16'!$D$4:$D$33,1,0))&lt;4,16,999)</f>
        <v>999</v>
      </c>
      <c r="J17" s="176">
        <f ca="1">IF(TYPE(VLOOKUP(C17,'KO8'!$D$4:$D$17,1,0))&lt;4,8,999)</f>
        <v>999</v>
      </c>
      <c r="K17" s="176">
        <f ca="1">IF(TYPE(VLOOKUP(C17,'KO4'!$D$4:$D$9,1,0))&lt;4,4,999)</f>
        <v>999</v>
      </c>
      <c r="L17" s="176">
        <f ca="1">Start.listina!$K$7</f>
        <v>16</v>
      </c>
      <c r="N17" s="176"/>
      <c r="O17" s="176"/>
      <c r="P17" s="176"/>
      <c r="Q17" s="176"/>
      <c r="R17" s="176"/>
      <c r="S17" s="176"/>
      <c r="T17" s="176"/>
      <c r="U17" s="176"/>
      <c r="V17" s="176"/>
      <c r="W17" s="176"/>
      <c r="X17" s="176"/>
      <c r="Y17" s="176"/>
      <c r="Z17" s="176"/>
      <c r="AA17" s="176"/>
      <c r="AB17" s="176"/>
      <c r="AC17" s="176"/>
      <c r="AD17" s="176"/>
      <c r="AE17" s="176"/>
      <c r="AF17" s="176"/>
      <c r="AG17" s="176"/>
      <c r="AH17" s="176"/>
    </row>
    <row r="18" spans="1:34">
      <c r="A18">
        <f ca="1">IF(OR(Start.listina!H26&gt;Start.listina!$K$7,Start.listina!G26=1),"",Start.listina!H26)</f>
        <v>16</v>
      </c>
      <c r="B18" s="176" t="str">
        <f ca="1">IF(A18&gt;Start.listina!$K$7,"",ADDRESS(INT((A18-1)/$M$2)+1,IF(MOD(A18,$M$2)=0,IF(MOD(INT((A18-1)/$M$2)+1,2)=1,$M$2,1),IF(MOD(INT((A18-1)/$M$2)+1,2)=1,MOD(A18,$M$2),$M$2-MOD(A18,$M$2)+1)),4,1))</f>
        <v>A4</v>
      </c>
      <c r="C18" s="178" t="str">
        <f ca="1">Start.listina!$AL26</f>
        <v>PK Polouvsí - Vrzal Radomír</v>
      </c>
      <c r="D18" s="176">
        <f ca="1">IF(A18&gt;Start.listina!$K$7,"",INT((A18-1)/$M$2)+1)</f>
        <v>4</v>
      </c>
      <c r="E18" s="490">
        <f ca="1">IF(A18&gt;Start.listina!$K$7,"",MIN(F18:L18))</f>
        <v>16</v>
      </c>
      <c r="F18" s="176">
        <f ca="1">IF(TYPE(VLOOKUP(C18,Konečné_pořadí_1_16!$B$2:$D$17,3,0))&lt;4,VLOOKUP(C18,Konečné_pořadí_1_16!$B$2:$D$17,3,0),999)</f>
        <v>999</v>
      </c>
      <c r="G18" s="176">
        <f ca="1">IF(TYPE(VLOOKUP(C18,'KO64'!$D$4:$D$129,1,0))&lt;4,64,999)</f>
        <v>999</v>
      </c>
      <c r="H18" s="176">
        <f ca="1">IF(TYPE(VLOOKUP(C18,'KO32'!$D$4:$D$65,1,0))&lt;4,32,999)</f>
        <v>999</v>
      </c>
      <c r="I18" s="176">
        <f ca="1">IF(TYPE(VLOOKUP(C18,'KO16'!$D$4:$D$33,1,0))&lt;4,16,999)</f>
        <v>999</v>
      </c>
      <c r="J18" s="176">
        <f ca="1">IF(TYPE(VLOOKUP(C18,'KO8'!$D$4:$D$17,1,0))&lt;4,8,999)</f>
        <v>999</v>
      </c>
      <c r="K18" s="176">
        <f ca="1">IF(TYPE(VLOOKUP(C18,'KO4'!$D$4:$D$9,1,0))&lt;4,4,999)</f>
        <v>999</v>
      </c>
      <c r="L18" s="176">
        <f ca="1">Start.listina!$K$7</f>
        <v>16</v>
      </c>
      <c r="N18" s="176"/>
      <c r="O18" s="176"/>
      <c r="P18" s="176"/>
      <c r="Q18" s="176"/>
      <c r="R18" s="176"/>
      <c r="S18" s="176"/>
      <c r="T18" s="176"/>
      <c r="U18" s="176"/>
      <c r="V18" s="176"/>
      <c r="W18" s="176"/>
      <c r="X18" s="176"/>
      <c r="Y18" s="176"/>
      <c r="Z18" s="176"/>
      <c r="AA18" s="176"/>
      <c r="AB18" s="176"/>
      <c r="AC18" s="176"/>
      <c r="AD18" s="176"/>
      <c r="AE18" s="176"/>
      <c r="AF18" s="176"/>
      <c r="AG18" s="176"/>
      <c r="AH18" s="176"/>
    </row>
    <row r="19" spans="1:34">
      <c r="A19" t="str">
        <f ca="1">IF(OR(Start.listina!H27&gt;Start.listina!$K$7,Start.listina!G27=1),"",Start.listina!H27)</f>
        <v/>
      </c>
      <c r="B19" s="176" t="str">
        <f ca="1">IF(A19&gt;Start.listina!$K$7,"",ADDRESS(INT((A19-1)/$M$2)+1,IF(MOD(A19,$M$2)=0,IF(MOD(INT((A19-1)/$M$2)+1,2)=1,$M$2,1),IF(MOD(INT((A19-1)/$M$2)+1,2)=1,MOD(A19,$M$2),$M$2-MOD(A19,$M$2)+1)),4,1))</f>
        <v/>
      </c>
      <c r="C19" s="178" t="str">
        <f ca="1">Start.listina!$AL27</f>
        <v/>
      </c>
      <c r="D19" s="176" t="str">
        <f ca="1">IF(A19&gt;Start.listina!$K$7,"",INT((A19-1)/$M$2)+1)</f>
        <v/>
      </c>
      <c r="E19" s="490" t="str">
        <f ca="1">IF(A19&gt;Start.listina!$K$7,"",MIN(F19:L19))</f>
        <v/>
      </c>
      <c r="F19" s="176">
        <f ca="1">IF(TYPE(VLOOKUP(C19,Konečné_pořadí_1_16!$B$2:$D$17,3,0))&lt;4,VLOOKUP(C19,Konečné_pořadí_1_16!$B$2:$D$17,3,0),999)</f>
        <v>999</v>
      </c>
      <c r="G19" s="176">
        <f ca="1">IF(TYPE(VLOOKUP(C19,'KO64'!$D$4:$D$129,1,0))&lt;4,64,999)</f>
        <v>999</v>
      </c>
      <c r="H19" s="176">
        <f ca="1">IF(TYPE(VLOOKUP(C19,'KO32'!$D$4:$D$65,1,0))&lt;4,32,999)</f>
        <v>999</v>
      </c>
      <c r="I19" s="176">
        <f ca="1">IF(TYPE(VLOOKUP(C19,'KO16'!$D$4:$D$33,1,0))&lt;4,16,999)</f>
        <v>999</v>
      </c>
      <c r="J19" s="176">
        <f ca="1">IF(TYPE(VLOOKUP(C19,'KO8'!$D$4:$D$17,1,0))&lt;4,8,999)</f>
        <v>999</v>
      </c>
      <c r="K19" s="176">
        <f ca="1">IF(TYPE(VLOOKUP(C19,'KO4'!$D$4:$D$9,1,0))&lt;4,4,999)</f>
        <v>999</v>
      </c>
      <c r="L19" s="176">
        <f ca="1">Start.listina!$K$7</f>
        <v>16</v>
      </c>
      <c r="N19" s="176"/>
      <c r="O19" s="176"/>
      <c r="P19" s="176"/>
      <c r="Q19" s="176"/>
      <c r="R19" s="176"/>
      <c r="S19" s="176"/>
      <c r="T19" s="176"/>
      <c r="U19" s="176"/>
      <c r="V19" s="176"/>
      <c r="W19" s="176"/>
      <c r="X19" s="176"/>
      <c r="Y19" s="176"/>
      <c r="Z19" s="176"/>
      <c r="AA19" s="176"/>
      <c r="AB19" s="176"/>
      <c r="AC19" s="176"/>
      <c r="AD19" s="176"/>
      <c r="AE19" s="176"/>
      <c r="AF19" s="176"/>
      <c r="AG19" s="176"/>
      <c r="AH19" s="176"/>
    </row>
    <row r="20" spans="1:34">
      <c r="A20" t="str">
        <f ca="1">IF(OR(Start.listina!H28&gt;Start.listina!$K$7,Start.listina!G28=1),"",Start.listina!H28)</f>
        <v/>
      </c>
      <c r="B20" s="176" t="str">
        <f ca="1">IF(A20&gt;Start.listina!$K$7,"",ADDRESS(INT((A20-1)/$M$2)+1,IF(MOD(A20,$M$2)=0,IF(MOD(INT((A20-1)/$M$2)+1,2)=1,$M$2,1),IF(MOD(INT((A20-1)/$M$2)+1,2)=1,MOD(A20,$M$2),$M$2-MOD(A20,$M$2)+1)),4,1))</f>
        <v/>
      </c>
      <c r="C20" s="178" t="str">
        <f ca="1">Start.listina!$AL28</f>
        <v/>
      </c>
      <c r="D20" s="176" t="str">
        <f ca="1">IF(A20&gt;Start.listina!$K$7,"",INT((A20-1)/$M$2)+1)</f>
        <v/>
      </c>
      <c r="E20" s="490" t="str">
        <f ca="1">IF(A20&gt;Start.listina!$K$7,"",MIN(F20:L20))</f>
        <v/>
      </c>
      <c r="F20" s="176">
        <f ca="1">IF(TYPE(VLOOKUP(C20,Konečné_pořadí_1_16!$B$2:$D$17,3,0))&lt;4,VLOOKUP(C20,Konečné_pořadí_1_16!$B$2:$D$17,3,0),999)</f>
        <v>999</v>
      </c>
      <c r="G20" s="176">
        <f ca="1">IF(TYPE(VLOOKUP(C20,'KO64'!$D$4:$D$129,1,0))&lt;4,64,999)</f>
        <v>999</v>
      </c>
      <c r="H20" s="176">
        <f ca="1">IF(TYPE(VLOOKUP(C20,'KO32'!$D$4:$D$65,1,0))&lt;4,32,999)</f>
        <v>999</v>
      </c>
      <c r="I20" s="176">
        <f ca="1">IF(TYPE(VLOOKUP(C20,'KO16'!$D$4:$D$33,1,0))&lt;4,16,999)</f>
        <v>999</v>
      </c>
      <c r="J20" s="176">
        <f ca="1">IF(TYPE(VLOOKUP(C20,'KO8'!$D$4:$D$17,1,0))&lt;4,8,999)</f>
        <v>999</v>
      </c>
      <c r="K20" s="176">
        <f ca="1">IF(TYPE(VLOOKUP(C20,'KO4'!$D$4:$D$9,1,0))&lt;4,4,999)</f>
        <v>999</v>
      </c>
      <c r="L20" s="176">
        <f ca="1">Start.listina!$K$7</f>
        <v>16</v>
      </c>
      <c r="N20" s="176"/>
      <c r="O20" s="176"/>
      <c r="P20" s="176"/>
      <c r="Q20" s="176"/>
      <c r="R20" s="176"/>
      <c r="S20" s="176"/>
      <c r="T20" s="176"/>
      <c r="U20" s="176"/>
      <c r="V20" s="176"/>
      <c r="W20" s="176"/>
      <c r="X20" s="176"/>
      <c r="Y20" s="176"/>
      <c r="Z20" s="176"/>
      <c r="AA20" s="176"/>
      <c r="AB20" s="176"/>
      <c r="AC20" s="176"/>
      <c r="AD20" s="176"/>
      <c r="AE20" s="176"/>
      <c r="AF20" s="176"/>
      <c r="AG20" s="176"/>
      <c r="AH20" s="176"/>
    </row>
    <row r="21" spans="1:34">
      <c r="A21" t="str">
        <f ca="1">IF(OR(Start.listina!H29&gt;Start.listina!$K$7,Start.listina!G29=1),"",Start.listina!H29)</f>
        <v/>
      </c>
      <c r="B21" s="176" t="str">
        <f ca="1">IF(A21&gt;Start.listina!$K$7,"",ADDRESS(INT((A21-1)/$M$2)+1,IF(MOD(A21,$M$2)=0,IF(MOD(INT((A21-1)/$M$2)+1,2)=1,$M$2,1),IF(MOD(INT((A21-1)/$M$2)+1,2)=1,MOD(A21,$M$2),$M$2-MOD(A21,$M$2)+1)),4,1))</f>
        <v/>
      </c>
      <c r="C21" s="178" t="str">
        <f ca="1">Start.listina!$AL29</f>
        <v/>
      </c>
      <c r="D21" s="176" t="str">
        <f ca="1">IF(A21&gt;Start.listina!$K$7,"",INT((A21-1)/$M$2)+1)</f>
        <v/>
      </c>
      <c r="E21" s="490" t="str">
        <f ca="1">IF(A21&gt;Start.listina!$K$7,"",MIN(F21:L21))</f>
        <v/>
      </c>
      <c r="F21" s="176">
        <f ca="1">IF(TYPE(VLOOKUP(C21,Konečné_pořadí_1_16!$B$2:$D$17,3,0))&lt;4,VLOOKUP(C21,Konečné_pořadí_1_16!$B$2:$D$17,3,0),999)</f>
        <v>999</v>
      </c>
      <c r="G21" s="176">
        <f ca="1">IF(TYPE(VLOOKUP(C21,'KO64'!$D$4:$D$129,1,0))&lt;4,64,999)</f>
        <v>999</v>
      </c>
      <c r="H21" s="176">
        <f ca="1">IF(TYPE(VLOOKUP(C21,'KO32'!$D$4:$D$65,1,0))&lt;4,32,999)</f>
        <v>999</v>
      </c>
      <c r="I21" s="176">
        <f ca="1">IF(TYPE(VLOOKUP(C21,'KO16'!$D$4:$D$33,1,0))&lt;4,16,999)</f>
        <v>999</v>
      </c>
      <c r="J21" s="176">
        <f ca="1">IF(TYPE(VLOOKUP(C21,'KO8'!$D$4:$D$17,1,0))&lt;4,8,999)</f>
        <v>999</v>
      </c>
      <c r="K21" s="176">
        <f ca="1">IF(TYPE(VLOOKUP(C21,'KO4'!$D$4:$D$9,1,0))&lt;4,4,999)</f>
        <v>999</v>
      </c>
      <c r="L21" s="176">
        <f ca="1">Start.listina!$K$7</f>
        <v>16</v>
      </c>
      <c r="N21" s="176"/>
      <c r="O21" s="176"/>
      <c r="P21" s="176"/>
      <c r="Q21" s="176"/>
      <c r="R21" s="176"/>
      <c r="S21" s="176"/>
      <c r="T21" s="176"/>
      <c r="U21" s="176"/>
      <c r="V21" s="176"/>
      <c r="W21" s="176"/>
      <c r="X21" s="176"/>
      <c r="Y21" s="176"/>
      <c r="Z21" s="176"/>
      <c r="AA21" s="176"/>
      <c r="AB21" s="176"/>
      <c r="AC21" s="176"/>
      <c r="AD21" s="176"/>
      <c r="AE21" s="176"/>
      <c r="AF21" s="176"/>
      <c r="AG21" s="176"/>
      <c r="AH21" s="176"/>
    </row>
    <row r="22" spans="1:34">
      <c r="A22" t="str">
        <f ca="1">IF(OR(Start.listina!H30&gt;Start.listina!$K$7,Start.listina!G30=1),"",Start.listina!H30)</f>
        <v/>
      </c>
      <c r="B22" s="176" t="str">
        <f ca="1">IF(A22&gt;Start.listina!$K$7,"",ADDRESS(INT((A22-1)/$M$2)+1,IF(MOD(A22,$M$2)=0,IF(MOD(INT((A22-1)/$M$2)+1,2)=1,$M$2,1),IF(MOD(INT((A22-1)/$M$2)+1,2)=1,MOD(A22,$M$2),$M$2-MOD(A22,$M$2)+1)),4,1))</f>
        <v/>
      </c>
      <c r="C22" s="178" t="str">
        <f ca="1">Start.listina!$AL30</f>
        <v/>
      </c>
      <c r="D22" s="176" t="str">
        <f ca="1">IF(A22&gt;Start.listina!$K$7,"",INT((A22-1)/$M$2)+1)</f>
        <v/>
      </c>
      <c r="E22" s="490" t="str">
        <f ca="1">IF(A22&gt;Start.listina!$K$7,"",MIN(F22:L22))</f>
        <v/>
      </c>
      <c r="F22" s="176">
        <f ca="1">IF(TYPE(VLOOKUP(C22,Konečné_pořadí_1_16!$B$2:$D$17,3,0))&lt;4,VLOOKUP(C22,Konečné_pořadí_1_16!$B$2:$D$17,3,0),999)</f>
        <v>999</v>
      </c>
      <c r="G22" s="176">
        <f ca="1">IF(TYPE(VLOOKUP(C22,'KO64'!$D$4:$D$129,1,0))&lt;4,64,999)</f>
        <v>999</v>
      </c>
      <c r="H22" s="176">
        <f ca="1">IF(TYPE(VLOOKUP(C22,'KO32'!$D$4:$D$65,1,0))&lt;4,32,999)</f>
        <v>999</v>
      </c>
      <c r="I22" s="176">
        <f ca="1">IF(TYPE(VLOOKUP(C22,'KO16'!$D$4:$D$33,1,0))&lt;4,16,999)</f>
        <v>999</v>
      </c>
      <c r="J22" s="176">
        <f ca="1">IF(TYPE(VLOOKUP(C22,'KO8'!$D$4:$D$17,1,0))&lt;4,8,999)</f>
        <v>999</v>
      </c>
      <c r="K22" s="176">
        <f ca="1">IF(TYPE(VLOOKUP(C22,'KO4'!$D$4:$D$9,1,0))&lt;4,4,999)</f>
        <v>999</v>
      </c>
      <c r="L22" s="176">
        <f ca="1">Start.listina!$K$7</f>
        <v>16</v>
      </c>
      <c r="N22" s="176"/>
      <c r="O22" s="176"/>
      <c r="P22" s="176"/>
      <c r="Q22" s="176"/>
      <c r="R22" s="176"/>
      <c r="S22" s="176"/>
      <c r="T22" s="176"/>
      <c r="U22" s="176"/>
      <c r="V22" s="176"/>
      <c r="W22" s="176"/>
      <c r="X22" s="176"/>
      <c r="Y22" s="176"/>
      <c r="Z22" s="176"/>
      <c r="AA22" s="176"/>
      <c r="AB22" s="176"/>
      <c r="AC22" s="176"/>
      <c r="AD22" s="176"/>
      <c r="AE22" s="176"/>
      <c r="AF22" s="176"/>
      <c r="AG22" s="176"/>
      <c r="AH22" s="176"/>
    </row>
    <row r="23" spans="1:34">
      <c r="A23" t="str">
        <f ca="1">IF(OR(Start.listina!H31&gt;Start.listina!$K$7,Start.listina!G31=1),"",Start.listina!H31)</f>
        <v/>
      </c>
      <c r="B23" s="176" t="str">
        <f ca="1">IF(A23&gt;Start.listina!$K$7,"",ADDRESS(INT((A23-1)/$M$2)+1,IF(MOD(A23,$M$2)=0,IF(MOD(INT((A23-1)/$M$2)+1,2)=1,$M$2,1),IF(MOD(INT((A23-1)/$M$2)+1,2)=1,MOD(A23,$M$2),$M$2-MOD(A23,$M$2)+1)),4,1))</f>
        <v/>
      </c>
      <c r="C23" s="178" t="str">
        <f ca="1">Start.listina!$AL31</f>
        <v/>
      </c>
      <c r="D23" s="176" t="str">
        <f ca="1">IF(A23&gt;Start.listina!$K$7,"",INT((A23-1)/$M$2)+1)</f>
        <v/>
      </c>
      <c r="E23" s="490" t="str">
        <f ca="1">IF(A23&gt;Start.listina!$K$7,"",MIN(F23:L23))</f>
        <v/>
      </c>
      <c r="F23" s="176">
        <f ca="1">IF(TYPE(VLOOKUP(C23,Konečné_pořadí_1_16!$B$2:$D$17,3,0))&lt;4,VLOOKUP(C23,Konečné_pořadí_1_16!$B$2:$D$17,3,0),999)</f>
        <v>999</v>
      </c>
      <c r="G23" s="176">
        <f ca="1">IF(TYPE(VLOOKUP(C23,'KO64'!$D$4:$D$129,1,0))&lt;4,64,999)</f>
        <v>999</v>
      </c>
      <c r="H23" s="176">
        <f ca="1">IF(TYPE(VLOOKUP(C23,'KO32'!$D$4:$D$65,1,0))&lt;4,32,999)</f>
        <v>999</v>
      </c>
      <c r="I23" s="176">
        <f ca="1">IF(TYPE(VLOOKUP(C23,'KO16'!$D$4:$D$33,1,0))&lt;4,16,999)</f>
        <v>999</v>
      </c>
      <c r="J23" s="176">
        <f ca="1">IF(TYPE(VLOOKUP(C23,'KO8'!$D$4:$D$17,1,0))&lt;4,8,999)</f>
        <v>999</v>
      </c>
      <c r="K23" s="176">
        <f ca="1">IF(TYPE(VLOOKUP(C23,'KO4'!$D$4:$D$9,1,0))&lt;4,4,999)</f>
        <v>999</v>
      </c>
      <c r="L23" s="176">
        <f ca="1">Start.listina!$K$7</f>
        <v>16</v>
      </c>
      <c r="N23" s="176"/>
      <c r="O23" s="176"/>
      <c r="P23" s="176"/>
      <c r="Q23" s="176"/>
      <c r="R23" s="176"/>
      <c r="S23" s="176"/>
      <c r="T23" s="176"/>
      <c r="U23" s="176"/>
      <c r="V23" s="176"/>
      <c r="W23" s="176"/>
      <c r="X23" s="176"/>
      <c r="Y23" s="176"/>
      <c r="Z23" s="176"/>
      <c r="AA23" s="176"/>
      <c r="AB23" s="176"/>
      <c r="AC23" s="176"/>
      <c r="AD23" s="176"/>
      <c r="AE23" s="176"/>
      <c r="AF23" s="176"/>
      <c r="AG23" s="176"/>
      <c r="AH23" s="176"/>
    </row>
    <row r="24" spans="1:34">
      <c r="A24" t="str">
        <f ca="1">IF(OR(Start.listina!H32&gt;Start.listina!$K$7,Start.listina!G32=1),"",Start.listina!H32)</f>
        <v/>
      </c>
      <c r="B24" s="176" t="str">
        <f ca="1">IF(A24&gt;Start.listina!$K$7,"",ADDRESS(INT((A24-1)/$M$2)+1,IF(MOD(A24,$M$2)=0,IF(MOD(INT((A24-1)/$M$2)+1,2)=1,$M$2,1),IF(MOD(INT((A24-1)/$M$2)+1,2)=1,MOD(A24,$M$2),$M$2-MOD(A24,$M$2)+1)),4,1))</f>
        <v/>
      </c>
      <c r="C24" s="178" t="str">
        <f ca="1">Start.listina!$AL32</f>
        <v/>
      </c>
      <c r="D24" s="176" t="str">
        <f ca="1">IF(A24&gt;Start.listina!$K$7,"",INT((A24-1)/$M$2)+1)</f>
        <v/>
      </c>
      <c r="E24" s="490" t="str">
        <f ca="1">IF(A24&gt;Start.listina!$K$7,"",MIN(F24:L24))</f>
        <v/>
      </c>
      <c r="F24" s="176">
        <f ca="1">IF(TYPE(VLOOKUP(C24,Konečné_pořadí_1_16!$B$2:$D$17,3,0))&lt;4,VLOOKUP(C24,Konečné_pořadí_1_16!$B$2:$D$17,3,0),999)</f>
        <v>999</v>
      </c>
      <c r="G24" s="176">
        <f ca="1">IF(TYPE(VLOOKUP(C24,'KO64'!$D$4:$D$129,1,0))&lt;4,64,999)</f>
        <v>999</v>
      </c>
      <c r="H24" s="176">
        <f ca="1">IF(TYPE(VLOOKUP(C24,'KO32'!$D$4:$D$65,1,0))&lt;4,32,999)</f>
        <v>999</v>
      </c>
      <c r="I24" s="176">
        <f ca="1">IF(TYPE(VLOOKUP(C24,'KO16'!$D$4:$D$33,1,0))&lt;4,16,999)</f>
        <v>999</v>
      </c>
      <c r="J24" s="176">
        <f ca="1">IF(TYPE(VLOOKUP(C24,'KO8'!$D$4:$D$17,1,0))&lt;4,8,999)</f>
        <v>999</v>
      </c>
      <c r="K24" s="176">
        <f ca="1">IF(TYPE(VLOOKUP(C24,'KO4'!$D$4:$D$9,1,0))&lt;4,4,999)</f>
        <v>999</v>
      </c>
      <c r="L24" s="176">
        <f ca="1">Start.listina!$K$7</f>
        <v>16</v>
      </c>
      <c r="N24" s="176"/>
      <c r="O24" s="176"/>
      <c r="P24" s="176"/>
      <c r="Q24" s="176"/>
      <c r="R24" s="176"/>
      <c r="S24" s="176"/>
      <c r="T24" s="176"/>
      <c r="U24" s="176"/>
      <c r="V24" s="176"/>
      <c r="W24" s="176"/>
      <c r="X24" s="176"/>
      <c r="Y24" s="176"/>
      <c r="Z24" s="176"/>
      <c r="AA24" s="176"/>
      <c r="AB24" s="176"/>
      <c r="AC24" s="176"/>
      <c r="AD24" s="176"/>
      <c r="AE24" s="176"/>
      <c r="AF24" s="176"/>
      <c r="AG24" s="176"/>
      <c r="AH24" s="176"/>
    </row>
    <row r="25" spans="1:34">
      <c r="A25" t="str">
        <f ca="1">IF(OR(Start.listina!H33&gt;Start.listina!$K$7,Start.listina!G33=1),"",Start.listina!H33)</f>
        <v/>
      </c>
      <c r="B25" s="176" t="str">
        <f ca="1">IF(A25&gt;Start.listina!$K$7,"",ADDRESS(INT((A25-1)/$M$2)+1,IF(MOD(A25,$M$2)=0,IF(MOD(INT((A25-1)/$M$2)+1,2)=1,$M$2,1),IF(MOD(INT((A25-1)/$M$2)+1,2)=1,MOD(A25,$M$2),$M$2-MOD(A25,$M$2)+1)),4,1))</f>
        <v/>
      </c>
      <c r="C25" s="178" t="str">
        <f ca="1">Start.listina!$AL33</f>
        <v/>
      </c>
      <c r="D25" s="176" t="str">
        <f ca="1">IF(A25&gt;Start.listina!$K$7,"",INT((A25-1)/$M$2)+1)</f>
        <v/>
      </c>
      <c r="E25" s="490" t="str">
        <f ca="1">IF(A25&gt;Start.listina!$K$7,"",MIN(F25:L25))</f>
        <v/>
      </c>
      <c r="F25" s="176">
        <f ca="1">IF(TYPE(VLOOKUP(C25,Konečné_pořadí_1_16!$B$2:$D$17,3,0))&lt;4,VLOOKUP(C25,Konečné_pořadí_1_16!$B$2:$D$17,3,0),999)</f>
        <v>999</v>
      </c>
      <c r="G25" s="176">
        <f ca="1">IF(TYPE(VLOOKUP(C25,'KO64'!$D$4:$D$129,1,0))&lt;4,64,999)</f>
        <v>999</v>
      </c>
      <c r="H25" s="176">
        <f ca="1">IF(TYPE(VLOOKUP(C25,'KO32'!$D$4:$D$65,1,0))&lt;4,32,999)</f>
        <v>999</v>
      </c>
      <c r="I25" s="176">
        <f ca="1">IF(TYPE(VLOOKUP(C25,'KO16'!$D$4:$D$33,1,0))&lt;4,16,999)</f>
        <v>999</v>
      </c>
      <c r="J25" s="176">
        <f ca="1">IF(TYPE(VLOOKUP(C25,'KO8'!$D$4:$D$17,1,0))&lt;4,8,999)</f>
        <v>999</v>
      </c>
      <c r="K25" s="176">
        <f ca="1">IF(TYPE(VLOOKUP(C25,'KO4'!$D$4:$D$9,1,0))&lt;4,4,999)</f>
        <v>999</v>
      </c>
      <c r="L25" s="176">
        <f ca="1">Start.listina!$K$7</f>
        <v>16</v>
      </c>
      <c r="N25" s="176"/>
      <c r="O25" s="176"/>
      <c r="P25" s="176"/>
      <c r="Q25" s="176"/>
      <c r="R25" s="176"/>
      <c r="S25" s="176"/>
      <c r="T25" s="176"/>
      <c r="U25" s="176"/>
      <c r="V25" s="176"/>
      <c r="W25" s="176"/>
      <c r="X25" s="176"/>
      <c r="Y25" s="176"/>
      <c r="Z25" s="176"/>
      <c r="AA25" s="176"/>
      <c r="AB25" s="176"/>
      <c r="AC25" s="176"/>
      <c r="AD25" s="176"/>
      <c r="AE25" s="176"/>
      <c r="AF25" s="176"/>
      <c r="AG25" s="176"/>
      <c r="AH25" s="176"/>
    </row>
    <row r="26" spans="1:34">
      <c r="A26" t="str">
        <f ca="1">IF(OR(Start.listina!H34&gt;Start.listina!$K$7,Start.listina!G34=1),"",Start.listina!H34)</f>
        <v/>
      </c>
      <c r="B26" s="176" t="str">
        <f ca="1">IF(A26&gt;Start.listina!$K$7,"",ADDRESS(INT((A26-1)/$M$2)+1,IF(MOD(A26,$M$2)=0,IF(MOD(INT((A26-1)/$M$2)+1,2)=1,$M$2,1),IF(MOD(INT((A26-1)/$M$2)+1,2)=1,MOD(A26,$M$2),$M$2-MOD(A26,$M$2)+1)),4,1))</f>
        <v/>
      </c>
      <c r="C26" s="178" t="str">
        <f ca="1">Start.listina!$AL34</f>
        <v/>
      </c>
      <c r="D26" s="176" t="str">
        <f ca="1">IF(A26&gt;Start.listina!$K$7,"",INT((A26-1)/$M$2)+1)</f>
        <v/>
      </c>
      <c r="E26" s="490" t="str">
        <f ca="1">IF(A26&gt;Start.listina!$K$7,"",MIN(F26:L26))</f>
        <v/>
      </c>
      <c r="F26" s="176">
        <f ca="1">IF(TYPE(VLOOKUP(C26,Konečné_pořadí_1_16!$B$2:$D$17,3,0))&lt;4,VLOOKUP(C26,Konečné_pořadí_1_16!$B$2:$D$17,3,0),999)</f>
        <v>999</v>
      </c>
      <c r="G26" s="176">
        <f ca="1">IF(TYPE(VLOOKUP(C26,'KO64'!$D$4:$D$129,1,0))&lt;4,64,999)</f>
        <v>999</v>
      </c>
      <c r="H26" s="176">
        <f ca="1">IF(TYPE(VLOOKUP(C26,'KO32'!$D$4:$D$65,1,0))&lt;4,32,999)</f>
        <v>999</v>
      </c>
      <c r="I26" s="176">
        <f ca="1">IF(TYPE(VLOOKUP(C26,'KO16'!$D$4:$D$33,1,0))&lt;4,16,999)</f>
        <v>999</v>
      </c>
      <c r="J26" s="176">
        <f ca="1">IF(TYPE(VLOOKUP(C26,'KO8'!$D$4:$D$17,1,0))&lt;4,8,999)</f>
        <v>999</v>
      </c>
      <c r="K26" s="176">
        <f ca="1">IF(TYPE(VLOOKUP(C26,'KO4'!$D$4:$D$9,1,0))&lt;4,4,999)</f>
        <v>999</v>
      </c>
      <c r="L26" s="176">
        <f ca="1">Start.listina!$K$7</f>
        <v>16</v>
      </c>
      <c r="N26" s="176"/>
      <c r="O26" s="176"/>
      <c r="P26" s="176"/>
      <c r="Q26" s="176"/>
      <c r="R26" s="176"/>
      <c r="S26" s="176"/>
      <c r="T26" s="176"/>
      <c r="U26" s="176"/>
      <c r="V26" s="176"/>
      <c r="W26" s="176"/>
      <c r="X26" s="176"/>
      <c r="Y26" s="176"/>
      <c r="Z26" s="176"/>
      <c r="AA26" s="176"/>
      <c r="AB26" s="176"/>
      <c r="AC26" s="176"/>
      <c r="AD26" s="176"/>
      <c r="AE26" s="176"/>
      <c r="AF26" s="176"/>
      <c r="AG26" s="176"/>
      <c r="AH26" s="176"/>
    </row>
    <row r="27" spans="1:34">
      <c r="A27" t="str">
        <f ca="1">IF(OR(Start.listina!H35&gt;Start.listina!$K$7,Start.listina!G35=1),"",Start.listina!H35)</f>
        <v/>
      </c>
      <c r="B27" s="176" t="str">
        <f ca="1">IF(A27&gt;Start.listina!$K$7,"",ADDRESS(INT((A27-1)/$M$2)+1,IF(MOD(A27,$M$2)=0,IF(MOD(INT((A27-1)/$M$2)+1,2)=1,$M$2,1),IF(MOD(INT((A27-1)/$M$2)+1,2)=1,MOD(A27,$M$2),$M$2-MOD(A27,$M$2)+1)),4,1))</f>
        <v/>
      </c>
      <c r="C27" s="178" t="str">
        <f ca="1">Start.listina!$AL35</f>
        <v/>
      </c>
      <c r="D27" s="176" t="str">
        <f ca="1">IF(A27&gt;Start.listina!$K$7,"",INT((A27-1)/$M$2)+1)</f>
        <v/>
      </c>
      <c r="E27" s="490" t="str">
        <f ca="1">IF(A27&gt;Start.listina!$K$7,"",MIN(F27:L27))</f>
        <v/>
      </c>
      <c r="F27" s="176">
        <f ca="1">IF(TYPE(VLOOKUP(C27,Konečné_pořadí_1_16!$B$2:$D$17,3,0))&lt;4,VLOOKUP(C27,Konečné_pořadí_1_16!$B$2:$D$17,3,0),999)</f>
        <v>999</v>
      </c>
      <c r="G27" s="176">
        <f ca="1">IF(TYPE(VLOOKUP(C27,'KO64'!$D$4:$D$129,1,0))&lt;4,64,999)</f>
        <v>999</v>
      </c>
      <c r="H27" s="176">
        <f ca="1">IF(TYPE(VLOOKUP(C27,'KO32'!$D$4:$D$65,1,0))&lt;4,32,999)</f>
        <v>999</v>
      </c>
      <c r="I27" s="176">
        <f ca="1">IF(TYPE(VLOOKUP(C27,'KO16'!$D$4:$D$33,1,0))&lt;4,16,999)</f>
        <v>999</v>
      </c>
      <c r="J27" s="176">
        <f ca="1">IF(TYPE(VLOOKUP(C27,'KO8'!$D$4:$D$17,1,0))&lt;4,8,999)</f>
        <v>999</v>
      </c>
      <c r="K27" s="176">
        <f ca="1">IF(TYPE(VLOOKUP(C27,'KO4'!$D$4:$D$9,1,0))&lt;4,4,999)</f>
        <v>999</v>
      </c>
      <c r="L27" s="176">
        <f ca="1">Start.listina!$K$7</f>
        <v>16</v>
      </c>
      <c r="N27" s="176"/>
      <c r="O27" s="176"/>
      <c r="P27" s="176"/>
      <c r="Q27" s="176"/>
      <c r="R27" s="176"/>
      <c r="S27" s="176"/>
      <c r="T27" s="176"/>
      <c r="U27" s="176"/>
      <c r="V27" s="176"/>
      <c r="W27" s="176"/>
      <c r="X27" s="176"/>
      <c r="Y27" s="176"/>
      <c r="Z27" s="176"/>
      <c r="AA27" s="176"/>
      <c r="AB27" s="176"/>
      <c r="AC27" s="176"/>
      <c r="AD27" s="176"/>
      <c r="AE27" s="176"/>
      <c r="AF27" s="176"/>
      <c r="AG27" s="176"/>
      <c r="AH27" s="176"/>
    </row>
    <row r="28" spans="1:34">
      <c r="A28" t="str">
        <f ca="1">IF(OR(Start.listina!H36&gt;Start.listina!$K$7,Start.listina!G36=1),"",Start.listina!H36)</f>
        <v/>
      </c>
      <c r="B28" s="176" t="str">
        <f ca="1">IF(A28&gt;Start.listina!$K$7,"",ADDRESS(INT((A28-1)/$M$2)+1,IF(MOD(A28,$M$2)=0,IF(MOD(INT((A28-1)/$M$2)+1,2)=1,$M$2,1),IF(MOD(INT((A28-1)/$M$2)+1,2)=1,MOD(A28,$M$2),$M$2-MOD(A28,$M$2)+1)),4,1))</f>
        <v/>
      </c>
      <c r="C28" s="178" t="str">
        <f ca="1">Start.listina!$AL36</f>
        <v/>
      </c>
      <c r="D28" s="176" t="str">
        <f ca="1">IF(A28&gt;Start.listina!$K$7,"",INT((A28-1)/$M$2)+1)</f>
        <v/>
      </c>
      <c r="E28" s="490" t="str">
        <f ca="1">IF(A28&gt;Start.listina!$K$7,"",MIN(F28:L28))</f>
        <v/>
      </c>
      <c r="F28" s="176">
        <f ca="1">IF(TYPE(VLOOKUP(C28,Konečné_pořadí_1_16!$B$2:$D$17,3,0))&lt;4,VLOOKUP(C28,Konečné_pořadí_1_16!$B$2:$D$17,3,0),999)</f>
        <v>999</v>
      </c>
      <c r="G28" s="176">
        <f ca="1">IF(TYPE(VLOOKUP(C28,'KO64'!$D$4:$D$129,1,0))&lt;4,64,999)</f>
        <v>999</v>
      </c>
      <c r="H28" s="176">
        <f ca="1">IF(TYPE(VLOOKUP(C28,'KO32'!$D$4:$D$65,1,0))&lt;4,32,999)</f>
        <v>999</v>
      </c>
      <c r="I28" s="176">
        <f ca="1">IF(TYPE(VLOOKUP(C28,'KO16'!$D$4:$D$33,1,0))&lt;4,16,999)</f>
        <v>999</v>
      </c>
      <c r="J28" s="176">
        <f ca="1">IF(TYPE(VLOOKUP(C28,'KO8'!$D$4:$D$17,1,0))&lt;4,8,999)</f>
        <v>999</v>
      </c>
      <c r="K28" s="176">
        <f ca="1">IF(TYPE(VLOOKUP(C28,'KO4'!$D$4:$D$9,1,0))&lt;4,4,999)</f>
        <v>999</v>
      </c>
      <c r="L28" s="176">
        <f ca="1">Start.listina!$K$7</f>
        <v>16</v>
      </c>
      <c r="N28" s="176"/>
      <c r="O28" s="176"/>
      <c r="P28" s="176"/>
      <c r="Q28" s="176"/>
      <c r="R28" s="176"/>
      <c r="S28" s="176"/>
      <c r="T28" s="176"/>
      <c r="U28" s="176"/>
      <c r="V28" s="176"/>
      <c r="W28" s="176"/>
      <c r="X28" s="176"/>
      <c r="Y28" s="176"/>
      <c r="Z28" s="176"/>
      <c r="AA28" s="176"/>
      <c r="AB28" s="176"/>
      <c r="AC28" s="176"/>
      <c r="AD28" s="176"/>
      <c r="AE28" s="176"/>
      <c r="AF28" s="176"/>
      <c r="AG28" s="176"/>
      <c r="AH28" s="176"/>
    </row>
    <row r="29" spans="1:34">
      <c r="A29" t="str">
        <f ca="1">IF(OR(Start.listina!H37&gt;Start.listina!$K$7,Start.listina!G37=1),"",Start.listina!H37)</f>
        <v/>
      </c>
      <c r="B29" s="176" t="str">
        <f ca="1">IF(A29&gt;Start.listina!$K$7,"",ADDRESS(INT((A29-1)/$M$2)+1,IF(MOD(A29,$M$2)=0,IF(MOD(INT((A29-1)/$M$2)+1,2)=1,$M$2,1),IF(MOD(INT((A29-1)/$M$2)+1,2)=1,MOD(A29,$M$2),$M$2-MOD(A29,$M$2)+1)),4,1))</f>
        <v/>
      </c>
      <c r="C29" s="178" t="str">
        <f ca="1">Start.listina!$AL37</f>
        <v/>
      </c>
      <c r="D29" s="176" t="str">
        <f ca="1">IF(A29&gt;Start.listina!$K$7,"",INT((A29-1)/$M$2)+1)</f>
        <v/>
      </c>
      <c r="E29" s="490" t="str">
        <f ca="1">IF(A29&gt;Start.listina!$K$7,"",MIN(F29:L29))</f>
        <v/>
      </c>
      <c r="F29" s="176">
        <f ca="1">IF(TYPE(VLOOKUP(C29,Konečné_pořadí_1_16!$B$2:$D$17,3,0))&lt;4,VLOOKUP(C29,Konečné_pořadí_1_16!$B$2:$D$17,3,0),999)</f>
        <v>999</v>
      </c>
      <c r="G29" s="176">
        <f ca="1">IF(TYPE(VLOOKUP(C29,'KO64'!$D$4:$D$129,1,0))&lt;4,64,999)</f>
        <v>999</v>
      </c>
      <c r="H29" s="176">
        <f ca="1">IF(TYPE(VLOOKUP(C29,'KO32'!$D$4:$D$65,1,0))&lt;4,32,999)</f>
        <v>999</v>
      </c>
      <c r="I29" s="176">
        <f ca="1">IF(TYPE(VLOOKUP(C29,'KO16'!$D$4:$D$33,1,0))&lt;4,16,999)</f>
        <v>999</v>
      </c>
      <c r="J29" s="176">
        <f ca="1">IF(TYPE(VLOOKUP(C29,'KO8'!$D$4:$D$17,1,0))&lt;4,8,999)</f>
        <v>999</v>
      </c>
      <c r="K29" s="176">
        <f ca="1">IF(TYPE(VLOOKUP(C29,'KO4'!$D$4:$D$9,1,0))&lt;4,4,999)</f>
        <v>999</v>
      </c>
      <c r="L29" s="176">
        <f ca="1">Start.listina!$K$7</f>
        <v>16</v>
      </c>
      <c r="N29" s="176"/>
      <c r="O29" s="176"/>
      <c r="P29" s="176"/>
      <c r="Q29" s="176"/>
      <c r="R29" s="176"/>
      <c r="S29" s="176"/>
      <c r="T29" s="176"/>
      <c r="U29" s="176"/>
      <c r="V29" s="176"/>
      <c r="W29" s="176"/>
      <c r="X29" s="176"/>
      <c r="Y29" s="176"/>
      <c r="Z29" s="176"/>
      <c r="AA29" s="176"/>
      <c r="AB29" s="176"/>
      <c r="AC29" s="176"/>
      <c r="AD29" s="176"/>
      <c r="AE29" s="176"/>
      <c r="AF29" s="176"/>
      <c r="AG29" s="176"/>
      <c r="AH29" s="176"/>
    </row>
    <row r="30" spans="1:34">
      <c r="A30" t="str">
        <f ca="1">IF(OR(Start.listina!H38&gt;Start.listina!$K$7,Start.listina!G38=1),"",Start.listina!H38)</f>
        <v/>
      </c>
      <c r="B30" s="176" t="str">
        <f ca="1">IF(A30&gt;Start.listina!$K$7,"",ADDRESS(INT((A30-1)/$M$2)+1,IF(MOD(A30,$M$2)=0,IF(MOD(INT((A30-1)/$M$2)+1,2)=1,$M$2,1),IF(MOD(INT((A30-1)/$M$2)+1,2)=1,MOD(A30,$M$2),$M$2-MOD(A30,$M$2)+1)),4,1))</f>
        <v/>
      </c>
      <c r="C30" s="178" t="str">
        <f ca="1">Start.listina!$AL38</f>
        <v/>
      </c>
      <c r="D30" s="176" t="str">
        <f ca="1">IF(A30&gt;Start.listina!$K$7,"",INT((A30-1)/$M$2)+1)</f>
        <v/>
      </c>
      <c r="E30" s="490" t="str">
        <f ca="1">IF(A30&gt;Start.listina!$K$7,"",MIN(F30:L30))</f>
        <v/>
      </c>
      <c r="F30" s="176">
        <f ca="1">IF(TYPE(VLOOKUP(C30,Konečné_pořadí_1_16!$B$2:$D$17,3,0))&lt;4,VLOOKUP(C30,Konečné_pořadí_1_16!$B$2:$D$17,3,0),999)</f>
        <v>999</v>
      </c>
      <c r="G30" s="176">
        <f ca="1">IF(TYPE(VLOOKUP(C30,'KO64'!$D$4:$D$129,1,0))&lt;4,64,999)</f>
        <v>999</v>
      </c>
      <c r="H30" s="176">
        <f ca="1">IF(TYPE(VLOOKUP(C30,'KO32'!$D$4:$D$65,1,0))&lt;4,32,999)</f>
        <v>999</v>
      </c>
      <c r="I30" s="176">
        <f ca="1">IF(TYPE(VLOOKUP(C30,'KO16'!$D$4:$D$33,1,0))&lt;4,16,999)</f>
        <v>999</v>
      </c>
      <c r="J30" s="176">
        <f ca="1">IF(TYPE(VLOOKUP(C30,'KO8'!$D$4:$D$17,1,0))&lt;4,8,999)</f>
        <v>999</v>
      </c>
      <c r="K30" s="176">
        <f ca="1">IF(TYPE(VLOOKUP(C30,'KO4'!$D$4:$D$9,1,0))&lt;4,4,999)</f>
        <v>999</v>
      </c>
      <c r="L30" s="176">
        <f ca="1">Start.listina!$K$7</f>
        <v>16</v>
      </c>
      <c r="N30" s="176"/>
      <c r="O30" s="176"/>
      <c r="P30" s="176"/>
      <c r="Q30" s="176"/>
      <c r="R30" s="176"/>
      <c r="S30" s="176"/>
      <c r="T30" s="176"/>
      <c r="U30" s="176"/>
      <c r="V30" s="176"/>
      <c r="W30" s="176"/>
      <c r="X30" s="176"/>
      <c r="Y30" s="176"/>
      <c r="Z30" s="176"/>
      <c r="AA30" s="176"/>
      <c r="AB30" s="176"/>
      <c r="AC30" s="176"/>
      <c r="AD30" s="176"/>
      <c r="AE30" s="176"/>
      <c r="AF30" s="176"/>
      <c r="AG30" s="176"/>
      <c r="AH30" s="176"/>
    </row>
    <row r="31" spans="1:34">
      <c r="A31" t="str">
        <f ca="1">IF(OR(Start.listina!H39&gt;Start.listina!$K$7,Start.listina!G39=1),"",Start.listina!H39)</f>
        <v/>
      </c>
      <c r="B31" s="176" t="str">
        <f ca="1">IF(A31&gt;Start.listina!$K$7,"",ADDRESS(INT((A31-1)/$M$2)+1,IF(MOD(A31,$M$2)=0,IF(MOD(INT((A31-1)/$M$2)+1,2)=1,$M$2,1),IF(MOD(INT((A31-1)/$M$2)+1,2)=1,MOD(A31,$M$2),$M$2-MOD(A31,$M$2)+1)),4,1))</f>
        <v/>
      </c>
      <c r="C31" s="178" t="str">
        <f ca="1">Start.listina!$AL39</f>
        <v/>
      </c>
      <c r="D31" s="176" t="str">
        <f ca="1">IF(A31&gt;Start.listina!$K$7,"",INT((A31-1)/$M$2)+1)</f>
        <v/>
      </c>
      <c r="E31" s="490" t="str">
        <f ca="1">IF(A31&gt;Start.listina!$K$7,"",MIN(F31:L31))</f>
        <v/>
      </c>
      <c r="F31" s="176">
        <f ca="1">IF(TYPE(VLOOKUP(C31,Konečné_pořadí_1_16!$B$2:$D$17,3,0))&lt;4,VLOOKUP(C31,Konečné_pořadí_1_16!$B$2:$D$17,3,0),999)</f>
        <v>999</v>
      </c>
      <c r="G31" s="176">
        <f ca="1">IF(TYPE(VLOOKUP(C31,'KO64'!$D$4:$D$129,1,0))&lt;4,64,999)</f>
        <v>999</v>
      </c>
      <c r="H31" s="176">
        <f ca="1">IF(TYPE(VLOOKUP(C31,'KO32'!$D$4:$D$65,1,0))&lt;4,32,999)</f>
        <v>999</v>
      </c>
      <c r="I31" s="176">
        <f ca="1">IF(TYPE(VLOOKUP(C31,'KO16'!$D$4:$D$33,1,0))&lt;4,16,999)</f>
        <v>999</v>
      </c>
      <c r="J31" s="176">
        <f ca="1">IF(TYPE(VLOOKUP(C31,'KO8'!$D$4:$D$17,1,0))&lt;4,8,999)</f>
        <v>999</v>
      </c>
      <c r="K31" s="176">
        <f ca="1">IF(TYPE(VLOOKUP(C31,'KO4'!$D$4:$D$9,1,0))&lt;4,4,999)</f>
        <v>999</v>
      </c>
      <c r="L31" s="176">
        <f ca="1">Start.listina!$K$7</f>
        <v>16</v>
      </c>
      <c r="N31" s="176"/>
      <c r="O31" s="176"/>
      <c r="P31" s="176"/>
      <c r="Q31" s="176"/>
      <c r="R31" s="176"/>
      <c r="S31" s="176"/>
      <c r="T31" s="176"/>
      <c r="U31" s="176"/>
      <c r="V31" s="176"/>
      <c r="W31" s="176"/>
      <c r="X31" s="176"/>
      <c r="Y31" s="176"/>
      <c r="Z31" s="176"/>
      <c r="AA31" s="176"/>
      <c r="AB31" s="176"/>
      <c r="AC31" s="176"/>
      <c r="AD31" s="176"/>
      <c r="AE31" s="176"/>
      <c r="AF31" s="176"/>
      <c r="AG31" s="176"/>
      <c r="AH31" s="176"/>
    </row>
    <row r="32" spans="1:34">
      <c r="A32" t="str">
        <f ca="1">IF(OR(Start.listina!H40&gt;Start.listina!$K$7,Start.listina!G40=1),"",Start.listina!H40)</f>
        <v/>
      </c>
      <c r="B32" s="176" t="str">
        <f ca="1">IF(A32&gt;Start.listina!$K$7,"",ADDRESS(INT((A32-1)/$M$2)+1,IF(MOD(A32,$M$2)=0,IF(MOD(INT((A32-1)/$M$2)+1,2)=1,$M$2,1),IF(MOD(INT((A32-1)/$M$2)+1,2)=1,MOD(A32,$M$2),$M$2-MOD(A32,$M$2)+1)),4,1))</f>
        <v/>
      </c>
      <c r="C32" s="178" t="str">
        <f ca="1">Start.listina!$AL40</f>
        <v/>
      </c>
      <c r="D32" s="176" t="str">
        <f ca="1">IF(A32&gt;Start.listina!$K$7,"",INT((A32-1)/$M$2)+1)</f>
        <v/>
      </c>
      <c r="E32" s="490" t="str">
        <f ca="1">IF(A32&gt;Start.listina!$K$7,"",MIN(F32:L32))</f>
        <v/>
      </c>
      <c r="F32" s="176">
        <f ca="1">IF(TYPE(VLOOKUP(C32,Konečné_pořadí_1_16!$B$2:$D$17,3,0))&lt;4,VLOOKUP(C32,Konečné_pořadí_1_16!$B$2:$D$17,3,0),999)</f>
        <v>999</v>
      </c>
      <c r="G32" s="176">
        <f ca="1">IF(TYPE(VLOOKUP(C32,'KO64'!$D$4:$D$129,1,0))&lt;4,64,999)</f>
        <v>999</v>
      </c>
      <c r="H32" s="176">
        <f ca="1">IF(TYPE(VLOOKUP(C32,'KO32'!$D$4:$D$65,1,0))&lt;4,32,999)</f>
        <v>999</v>
      </c>
      <c r="I32" s="176">
        <f ca="1">IF(TYPE(VLOOKUP(C32,'KO16'!$D$4:$D$33,1,0))&lt;4,16,999)</f>
        <v>999</v>
      </c>
      <c r="J32" s="176">
        <f ca="1">IF(TYPE(VLOOKUP(C32,'KO8'!$D$4:$D$17,1,0))&lt;4,8,999)</f>
        <v>999</v>
      </c>
      <c r="K32" s="176">
        <f ca="1">IF(TYPE(VLOOKUP(C32,'KO4'!$D$4:$D$9,1,0))&lt;4,4,999)</f>
        <v>999</v>
      </c>
      <c r="L32" s="176">
        <f ca="1">Start.listina!$K$7</f>
        <v>16</v>
      </c>
      <c r="N32" s="176"/>
      <c r="O32" s="176"/>
      <c r="P32" s="176"/>
      <c r="Q32" s="176"/>
      <c r="R32" s="176"/>
      <c r="S32" s="176"/>
      <c r="T32" s="176"/>
      <c r="U32" s="176"/>
      <c r="V32" s="176"/>
      <c r="W32" s="176"/>
      <c r="X32" s="176"/>
      <c r="Y32" s="176"/>
      <c r="Z32" s="176"/>
      <c r="AA32" s="176"/>
      <c r="AB32" s="176"/>
      <c r="AC32" s="176"/>
      <c r="AD32" s="176"/>
      <c r="AE32" s="176"/>
      <c r="AF32" s="176"/>
      <c r="AG32" s="176"/>
      <c r="AH32" s="176"/>
    </row>
    <row r="33" spans="1:34">
      <c r="A33" t="str">
        <f ca="1">IF(OR(Start.listina!H41&gt;Start.listina!$K$7,Start.listina!G41=1),"",Start.listina!H41)</f>
        <v/>
      </c>
      <c r="B33" s="176" t="str">
        <f ca="1">IF(A33&gt;Start.listina!$K$7,"",ADDRESS(INT((A33-1)/$M$2)+1,IF(MOD(A33,$M$2)=0,IF(MOD(INT((A33-1)/$M$2)+1,2)=1,$M$2,1),IF(MOD(INT((A33-1)/$M$2)+1,2)=1,MOD(A33,$M$2),$M$2-MOD(A33,$M$2)+1)),4,1))</f>
        <v/>
      </c>
      <c r="C33" s="178" t="str">
        <f ca="1">Start.listina!$AL41</f>
        <v/>
      </c>
      <c r="D33" s="176" t="str">
        <f ca="1">IF(A33&gt;Start.listina!$K$7,"",INT((A33-1)/$M$2)+1)</f>
        <v/>
      </c>
      <c r="E33" s="490" t="str">
        <f ca="1">IF(A33&gt;Start.listina!$K$7,"",MIN(F33:L33))</f>
        <v/>
      </c>
      <c r="F33" s="176">
        <f ca="1">IF(TYPE(VLOOKUP(C33,Konečné_pořadí_1_16!$B$2:$D$17,3,0))&lt;4,VLOOKUP(C33,Konečné_pořadí_1_16!$B$2:$D$17,3,0),999)</f>
        <v>999</v>
      </c>
      <c r="G33" s="176">
        <f ca="1">IF(TYPE(VLOOKUP(C33,'KO64'!$D$4:$D$129,1,0))&lt;4,64,999)</f>
        <v>999</v>
      </c>
      <c r="H33" s="176">
        <f ca="1">IF(TYPE(VLOOKUP(C33,'KO32'!$D$4:$D$65,1,0))&lt;4,32,999)</f>
        <v>999</v>
      </c>
      <c r="I33" s="176">
        <f ca="1">IF(TYPE(VLOOKUP(C33,'KO16'!$D$4:$D$33,1,0))&lt;4,16,999)</f>
        <v>999</v>
      </c>
      <c r="J33" s="176">
        <f ca="1">IF(TYPE(VLOOKUP(C33,'KO8'!$D$4:$D$17,1,0))&lt;4,8,999)</f>
        <v>999</v>
      </c>
      <c r="K33" s="176">
        <f ca="1">IF(TYPE(VLOOKUP(C33,'KO4'!$D$4:$D$9,1,0))&lt;4,4,999)</f>
        <v>999</v>
      </c>
      <c r="L33" s="176">
        <f ca="1">Start.listina!$K$7</f>
        <v>16</v>
      </c>
      <c r="N33" s="176"/>
      <c r="O33" s="176"/>
      <c r="P33" s="176"/>
      <c r="Q33" s="176"/>
      <c r="R33" s="176"/>
      <c r="S33" s="176"/>
      <c r="T33" s="176"/>
      <c r="U33" s="176"/>
      <c r="V33" s="176"/>
      <c r="W33" s="176"/>
      <c r="X33" s="176"/>
      <c r="Y33" s="176"/>
      <c r="Z33" s="176"/>
      <c r="AA33" s="176"/>
      <c r="AB33" s="176"/>
      <c r="AC33" s="176"/>
      <c r="AD33" s="176"/>
      <c r="AE33" s="176"/>
      <c r="AF33" s="176"/>
      <c r="AG33" s="176"/>
      <c r="AH33" s="176"/>
    </row>
    <row r="34" spans="1:34">
      <c r="A34" t="str">
        <f ca="1">IF(OR(Start.listina!H42&gt;Start.listina!$K$7,Start.listina!G42=1),"",Start.listina!H42)</f>
        <v/>
      </c>
      <c r="B34" s="176" t="str">
        <f ca="1">IF(A34&gt;Start.listina!$K$7,"",ADDRESS(INT((A34-1)/$M$2)+1,IF(MOD(A34,$M$2)=0,IF(MOD(INT((A34-1)/$M$2)+1,2)=1,$M$2,1),IF(MOD(INT((A34-1)/$M$2)+1,2)=1,MOD(A34,$M$2),$M$2-MOD(A34,$M$2)+1)),4,1))</f>
        <v/>
      </c>
      <c r="C34" s="178" t="str">
        <f ca="1">Start.listina!$AL42</f>
        <v/>
      </c>
      <c r="D34" s="176" t="str">
        <f ca="1">IF(A34&gt;Start.listina!$K$7,"",INT((A34-1)/$M$2)+1)</f>
        <v/>
      </c>
      <c r="E34" s="490" t="str">
        <f ca="1">IF(A34&gt;Start.listina!$K$7,"",MIN(F34:L34))</f>
        <v/>
      </c>
      <c r="F34" s="176">
        <f ca="1">IF(TYPE(VLOOKUP(C34,Konečné_pořadí_1_16!$B$2:$D$17,3,0))&lt;4,VLOOKUP(C34,Konečné_pořadí_1_16!$B$2:$D$17,3,0),999)</f>
        <v>999</v>
      </c>
      <c r="G34" s="176">
        <f ca="1">IF(TYPE(VLOOKUP(C34,'KO64'!$D$4:$D$129,1,0))&lt;4,64,999)</f>
        <v>999</v>
      </c>
      <c r="H34" s="176">
        <f ca="1">IF(TYPE(VLOOKUP(C34,'KO32'!$D$4:$D$65,1,0))&lt;4,32,999)</f>
        <v>999</v>
      </c>
      <c r="I34" s="176">
        <f ca="1">IF(TYPE(VLOOKUP(C34,'KO16'!$D$4:$D$33,1,0))&lt;4,16,999)</f>
        <v>999</v>
      </c>
      <c r="J34" s="176">
        <f ca="1">IF(TYPE(VLOOKUP(C34,'KO8'!$D$4:$D$17,1,0))&lt;4,8,999)</f>
        <v>999</v>
      </c>
      <c r="K34" s="176">
        <f ca="1">IF(TYPE(VLOOKUP(C34,'KO4'!$D$4:$D$9,1,0))&lt;4,4,999)</f>
        <v>999</v>
      </c>
      <c r="L34" s="176">
        <f ca="1">Start.listina!$K$7</f>
        <v>16</v>
      </c>
      <c r="N34" s="176"/>
      <c r="O34" s="176"/>
      <c r="P34" s="176"/>
      <c r="Q34" s="176"/>
      <c r="R34" s="176"/>
      <c r="S34" s="176"/>
      <c r="T34" s="176"/>
      <c r="U34" s="176"/>
      <c r="V34" s="176"/>
      <c r="W34" s="176"/>
      <c r="X34" s="176"/>
      <c r="Y34" s="176"/>
      <c r="Z34" s="176"/>
      <c r="AA34" s="176"/>
      <c r="AB34" s="176"/>
      <c r="AC34" s="176"/>
      <c r="AD34" s="176"/>
      <c r="AE34" s="176"/>
      <c r="AF34" s="176"/>
      <c r="AG34" s="176"/>
      <c r="AH34" s="176"/>
    </row>
    <row r="35" spans="1:34">
      <c r="A35" t="str">
        <f ca="1">IF(OR(Start.listina!H43&gt;Start.listina!$K$7,Start.listina!G43=1),"",Start.listina!H43)</f>
        <v/>
      </c>
      <c r="B35" s="176" t="str">
        <f ca="1">IF(A35&gt;Start.listina!$K$7,"",ADDRESS(INT((A35-1)/$M$2)+1,IF(MOD(A35,$M$2)=0,IF(MOD(INT((A35-1)/$M$2)+1,2)=1,$M$2,1),IF(MOD(INT((A35-1)/$M$2)+1,2)=1,MOD(A35,$M$2),$M$2-MOD(A35,$M$2)+1)),4,1))</f>
        <v/>
      </c>
      <c r="C35" s="178" t="str">
        <f ca="1">Start.listina!$AL43</f>
        <v/>
      </c>
      <c r="D35" s="176" t="str">
        <f ca="1">IF(A35&gt;Start.listina!$K$7,"",INT((A35-1)/$M$2)+1)</f>
        <v/>
      </c>
      <c r="E35" s="490" t="str">
        <f ca="1">IF(A35&gt;Start.listina!$K$7,"",MIN(F35:L35))</f>
        <v/>
      </c>
      <c r="F35" s="176">
        <f ca="1">IF(TYPE(VLOOKUP(C35,Konečné_pořadí_1_16!$B$2:$D$17,3,0))&lt;4,VLOOKUP(C35,Konečné_pořadí_1_16!$B$2:$D$17,3,0),999)</f>
        <v>999</v>
      </c>
      <c r="G35" s="176">
        <f ca="1">IF(TYPE(VLOOKUP(C35,'KO64'!$D$4:$D$129,1,0))&lt;4,64,999)</f>
        <v>999</v>
      </c>
      <c r="H35" s="176">
        <f ca="1">IF(TYPE(VLOOKUP(C35,'KO32'!$D$4:$D$65,1,0))&lt;4,32,999)</f>
        <v>999</v>
      </c>
      <c r="I35" s="176">
        <f ca="1">IF(TYPE(VLOOKUP(C35,'KO16'!$D$4:$D$33,1,0))&lt;4,16,999)</f>
        <v>999</v>
      </c>
      <c r="J35" s="176">
        <f ca="1">IF(TYPE(VLOOKUP(C35,'KO8'!$D$4:$D$17,1,0))&lt;4,8,999)</f>
        <v>999</v>
      </c>
      <c r="K35" s="176">
        <f ca="1">IF(TYPE(VLOOKUP(C35,'KO4'!$D$4:$D$9,1,0))&lt;4,4,999)</f>
        <v>999</v>
      </c>
      <c r="L35" s="176">
        <f ca="1">Start.listina!$K$7</f>
        <v>16</v>
      </c>
      <c r="N35" s="176"/>
      <c r="O35" s="176"/>
      <c r="P35" s="176"/>
      <c r="Q35" s="176"/>
      <c r="R35" s="176"/>
      <c r="S35" s="176"/>
      <c r="T35" s="176"/>
      <c r="U35" s="176"/>
      <c r="V35" s="176"/>
      <c r="W35" s="176"/>
      <c r="X35" s="176"/>
      <c r="Y35" s="176"/>
      <c r="Z35" s="176"/>
      <c r="AA35" s="176"/>
      <c r="AB35" s="176"/>
      <c r="AC35" s="176"/>
      <c r="AD35" s="176"/>
      <c r="AE35" s="176"/>
      <c r="AF35" s="176"/>
      <c r="AG35" s="176"/>
      <c r="AH35" s="176"/>
    </row>
    <row r="36" spans="1:34">
      <c r="A36" t="str">
        <f ca="1">IF(OR(Start.listina!H44&gt;Start.listina!$K$7,Start.listina!G44=1),"",Start.listina!H44)</f>
        <v/>
      </c>
      <c r="B36" s="176" t="str">
        <f ca="1">IF(A36&gt;Start.listina!$K$7,"",ADDRESS(INT((A36-1)/$M$2)+1,IF(MOD(A36,$M$2)=0,IF(MOD(INT((A36-1)/$M$2)+1,2)=1,$M$2,1),IF(MOD(INT((A36-1)/$M$2)+1,2)=1,MOD(A36,$M$2),$M$2-MOD(A36,$M$2)+1)),4,1))</f>
        <v/>
      </c>
      <c r="C36" s="178" t="str">
        <f ca="1">Start.listina!$AL44</f>
        <v/>
      </c>
      <c r="D36" s="176" t="str">
        <f ca="1">IF(A36&gt;Start.listina!$K$7,"",INT((A36-1)/$M$2)+1)</f>
        <v/>
      </c>
      <c r="E36" s="490" t="str">
        <f ca="1">IF(A36&gt;Start.listina!$K$7,"",MIN(F36:L36))</f>
        <v/>
      </c>
      <c r="F36" s="176">
        <f ca="1">IF(TYPE(VLOOKUP(C36,Konečné_pořadí_1_16!$B$2:$D$17,3,0))&lt;4,VLOOKUP(C36,Konečné_pořadí_1_16!$B$2:$D$17,3,0),999)</f>
        <v>999</v>
      </c>
      <c r="G36" s="176">
        <f ca="1">IF(TYPE(VLOOKUP(C36,'KO64'!$D$4:$D$129,1,0))&lt;4,64,999)</f>
        <v>999</v>
      </c>
      <c r="H36" s="176">
        <f ca="1">IF(TYPE(VLOOKUP(C36,'KO32'!$D$4:$D$65,1,0))&lt;4,32,999)</f>
        <v>999</v>
      </c>
      <c r="I36" s="176">
        <f ca="1">IF(TYPE(VLOOKUP(C36,'KO16'!$D$4:$D$33,1,0))&lt;4,16,999)</f>
        <v>999</v>
      </c>
      <c r="J36" s="176">
        <f ca="1">IF(TYPE(VLOOKUP(C36,'KO8'!$D$4:$D$17,1,0))&lt;4,8,999)</f>
        <v>999</v>
      </c>
      <c r="K36" s="176">
        <f ca="1">IF(TYPE(VLOOKUP(C36,'KO4'!$D$4:$D$9,1,0))&lt;4,4,999)</f>
        <v>999</v>
      </c>
      <c r="L36" s="176">
        <f ca="1">Start.listina!$K$7</f>
        <v>16</v>
      </c>
      <c r="N36" s="176"/>
      <c r="O36" s="176"/>
      <c r="P36" s="176"/>
      <c r="Q36" s="176"/>
      <c r="R36" s="176"/>
      <c r="S36" s="176"/>
      <c r="T36" s="176"/>
      <c r="U36" s="176"/>
      <c r="V36" s="176"/>
      <c r="W36" s="176"/>
      <c r="X36" s="176"/>
      <c r="Y36" s="176"/>
      <c r="Z36" s="176"/>
      <c r="AA36" s="176"/>
      <c r="AB36" s="176"/>
      <c r="AC36" s="176"/>
      <c r="AD36" s="176"/>
      <c r="AE36" s="176"/>
      <c r="AF36" s="176"/>
      <c r="AG36" s="176"/>
      <c r="AH36" s="176"/>
    </row>
    <row r="37" spans="1:34">
      <c r="A37" t="str">
        <f ca="1">IF(OR(Start.listina!H45&gt;Start.listina!$K$7,Start.listina!G45=1),"",Start.listina!H45)</f>
        <v/>
      </c>
      <c r="B37" s="176" t="str">
        <f ca="1">IF(A37&gt;Start.listina!$K$7,"",ADDRESS(INT((A37-1)/$M$2)+1,IF(MOD(A37,$M$2)=0,IF(MOD(INT((A37-1)/$M$2)+1,2)=1,$M$2,1),IF(MOD(INT((A37-1)/$M$2)+1,2)=1,MOD(A37,$M$2),$M$2-MOD(A37,$M$2)+1)),4,1))</f>
        <v/>
      </c>
      <c r="C37" s="178" t="str">
        <f ca="1">Start.listina!$AL45</f>
        <v/>
      </c>
      <c r="D37" s="176" t="str">
        <f ca="1">IF(A37&gt;Start.listina!$K$7,"",INT((A37-1)/$M$2)+1)</f>
        <v/>
      </c>
      <c r="E37" s="490" t="str">
        <f ca="1">IF(A37&gt;Start.listina!$K$7,"",MIN(F37:L37))</f>
        <v/>
      </c>
      <c r="F37" s="176">
        <f ca="1">IF(TYPE(VLOOKUP(C37,Konečné_pořadí_1_16!$B$2:$D$17,3,0))&lt;4,VLOOKUP(C37,Konečné_pořadí_1_16!$B$2:$D$17,3,0),999)</f>
        <v>999</v>
      </c>
      <c r="G37" s="176">
        <f ca="1">IF(TYPE(VLOOKUP(C37,'KO64'!$D$4:$D$129,1,0))&lt;4,64,999)</f>
        <v>999</v>
      </c>
      <c r="H37" s="176">
        <f ca="1">IF(TYPE(VLOOKUP(C37,'KO32'!$D$4:$D$65,1,0))&lt;4,32,999)</f>
        <v>999</v>
      </c>
      <c r="I37" s="176">
        <f ca="1">IF(TYPE(VLOOKUP(C37,'KO16'!$D$4:$D$33,1,0))&lt;4,16,999)</f>
        <v>999</v>
      </c>
      <c r="J37" s="176">
        <f ca="1">IF(TYPE(VLOOKUP(C37,'KO8'!$D$4:$D$17,1,0))&lt;4,8,999)</f>
        <v>999</v>
      </c>
      <c r="K37" s="176">
        <f ca="1">IF(TYPE(VLOOKUP(C37,'KO4'!$D$4:$D$9,1,0))&lt;4,4,999)</f>
        <v>999</v>
      </c>
      <c r="L37" s="176">
        <f ca="1">Start.listina!$K$7</f>
        <v>16</v>
      </c>
      <c r="N37" s="176"/>
      <c r="O37" s="176"/>
      <c r="P37" s="176"/>
      <c r="Q37" s="176"/>
      <c r="R37" s="176"/>
      <c r="S37" s="176"/>
      <c r="T37" s="176"/>
      <c r="U37" s="176"/>
      <c r="V37" s="176"/>
      <c r="W37" s="176"/>
      <c r="X37" s="176"/>
      <c r="Y37" s="176"/>
      <c r="Z37" s="176"/>
      <c r="AA37" s="176"/>
      <c r="AB37" s="176"/>
      <c r="AC37" s="176"/>
      <c r="AD37" s="176"/>
      <c r="AE37" s="176"/>
      <c r="AF37" s="176"/>
      <c r="AG37" s="176"/>
      <c r="AH37" s="176"/>
    </row>
    <row r="38" spans="1:34">
      <c r="A38" t="str">
        <f ca="1">IF(OR(Start.listina!H46&gt;Start.listina!$K$7,Start.listina!G46=1),"",Start.listina!H46)</f>
        <v/>
      </c>
      <c r="B38" s="176" t="str">
        <f ca="1">IF(A38&gt;Start.listina!$K$7,"",ADDRESS(INT((A38-1)/$M$2)+1,IF(MOD(A38,$M$2)=0,IF(MOD(INT((A38-1)/$M$2)+1,2)=1,$M$2,1),IF(MOD(INT((A38-1)/$M$2)+1,2)=1,MOD(A38,$M$2),$M$2-MOD(A38,$M$2)+1)),4,1))</f>
        <v/>
      </c>
      <c r="C38" s="178" t="str">
        <f ca="1">Start.listina!$AL46</f>
        <v/>
      </c>
      <c r="D38" s="176" t="str">
        <f ca="1">IF(A38&gt;Start.listina!$K$7,"",INT((A38-1)/$M$2)+1)</f>
        <v/>
      </c>
      <c r="E38" s="490" t="str">
        <f ca="1">IF(A38&gt;Start.listina!$K$7,"",MIN(F38:L38))</f>
        <v/>
      </c>
      <c r="F38" s="176">
        <f ca="1">IF(TYPE(VLOOKUP(C38,Konečné_pořadí_1_16!$B$2:$D$17,3,0))&lt;4,VLOOKUP(C38,Konečné_pořadí_1_16!$B$2:$D$17,3,0),999)</f>
        <v>999</v>
      </c>
      <c r="G38" s="176">
        <f ca="1">IF(TYPE(VLOOKUP(C38,'KO64'!$D$4:$D$129,1,0))&lt;4,64,999)</f>
        <v>999</v>
      </c>
      <c r="H38" s="176">
        <f ca="1">IF(TYPE(VLOOKUP(C38,'KO32'!$D$4:$D$65,1,0))&lt;4,32,999)</f>
        <v>999</v>
      </c>
      <c r="I38" s="176">
        <f ca="1">IF(TYPE(VLOOKUP(C38,'KO16'!$D$4:$D$33,1,0))&lt;4,16,999)</f>
        <v>999</v>
      </c>
      <c r="J38" s="176">
        <f ca="1">IF(TYPE(VLOOKUP(C38,'KO8'!$D$4:$D$17,1,0))&lt;4,8,999)</f>
        <v>999</v>
      </c>
      <c r="K38" s="176">
        <f ca="1">IF(TYPE(VLOOKUP(C38,'KO4'!$D$4:$D$9,1,0))&lt;4,4,999)</f>
        <v>999</v>
      </c>
      <c r="L38" s="176">
        <f ca="1">Start.listina!$K$7</f>
        <v>16</v>
      </c>
      <c r="N38" s="176"/>
      <c r="O38" s="176"/>
      <c r="P38" s="176"/>
      <c r="Q38" s="176"/>
      <c r="R38" s="176"/>
      <c r="S38" s="176"/>
      <c r="T38" s="176"/>
      <c r="U38" s="176"/>
      <c r="V38" s="176"/>
      <c r="W38" s="176"/>
      <c r="X38" s="176"/>
      <c r="Y38" s="176"/>
      <c r="Z38" s="176"/>
      <c r="AA38" s="176"/>
      <c r="AB38" s="176"/>
      <c r="AC38" s="176"/>
      <c r="AD38" s="176"/>
      <c r="AE38" s="176"/>
      <c r="AF38" s="176"/>
      <c r="AG38" s="176"/>
      <c r="AH38" s="176"/>
    </row>
    <row r="39" spans="1:34">
      <c r="A39" t="str">
        <f ca="1">IF(OR(Start.listina!H47&gt;Start.listina!$K$7,Start.listina!G47=1),"",Start.listina!H47)</f>
        <v/>
      </c>
      <c r="B39" s="176" t="str">
        <f ca="1">IF(A39&gt;Start.listina!$K$7,"",ADDRESS(INT((A39-1)/$M$2)+1,IF(MOD(A39,$M$2)=0,IF(MOD(INT((A39-1)/$M$2)+1,2)=1,$M$2,1),IF(MOD(INT((A39-1)/$M$2)+1,2)=1,MOD(A39,$M$2),$M$2-MOD(A39,$M$2)+1)),4,1))</f>
        <v/>
      </c>
      <c r="C39" s="178" t="str">
        <f ca="1">Start.listina!$AL47</f>
        <v/>
      </c>
      <c r="D39" s="176" t="str">
        <f ca="1">IF(A39&gt;Start.listina!$K$7,"",INT((A39-1)/$M$2)+1)</f>
        <v/>
      </c>
      <c r="E39" s="490" t="str">
        <f ca="1">IF(A39&gt;Start.listina!$K$7,"",MIN(F39:L39))</f>
        <v/>
      </c>
      <c r="F39" s="176">
        <f ca="1">IF(TYPE(VLOOKUP(C39,Konečné_pořadí_1_16!$B$2:$D$17,3,0))&lt;4,VLOOKUP(C39,Konečné_pořadí_1_16!$B$2:$D$17,3,0),999)</f>
        <v>999</v>
      </c>
      <c r="G39" s="176">
        <f ca="1">IF(TYPE(VLOOKUP(C39,'KO64'!$D$4:$D$129,1,0))&lt;4,64,999)</f>
        <v>999</v>
      </c>
      <c r="H39" s="176">
        <f ca="1">IF(TYPE(VLOOKUP(C39,'KO32'!$D$4:$D$65,1,0))&lt;4,32,999)</f>
        <v>999</v>
      </c>
      <c r="I39" s="176">
        <f ca="1">IF(TYPE(VLOOKUP(C39,'KO16'!$D$4:$D$33,1,0))&lt;4,16,999)</f>
        <v>999</v>
      </c>
      <c r="J39" s="176">
        <f ca="1">IF(TYPE(VLOOKUP(C39,'KO8'!$D$4:$D$17,1,0))&lt;4,8,999)</f>
        <v>999</v>
      </c>
      <c r="K39" s="176">
        <f ca="1">IF(TYPE(VLOOKUP(C39,'KO4'!$D$4:$D$9,1,0))&lt;4,4,999)</f>
        <v>999</v>
      </c>
      <c r="L39" s="176">
        <f ca="1">Start.listina!$K$7</f>
        <v>16</v>
      </c>
      <c r="N39" s="176"/>
      <c r="O39" s="176"/>
      <c r="P39" s="176"/>
      <c r="Q39" s="176"/>
      <c r="R39" s="176"/>
      <c r="S39" s="176"/>
      <c r="T39" s="176"/>
      <c r="U39" s="176"/>
      <c r="V39" s="176"/>
      <c r="W39" s="176"/>
      <c r="X39" s="176"/>
      <c r="Y39" s="176"/>
      <c r="Z39" s="176"/>
      <c r="AA39" s="176"/>
      <c r="AB39" s="176"/>
      <c r="AC39" s="176"/>
      <c r="AD39" s="176"/>
      <c r="AE39" s="176"/>
      <c r="AF39" s="176"/>
      <c r="AG39" s="176"/>
      <c r="AH39" s="176"/>
    </row>
    <row r="40" spans="1:34">
      <c r="A40" t="str">
        <f ca="1">IF(OR(Start.listina!H48&gt;Start.listina!$K$7,Start.listina!G48=1),"",Start.listina!H48)</f>
        <v/>
      </c>
      <c r="B40" s="176" t="str">
        <f ca="1">IF(A40&gt;Start.listina!$K$7,"",ADDRESS(INT((A40-1)/$M$2)+1,IF(MOD(A40,$M$2)=0,IF(MOD(INT((A40-1)/$M$2)+1,2)=1,$M$2,1),IF(MOD(INT((A40-1)/$M$2)+1,2)=1,MOD(A40,$M$2),$M$2-MOD(A40,$M$2)+1)),4,1))</f>
        <v/>
      </c>
      <c r="C40" s="178" t="str">
        <f ca="1">Start.listina!$AL48</f>
        <v/>
      </c>
      <c r="D40" s="176" t="str">
        <f ca="1">IF(A40&gt;Start.listina!$K$7,"",INT((A40-1)/$M$2)+1)</f>
        <v/>
      </c>
      <c r="E40" s="490" t="str">
        <f ca="1">IF(A40&gt;Start.listina!$K$7,"",MIN(F40:L40))</f>
        <v/>
      </c>
      <c r="F40" s="176">
        <f ca="1">IF(TYPE(VLOOKUP(C40,Konečné_pořadí_1_16!$B$2:$D$17,3,0))&lt;4,VLOOKUP(C40,Konečné_pořadí_1_16!$B$2:$D$17,3,0),999)</f>
        <v>999</v>
      </c>
      <c r="G40" s="176">
        <f ca="1">IF(TYPE(VLOOKUP(C40,'KO64'!$D$4:$D$129,1,0))&lt;4,64,999)</f>
        <v>999</v>
      </c>
      <c r="H40" s="176">
        <f ca="1">IF(TYPE(VLOOKUP(C40,'KO32'!$D$4:$D$65,1,0))&lt;4,32,999)</f>
        <v>999</v>
      </c>
      <c r="I40" s="176">
        <f ca="1">IF(TYPE(VLOOKUP(C40,'KO16'!$D$4:$D$33,1,0))&lt;4,16,999)</f>
        <v>999</v>
      </c>
      <c r="J40" s="176">
        <f ca="1">IF(TYPE(VLOOKUP(C40,'KO8'!$D$4:$D$17,1,0))&lt;4,8,999)</f>
        <v>999</v>
      </c>
      <c r="K40" s="176">
        <f ca="1">IF(TYPE(VLOOKUP(C40,'KO4'!$D$4:$D$9,1,0))&lt;4,4,999)</f>
        <v>999</v>
      </c>
      <c r="L40" s="176">
        <f ca="1">Start.listina!$K$7</f>
        <v>16</v>
      </c>
      <c r="N40" s="176"/>
      <c r="O40" s="176"/>
      <c r="P40" s="176"/>
      <c r="Q40" s="176"/>
      <c r="R40" s="176"/>
      <c r="S40" s="176"/>
      <c r="T40" s="176"/>
      <c r="U40" s="176"/>
      <c r="V40" s="176"/>
      <c r="W40" s="176"/>
      <c r="X40" s="176"/>
      <c r="Y40" s="176"/>
      <c r="Z40" s="176"/>
      <c r="AA40" s="176"/>
      <c r="AB40" s="176"/>
      <c r="AC40" s="176"/>
      <c r="AD40" s="176"/>
      <c r="AE40" s="176"/>
      <c r="AF40" s="176"/>
      <c r="AG40" s="176"/>
      <c r="AH40" s="176"/>
    </row>
    <row r="41" spans="1:34">
      <c r="A41" t="str">
        <f ca="1">IF(OR(Start.listina!H49&gt;Start.listina!$K$7,Start.listina!G49=1),"",Start.listina!H49)</f>
        <v/>
      </c>
      <c r="B41" s="176" t="str">
        <f ca="1">IF(A41&gt;Start.listina!$K$7,"",ADDRESS(INT((A41-1)/$M$2)+1,IF(MOD(A41,$M$2)=0,IF(MOD(INT((A41-1)/$M$2)+1,2)=1,$M$2,1),IF(MOD(INT((A41-1)/$M$2)+1,2)=1,MOD(A41,$M$2),$M$2-MOD(A41,$M$2)+1)),4,1))</f>
        <v/>
      </c>
      <c r="C41" s="178" t="str">
        <f ca="1">Start.listina!$AL49</f>
        <v/>
      </c>
      <c r="D41" s="176" t="str">
        <f ca="1">IF(A41&gt;Start.listina!$K$7,"",INT((A41-1)/$M$2)+1)</f>
        <v/>
      </c>
      <c r="E41" s="490" t="str">
        <f ca="1">IF(A41&gt;Start.listina!$K$7,"",MIN(F41:L41))</f>
        <v/>
      </c>
      <c r="F41" s="176">
        <f ca="1">IF(TYPE(VLOOKUP(C41,Konečné_pořadí_1_16!$B$2:$D$17,3,0))&lt;4,VLOOKUP(C41,Konečné_pořadí_1_16!$B$2:$D$17,3,0),999)</f>
        <v>999</v>
      </c>
      <c r="G41" s="176">
        <f ca="1">IF(TYPE(VLOOKUP(C41,'KO64'!$D$4:$D$129,1,0))&lt;4,64,999)</f>
        <v>999</v>
      </c>
      <c r="H41" s="176">
        <f ca="1">IF(TYPE(VLOOKUP(C41,'KO32'!$D$4:$D$65,1,0))&lt;4,32,999)</f>
        <v>999</v>
      </c>
      <c r="I41" s="176">
        <f ca="1">IF(TYPE(VLOOKUP(C41,'KO16'!$D$4:$D$33,1,0))&lt;4,16,999)</f>
        <v>999</v>
      </c>
      <c r="J41" s="176">
        <f ca="1">IF(TYPE(VLOOKUP(C41,'KO8'!$D$4:$D$17,1,0))&lt;4,8,999)</f>
        <v>999</v>
      </c>
      <c r="K41" s="176">
        <f ca="1">IF(TYPE(VLOOKUP(C41,'KO4'!$D$4:$D$9,1,0))&lt;4,4,999)</f>
        <v>999</v>
      </c>
      <c r="L41" s="176">
        <f ca="1">Start.listina!$K$7</f>
        <v>16</v>
      </c>
      <c r="N41" s="176"/>
      <c r="O41" s="176"/>
      <c r="P41" s="176"/>
      <c r="Q41" s="176"/>
      <c r="R41" s="176"/>
      <c r="S41" s="176"/>
      <c r="T41" s="176"/>
      <c r="U41" s="176"/>
      <c r="V41" s="176"/>
      <c r="W41" s="176"/>
      <c r="X41" s="176"/>
      <c r="Y41" s="176"/>
      <c r="Z41" s="176"/>
      <c r="AA41" s="176"/>
      <c r="AB41" s="176"/>
      <c r="AC41" s="176"/>
      <c r="AD41" s="176"/>
      <c r="AE41" s="176"/>
      <c r="AF41" s="176"/>
      <c r="AG41" s="176"/>
      <c r="AH41" s="176"/>
    </row>
    <row r="42" spans="1:34">
      <c r="A42" t="str">
        <f ca="1">IF(OR(Start.listina!H50&gt;Start.listina!$K$7,Start.listina!G50=1),"",Start.listina!H50)</f>
        <v/>
      </c>
      <c r="B42" s="176" t="str">
        <f ca="1">IF(A42&gt;Start.listina!$K$7,"",ADDRESS(INT((A42-1)/$M$2)+1,IF(MOD(A42,$M$2)=0,IF(MOD(INT((A42-1)/$M$2)+1,2)=1,$M$2,1),IF(MOD(INT((A42-1)/$M$2)+1,2)=1,MOD(A42,$M$2),$M$2-MOD(A42,$M$2)+1)),4,1))</f>
        <v/>
      </c>
      <c r="C42" s="178" t="str">
        <f ca="1">Start.listina!$AL50</f>
        <v/>
      </c>
      <c r="D42" s="176" t="str">
        <f ca="1">IF(A42&gt;Start.listina!$K$7,"",INT((A42-1)/$M$2)+1)</f>
        <v/>
      </c>
      <c r="E42" s="490" t="str">
        <f ca="1">IF(A42&gt;Start.listina!$K$7,"",MIN(F42:L42))</f>
        <v/>
      </c>
      <c r="F42" s="176">
        <f ca="1">IF(TYPE(VLOOKUP(C42,Konečné_pořadí_1_16!$B$2:$D$17,3,0))&lt;4,VLOOKUP(C42,Konečné_pořadí_1_16!$B$2:$D$17,3,0),999)</f>
        <v>999</v>
      </c>
      <c r="G42" s="176">
        <f ca="1">IF(TYPE(VLOOKUP(C42,'KO64'!$D$4:$D$129,1,0))&lt;4,64,999)</f>
        <v>999</v>
      </c>
      <c r="H42" s="176">
        <f ca="1">IF(TYPE(VLOOKUP(C42,'KO32'!$D$4:$D$65,1,0))&lt;4,32,999)</f>
        <v>999</v>
      </c>
      <c r="I42" s="176">
        <f ca="1">IF(TYPE(VLOOKUP(C42,'KO16'!$D$4:$D$33,1,0))&lt;4,16,999)</f>
        <v>999</v>
      </c>
      <c r="J42" s="176">
        <f ca="1">IF(TYPE(VLOOKUP(C42,'KO8'!$D$4:$D$17,1,0))&lt;4,8,999)</f>
        <v>999</v>
      </c>
      <c r="K42" s="176">
        <f ca="1">IF(TYPE(VLOOKUP(C42,'KO4'!$D$4:$D$9,1,0))&lt;4,4,999)</f>
        <v>999</v>
      </c>
      <c r="L42" s="176">
        <f ca="1">Start.listina!$K$7</f>
        <v>16</v>
      </c>
      <c r="N42" s="176"/>
      <c r="O42" s="176"/>
      <c r="P42" s="176"/>
      <c r="Q42" s="176"/>
      <c r="R42" s="176"/>
      <c r="S42" s="176"/>
      <c r="T42" s="176"/>
      <c r="U42" s="176"/>
      <c r="V42" s="176"/>
      <c r="W42" s="176"/>
      <c r="X42" s="176"/>
      <c r="Y42" s="176"/>
      <c r="Z42" s="176"/>
      <c r="AA42" s="176"/>
      <c r="AB42" s="176"/>
      <c r="AC42" s="176"/>
      <c r="AD42" s="176"/>
      <c r="AE42" s="176"/>
      <c r="AF42" s="176"/>
      <c r="AG42" s="176"/>
      <c r="AH42" s="176"/>
    </row>
    <row r="43" spans="1:34">
      <c r="A43" t="str">
        <f ca="1">IF(OR(Start.listina!H51&gt;Start.listina!$K$7,Start.listina!G51=1),"",Start.listina!H51)</f>
        <v/>
      </c>
      <c r="B43" s="176" t="str">
        <f ca="1">IF(A43&gt;Start.listina!$K$7,"",ADDRESS(INT((A43-1)/$M$2)+1,IF(MOD(A43,$M$2)=0,IF(MOD(INT((A43-1)/$M$2)+1,2)=1,$M$2,1),IF(MOD(INT((A43-1)/$M$2)+1,2)=1,MOD(A43,$M$2),$M$2-MOD(A43,$M$2)+1)),4,1))</f>
        <v/>
      </c>
      <c r="C43" s="178" t="str">
        <f ca="1">Start.listina!$AL51</f>
        <v/>
      </c>
      <c r="D43" s="176" t="str">
        <f ca="1">IF(A43&gt;Start.listina!$K$7,"",INT((A43-1)/$M$2)+1)</f>
        <v/>
      </c>
      <c r="E43" s="490" t="str">
        <f ca="1">IF(A43&gt;Start.listina!$K$7,"",MIN(F43:L43))</f>
        <v/>
      </c>
      <c r="F43" s="176">
        <f ca="1">IF(TYPE(VLOOKUP(C43,Konečné_pořadí_1_16!$B$2:$D$17,3,0))&lt;4,VLOOKUP(C43,Konečné_pořadí_1_16!$B$2:$D$17,3,0),999)</f>
        <v>999</v>
      </c>
      <c r="G43" s="176">
        <f ca="1">IF(TYPE(VLOOKUP(C43,'KO64'!$D$4:$D$129,1,0))&lt;4,64,999)</f>
        <v>999</v>
      </c>
      <c r="H43" s="176">
        <f ca="1">IF(TYPE(VLOOKUP(C43,'KO32'!$D$4:$D$65,1,0))&lt;4,32,999)</f>
        <v>999</v>
      </c>
      <c r="I43" s="176">
        <f ca="1">IF(TYPE(VLOOKUP(C43,'KO16'!$D$4:$D$33,1,0))&lt;4,16,999)</f>
        <v>999</v>
      </c>
      <c r="J43" s="176">
        <f ca="1">IF(TYPE(VLOOKUP(C43,'KO8'!$D$4:$D$17,1,0))&lt;4,8,999)</f>
        <v>999</v>
      </c>
      <c r="K43" s="176">
        <f ca="1">IF(TYPE(VLOOKUP(C43,'KO4'!$D$4:$D$9,1,0))&lt;4,4,999)</f>
        <v>999</v>
      </c>
      <c r="L43" s="176">
        <f ca="1">Start.listina!$K$7</f>
        <v>16</v>
      </c>
      <c r="N43" s="176"/>
      <c r="O43" s="176"/>
      <c r="P43" s="176"/>
      <c r="Q43" s="176"/>
      <c r="R43" s="176"/>
      <c r="S43" s="176"/>
      <c r="T43" s="176"/>
      <c r="U43" s="176"/>
      <c r="V43" s="176"/>
      <c r="W43" s="176"/>
      <c r="X43" s="176"/>
      <c r="Y43" s="176"/>
      <c r="Z43" s="176"/>
      <c r="AA43" s="176"/>
      <c r="AB43" s="176"/>
      <c r="AC43" s="176"/>
      <c r="AD43" s="176"/>
      <c r="AE43" s="176"/>
      <c r="AF43" s="176"/>
      <c r="AG43" s="176"/>
      <c r="AH43" s="176"/>
    </row>
    <row r="44" spans="1:34">
      <c r="A44" t="str">
        <f ca="1">IF(OR(Start.listina!H52&gt;Start.listina!$K$7,Start.listina!G52=1),"",Start.listina!H52)</f>
        <v/>
      </c>
      <c r="B44" s="176" t="str">
        <f ca="1">IF(A44&gt;Start.listina!$K$7,"",ADDRESS(INT((A44-1)/$M$2)+1,IF(MOD(A44,$M$2)=0,IF(MOD(INT((A44-1)/$M$2)+1,2)=1,$M$2,1),IF(MOD(INT((A44-1)/$M$2)+1,2)=1,MOD(A44,$M$2),$M$2-MOD(A44,$M$2)+1)),4,1))</f>
        <v/>
      </c>
      <c r="C44" s="178" t="str">
        <f ca="1">Start.listina!$AL52</f>
        <v/>
      </c>
      <c r="D44" s="176" t="str">
        <f ca="1">IF(A44&gt;Start.listina!$K$7,"",INT((A44-1)/$M$2)+1)</f>
        <v/>
      </c>
      <c r="E44" s="490" t="str">
        <f ca="1">IF(A44&gt;Start.listina!$K$7,"",MIN(F44:L44))</f>
        <v/>
      </c>
      <c r="F44" s="176">
        <f ca="1">IF(TYPE(VLOOKUP(C44,Konečné_pořadí_1_16!$B$2:$D$17,3,0))&lt;4,VLOOKUP(C44,Konečné_pořadí_1_16!$B$2:$D$17,3,0),999)</f>
        <v>999</v>
      </c>
      <c r="G44" s="176">
        <f ca="1">IF(TYPE(VLOOKUP(C44,'KO64'!$D$4:$D$129,1,0))&lt;4,64,999)</f>
        <v>999</v>
      </c>
      <c r="H44" s="176">
        <f ca="1">IF(TYPE(VLOOKUP(C44,'KO32'!$D$4:$D$65,1,0))&lt;4,32,999)</f>
        <v>999</v>
      </c>
      <c r="I44" s="176">
        <f ca="1">IF(TYPE(VLOOKUP(C44,'KO16'!$D$4:$D$33,1,0))&lt;4,16,999)</f>
        <v>999</v>
      </c>
      <c r="J44" s="176">
        <f ca="1">IF(TYPE(VLOOKUP(C44,'KO8'!$D$4:$D$17,1,0))&lt;4,8,999)</f>
        <v>999</v>
      </c>
      <c r="K44" s="176">
        <f ca="1">IF(TYPE(VLOOKUP(C44,'KO4'!$D$4:$D$9,1,0))&lt;4,4,999)</f>
        <v>999</v>
      </c>
      <c r="L44" s="176">
        <f ca="1">Start.listina!$K$7</f>
        <v>16</v>
      </c>
      <c r="N44" s="176"/>
      <c r="O44" s="176"/>
      <c r="P44" s="176"/>
      <c r="Q44" s="176"/>
      <c r="R44" s="176"/>
      <c r="S44" s="176"/>
      <c r="T44" s="176"/>
      <c r="U44" s="176"/>
      <c r="V44" s="176"/>
      <c r="W44" s="176"/>
      <c r="X44" s="176"/>
      <c r="Y44" s="176"/>
      <c r="Z44" s="176"/>
      <c r="AA44" s="176"/>
      <c r="AB44" s="176"/>
      <c r="AC44" s="176"/>
      <c r="AD44" s="176"/>
      <c r="AE44" s="176"/>
      <c r="AF44" s="176"/>
      <c r="AG44" s="176"/>
      <c r="AH44" s="176"/>
    </row>
    <row r="45" spans="1:34">
      <c r="A45" t="str">
        <f ca="1">IF(OR(Start.listina!H53&gt;Start.listina!$K$7,Start.listina!G53=1),"",Start.listina!H53)</f>
        <v/>
      </c>
      <c r="B45" s="176" t="str">
        <f ca="1">IF(A45&gt;Start.listina!$K$7,"",ADDRESS(INT((A45-1)/$M$2)+1,IF(MOD(A45,$M$2)=0,IF(MOD(INT((A45-1)/$M$2)+1,2)=1,$M$2,1),IF(MOD(INT((A45-1)/$M$2)+1,2)=1,MOD(A45,$M$2),$M$2-MOD(A45,$M$2)+1)),4,1))</f>
        <v/>
      </c>
      <c r="C45" s="178" t="str">
        <f ca="1">Start.listina!$AL53</f>
        <v/>
      </c>
      <c r="D45" s="176" t="str">
        <f ca="1">IF(A45&gt;Start.listina!$K$7,"",INT((A45-1)/$M$2)+1)</f>
        <v/>
      </c>
      <c r="E45" s="490" t="str">
        <f ca="1">IF(A45&gt;Start.listina!$K$7,"",MIN(F45:L45))</f>
        <v/>
      </c>
      <c r="F45" s="176">
        <f ca="1">IF(TYPE(VLOOKUP(C45,Konečné_pořadí_1_16!$B$2:$D$17,3,0))&lt;4,VLOOKUP(C45,Konečné_pořadí_1_16!$B$2:$D$17,3,0),999)</f>
        <v>999</v>
      </c>
      <c r="G45" s="176">
        <f ca="1">IF(TYPE(VLOOKUP(C45,'KO64'!$D$4:$D$129,1,0))&lt;4,64,999)</f>
        <v>999</v>
      </c>
      <c r="H45" s="176">
        <f ca="1">IF(TYPE(VLOOKUP(C45,'KO32'!$D$4:$D$65,1,0))&lt;4,32,999)</f>
        <v>999</v>
      </c>
      <c r="I45" s="176">
        <f ca="1">IF(TYPE(VLOOKUP(C45,'KO16'!$D$4:$D$33,1,0))&lt;4,16,999)</f>
        <v>999</v>
      </c>
      <c r="J45" s="176">
        <f ca="1">IF(TYPE(VLOOKUP(C45,'KO8'!$D$4:$D$17,1,0))&lt;4,8,999)</f>
        <v>999</v>
      </c>
      <c r="K45" s="176">
        <f ca="1">IF(TYPE(VLOOKUP(C45,'KO4'!$D$4:$D$9,1,0))&lt;4,4,999)</f>
        <v>999</v>
      </c>
      <c r="L45" s="176">
        <f ca="1">Start.listina!$K$7</f>
        <v>16</v>
      </c>
      <c r="N45" s="176"/>
      <c r="O45" s="176"/>
      <c r="P45" s="176"/>
      <c r="Q45" s="176"/>
      <c r="R45" s="176"/>
      <c r="S45" s="176"/>
      <c r="T45" s="176"/>
      <c r="U45" s="176"/>
      <c r="V45" s="176"/>
      <c r="W45" s="176"/>
      <c r="X45" s="176"/>
      <c r="Y45" s="176"/>
      <c r="Z45" s="176"/>
      <c r="AA45" s="176"/>
      <c r="AB45" s="176"/>
      <c r="AC45" s="176"/>
      <c r="AD45" s="176"/>
      <c r="AE45" s="176"/>
      <c r="AF45" s="176"/>
      <c r="AG45" s="176"/>
      <c r="AH45" s="176"/>
    </row>
    <row r="46" spans="1:34">
      <c r="A46" t="str">
        <f ca="1">IF(OR(Start.listina!H54&gt;Start.listina!$K$7,Start.listina!G54=1),"",Start.listina!H54)</f>
        <v/>
      </c>
      <c r="B46" s="176" t="str">
        <f ca="1">IF(A46&gt;Start.listina!$K$7,"",ADDRESS(INT((A46-1)/$M$2)+1,IF(MOD(A46,$M$2)=0,IF(MOD(INT((A46-1)/$M$2)+1,2)=1,$M$2,1),IF(MOD(INT((A46-1)/$M$2)+1,2)=1,MOD(A46,$M$2),$M$2-MOD(A46,$M$2)+1)),4,1))</f>
        <v/>
      </c>
      <c r="C46" s="178" t="str">
        <f ca="1">Start.listina!$AL54</f>
        <v/>
      </c>
      <c r="D46" s="176" t="str">
        <f ca="1">IF(A46&gt;Start.listina!$K$7,"",INT((A46-1)/$M$2)+1)</f>
        <v/>
      </c>
      <c r="E46" s="490" t="str">
        <f ca="1">IF(A46&gt;Start.listina!$K$7,"",MIN(F46:L46))</f>
        <v/>
      </c>
      <c r="F46" s="176">
        <f ca="1">IF(TYPE(VLOOKUP(C46,Konečné_pořadí_1_16!$B$2:$D$17,3,0))&lt;4,VLOOKUP(C46,Konečné_pořadí_1_16!$B$2:$D$17,3,0),999)</f>
        <v>999</v>
      </c>
      <c r="G46" s="176">
        <f ca="1">IF(TYPE(VLOOKUP(C46,'KO64'!$D$4:$D$129,1,0))&lt;4,64,999)</f>
        <v>999</v>
      </c>
      <c r="H46" s="176">
        <f ca="1">IF(TYPE(VLOOKUP(C46,'KO32'!$D$4:$D$65,1,0))&lt;4,32,999)</f>
        <v>999</v>
      </c>
      <c r="I46" s="176">
        <f ca="1">IF(TYPE(VLOOKUP(C46,'KO16'!$D$4:$D$33,1,0))&lt;4,16,999)</f>
        <v>999</v>
      </c>
      <c r="J46" s="176">
        <f ca="1">IF(TYPE(VLOOKUP(C46,'KO8'!$D$4:$D$17,1,0))&lt;4,8,999)</f>
        <v>999</v>
      </c>
      <c r="K46" s="176">
        <f ca="1">IF(TYPE(VLOOKUP(C46,'KO4'!$D$4:$D$9,1,0))&lt;4,4,999)</f>
        <v>999</v>
      </c>
      <c r="L46" s="176">
        <f ca="1">Start.listina!$K$7</f>
        <v>16</v>
      </c>
      <c r="N46" s="176"/>
      <c r="O46" s="176"/>
      <c r="P46" s="176"/>
      <c r="Q46" s="176"/>
      <c r="R46" s="176"/>
      <c r="S46" s="176"/>
      <c r="T46" s="176"/>
      <c r="U46" s="176"/>
      <c r="V46" s="176"/>
      <c r="W46" s="176"/>
      <c r="X46" s="176"/>
      <c r="Y46" s="176"/>
      <c r="Z46" s="176"/>
      <c r="AA46" s="176"/>
      <c r="AB46" s="176"/>
      <c r="AC46" s="176"/>
      <c r="AD46" s="176"/>
      <c r="AE46" s="176"/>
      <c r="AF46" s="176"/>
      <c r="AG46" s="176"/>
      <c r="AH46" s="176"/>
    </row>
    <row r="47" spans="1:34">
      <c r="A47" t="str">
        <f ca="1">IF(OR(Start.listina!H55&gt;Start.listina!$K$7,Start.listina!G55=1),"",Start.listina!H55)</f>
        <v/>
      </c>
      <c r="B47" s="176" t="str">
        <f ca="1">IF(A47&gt;Start.listina!$K$7,"",ADDRESS(INT((A47-1)/$M$2)+1,IF(MOD(A47,$M$2)=0,IF(MOD(INT((A47-1)/$M$2)+1,2)=1,$M$2,1),IF(MOD(INT((A47-1)/$M$2)+1,2)=1,MOD(A47,$M$2),$M$2-MOD(A47,$M$2)+1)),4,1))</f>
        <v/>
      </c>
      <c r="C47" s="178" t="str">
        <f ca="1">Start.listina!$AL55</f>
        <v/>
      </c>
      <c r="D47" s="176" t="str">
        <f ca="1">IF(A47&gt;Start.listina!$K$7,"",INT((A47-1)/$M$2)+1)</f>
        <v/>
      </c>
      <c r="E47" s="490" t="str">
        <f ca="1">IF(A47&gt;Start.listina!$K$7,"",MIN(F47:L47))</f>
        <v/>
      </c>
      <c r="F47" s="176">
        <f ca="1">IF(TYPE(VLOOKUP(C47,Konečné_pořadí_1_16!$B$2:$D$17,3,0))&lt;4,VLOOKUP(C47,Konečné_pořadí_1_16!$B$2:$D$17,3,0),999)</f>
        <v>999</v>
      </c>
      <c r="G47" s="176">
        <f ca="1">IF(TYPE(VLOOKUP(C47,'KO64'!$D$4:$D$129,1,0))&lt;4,64,999)</f>
        <v>999</v>
      </c>
      <c r="H47" s="176">
        <f ca="1">IF(TYPE(VLOOKUP(C47,'KO32'!$D$4:$D$65,1,0))&lt;4,32,999)</f>
        <v>999</v>
      </c>
      <c r="I47" s="176">
        <f ca="1">IF(TYPE(VLOOKUP(C47,'KO16'!$D$4:$D$33,1,0))&lt;4,16,999)</f>
        <v>999</v>
      </c>
      <c r="J47" s="176">
        <f ca="1">IF(TYPE(VLOOKUP(C47,'KO8'!$D$4:$D$17,1,0))&lt;4,8,999)</f>
        <v>999</v>
      </c>
      <c r="K47" s="176">
        <f ca="1">IF(TYPE(VLOOKUP(C47,'KO4'!$D$4:$D$9,1,0))&lt;4,4,999)</f>
        <v>999</v>
      </c>
      <c r="L47" s="176">
        <f ca="1">Start.listina!$K$7</f>
        <v>16</v>
      </c>
      <c r="N47" s="176"/>
      <c r="O47" s="176"/>
      <c r="P47" s="176"/>
      <c r="Q47" s="176"/>
      <c r="R47" s="176"/>
      <c r="S47" s="176"/>
      <c r="T47" s="176"/>
      <c r="U47" s="176"/>
      <c r="V47" s="176"/>
      <c r="W47" s="176"/>
      <c r="X47" s="176"/>
      <c r="Y47" s="176"/>
      <c r="Z47" s="176"/>
      <c r="AA47" s="176"/>
      <c r="AB47" s="176"/>
      <c r="AC47" s="176"/>
      <c r="AD47" s="176"/>
      <c r="AE47" s="176"/>
      <c r="AF47" s="176"/>
      <c r="AG47" s="176"/>
      <c r="AH47" s="176"/>
    </row>
    <row r="48" spans="1:34">
      <c r="A48" t="str">
        <f ca="1">IF(OR(Start.listina!H56&gt;Start.listina!$K$7,Start.listina!G56=1),"",Start.listina!H56)</f>
        <v/>
      </c>
      <c r="B48" s="176" t="str">
        <f ca="1">IF(A48&gt;Start.listina!$K$7,"",ADDRESS(INT((A48-1)/$M$2)+1,IF(MOD(A48,$M$2)=0,IF(MOD(INT((A48-1)/$M$2)+1,2)=1,$M$2,1),IF(MOD(INT((A48-1)/$M$2)+1,2)=1,MOD(A48,$M$2),$M$2-MOD(A48,$M$2)+1)),4,1))</f>
        <v/>
      </c>
      <c r="C48" s="178" t="str">
        <f ca="1">Start.listina!$AL56</f>
        <v/>
      </c>
      <c r="D48" s="176" t="str">
        <f ca="1">IF(A48&gt;Start.listina!$K$7,"",INT((A48-1)/$M$2)+1)</f>
        <v/>
      </c>
      <c r="E48" s="490" t="str">
        <f ca="1">IF(A48&gt;Start.listina!$K$7,"",MIN(F48:L48))</f>
        <v/>
      </c>
      <c r="F48" s="176">
        <f ca="1">IF(TYPE(VLOOKUP(C48,Konečné_pořadí_1_16!$B$2:$D$17,3,0))&lt;4,VLOOKUP(C48,Konečné_pořadí_1_16!$B$2:$D$17,3,0),999)</f>
        <v>999</v>
      </c>
      <c r="G48" s="176">
        <f ca="1">IF(TYPE(VLOOKUP(C48,'KO64'!$D$4:$D$129,1,0))&lt;4,64,999)</f>
        <v>999</v>
      </c>
      <c r="H48" s="176">
        <f ca="1">IF(TYPE(VLOOKUP(C48,'KO32'!$D$4:$D$65,1,0))&lt;4,32,999)</f>
        <v>999</v>
      </c>
      <c r="I48" s="176">
        <f ca="1">IF(TYPE(VLOOKUP(C48,'KO16'!$D$4:$D$33,1,0))&lt;4,16,999)</f>
        <v>999</v>
      </c>
      <c r="J48" s="176">
        <f ca="1">IF(TYPE(VLOOKUP(C48,'KO8'!$D$4:$D$17,1,0))&lt;4,8,999)</f>
        <v>999</v>
      </c>
      <c r="K48" s="176">
        <f ca="1">IF(TYPE(VLOOKUP(C48,'KO4'!$D$4:$D$9,1,0))&lt;4,4,999)</f>
        <v>999</v>
      </c>
      <c r="L48" s="176">
        <f ca="1">Start.listina!$K$7</f>
        <v>16</v>
      </c>
      <c r="N48" s="176"/>
      <c r="O48" s="176"/>
      <c r="P48" s="176"/>
      <c r="Q48" s="176"/>
      <c r="R48" s="176"/>
      <c r="S48" s="176"/>
      <c r="T48" s="176"/>
      <c r="U48" s="176"/>
      <c r="V48" s="176"/>
      <c r="W48" s="176"/>
      <c r="X48" s="176"/>
      <c r="Y48" s="176"/>
      <c r="Z48" s="176"/>
      <c r="AA48" s="176"/>
      <c r="AB48" s="176"/>
      <c r="AC48" s="176"/>
      <c r="AD48" s="176"/>
      <c r="AE48" s="176"/>
      <c r="AF48" s="176"/>
      <c r="AG48" s="176"/>
      <c r="AH48" s="176"/>
    </row>
    <row r="49" spans="1:34">
      <c r="A49" t="str">
        <f ca="1">IF(OR(Start.listina!H57&gt;Start.listina!$K$7,Start.listina!G57=1),"",Start.listina!H57)</f>
        <v/>
      </c>
      <c r="B49" s="176" t="str">
        <f ca="1">IF(A49&gt;Start.listina!$K$7,"",ADDRESS(INT((A49-1)/$M$2)+1,IF(MOD(A49,$M$2)=0,IF(MOD(INT((A49-1)/$M$2)+1,2)=1,$M$2,1),IF(MOD(INT((A49-1)/$M$2)+1,2)=1,MOD(A49,$M$2),$M$2-MOD(A49,$M$2)+1)),4,1))</f>
        <v/>
      </c>
      <c r="C49" s="178" t="str">
        <f ca="1">Start.listina!$AL57</f>
        <v/>
      </c>
      <c r="D49" s="176" t="str">
        <f ca="1">IF(A49&gt;Start.listina!$K$7,"",INT((A49-1)/$M$2)+1)</f>
        <v/>
      </c>
      <c r="E49" s="490" t="str">
        <f ca="1">IF(A49&gt;Start.listina!$K$7,"",MIN(F49:L49))</f>
        <v/>
      </c>
      <c r="F49" s="176">
        <f ca="1">IF(TYPE(VLOOKUP(C49,Konečné_pořadí_1_16!$B$2:$D$17,3,0))&lt;4,VLOOKUP(C49,Konečné_pořadí_1_16!$B$2:$D$17,3,0),999)</f>
        <v>999</v>
      </c>
      <c r="G49" s="176">
        <f ca="1">IF(TYPE(VLOOKUP(C49,'KO64'!$D$4:$D$129,1,0))&lt;4,64,999)</f>
        <v>999</v>
      </c>
      <c r="H49" s="176">
        <f ca="1">IF(TYPE(VLOOKUP(C49,'KO32'!$D$4:$D$65,1,0))&lt;4,32,999)</f>
        <v>999</v>
      </c>
      <c r="I49" s="176">
        <f ca="1">IF(TYPE(VLOOKUP(C49,'KO16'!$D$4:$D$33,1,0))&lt;4,16,999)</f>
        <v>999</v>
      </c>
      <c r="J49" s="176">
        <f ca="1">IF(TYPE(VLOOKUP(C49,'KO8'!$D$4:$D$17,1,0))&lt;4,8,999)</f>
        <v>999</v>
      </c>
      <c r="K49" s="176">
        <f ca="1">IF(TYPE(VLOOKUP(C49,'KO4'!$D$4:$D$9,1,0))&lt;4,4,999)</f>
        <v>999</v>
      </c>
      <c r="L49" s="176">
        <f ca="1">Start.listina!$K$7</f>
        <v>16</v>
      </c>
      <c r="N49" s="176"/>
      <c r="O49" s="176"/>
      <c r="P49" s="176"/>
      <c r="Q49" s="176"/>
      <c r="R49" s="176"/>
      <c r="S49" s="176"/>
      <c r="T49" s="176"/>
      <c r="U49" s="176"/>
      <c r="V49" s="176"/>
      <c r="W49" s="176"/>
      <c r="X49" s="176"/>
      <c r="Y49" s="176"/>
      <c r="Z49" s="176"/>
      <c r="AA49" s="176"/>
      <c r="AB49" s="176"/>
      <c r="AC49" s="176"/>
      <c r="AD49" s="176"/>
      <c r="AE49" s="176"/>
      <c r="AF49" s="176"/>
      <c r="AG49" s="176"/>
      <c r="AH49" s="176"/>
    </row>
    <row r="50" spans="1:34">
      <c r="A50" t="str">
        <f ca="1">IF(OR(Start.listina!H58&gt;Start.listina!$K$7,Start.listina!G58=1),"",Start.listina!H58)</f>
        <v/>
      </c>
      <c r="B50" s="176" t="str">
        <f ca="1">IF(A50&gt;Start.listina!$K$7,"",ADDRESS(INT((A50-1)/$M$2)+1,IF(MOD(A50,$M$2)=0,IF(MOD(INT((A50-1)/$M$2)+1,2)=1,$M$2,1),IF(MOD(INT((A50-1)/$M$2)+1,2)=1,MOD(A50,$M$2),$M$2-MOD(A50,$M$2)+1)),4,1))</f>
        <v/>
      </c>
      <c r="C50" s="178" t="str">
        <f ca="1">Start.listina!$AL58</f>
        <v/>
      </c>
      <c r="D50" s="176" t="str">
        <f ca="1">IF(A50&gt;Start.listina!$K$7,"",INT((A50-1)/$M$2)+1)</f>
        <v/>
      </c>
      <c r="E50" s="490" t="str">
        <f ca="1">IF(A50&gt;Start.listina!$K$7,"",MIN(F50:L50))</f>
        <v/>
      </c>
      <c r="F50" s="176">
        <f ca="1">IF(TYPE(VLOOKUP(C50,Konečné_pořadí_1_16!$B$2:$D$17,3,0))&lt;4,VLOOKUP(C50,Konečné_pořadí_1_16!$B$2:$D$17,3,0),999)</f>
        <v>999</v>
      </c>
      <c r="G50" s="176">
        <f ca="1">IF(TYPE(VLOOKUP(C50,'KO64'!$D$4:$D$129,1,0))&lt;4,64,999)</f>
        <v>999</v>
      </c>
      <c r="H50" s="176">
        <f ca="1">IF(TYPE(VLOOKUP(C50,'KO32'!$D$4:$D$65,1,0))&lt;4,32,999)</f>
        <v>999</v>
      </c>
      <c r="I50" s="176">
        <f ca="1">IF(TYPE(VLOOKUP(C50,'KO16'!$D$4:$D$33,1,0))&lt;4,16,999)</f>
        <v>999</v>
      </c>
      <c r="J50" s="176">
        <f ca="1">IF(TYPE(VLOOKUP(C50,'KO8'!$D$4:$D$17,1,0))&lt;4,8,999)</f>
        <v>999</v>
      </c>
      <c r="K50" s="176">
        <f ca="1">IF(TYPE(VLOOKUP(C50,'KO4'!$D$4:$D$9,1,0))&lt;4,4,999)</f>
        <v>999</v>
      </c>
      <c r="L50" s="176">
        <f ca="1">Start.listina!$K$7</f>
        <v>16</v>
      </c>
      <c r="N50" s="176"/>
      <c r="O50" s="176"/>
      <c r="P50" s="176"/>
      <c r="Q50" s="176"/>
      <c r="R50" s="176"/>
      <c r="S50" s="176"/>
      <c r="T50" s="176"/>
      <c r="U50" s="176"/>
      <c r="V50" s="176"/>
      <c r="W50" s="176"/>
      <c r="X50" s="176"/>
      <c r="Y50" s="176"/>
      <c r="Z50" s="176"/>
      <c r="AA50" s="176"/>
      <c r="AB50" s="176"/>
      <c r="AC50" s="176"/>
      <c r="AD50" s="176"/>
      <c r="AE50" s="176"/>
      <c r="AF50" s="176"/>
      <c r="AG50" s="176"/>
      <c r="AH50" s="176"/>
    </row>
    <row r="51" spans="1:34">
      <c r="A51" t="str">
        <f ca="1">IF(OR(Start.listina!H59&gt;Start.listina!$K$7,Start.listina!G59=1),"",Start.listina!H59)</f>
        <v/>
      </c>
      <c r="B51" s="176" t="str">
        <f ca="1">IF(A51&gt;Start.listina!$K$7,"",ADDRESS(INT((A51-1)/$M$2)+1,IF(MOD(A51,$M$2)=0,IF(MOD(INT((A51-1)/$M$2)+1,2)=1,$M$2,1),IF(MOD(INT((A51-1)/$M$2)+1,2)=1,MOD(A51,$M$2),$M$2-MOD(A51,$M$2)+1)),4,1))</f>
        <v/>
      </c>
      <c r="C51" s="178" t="str">
        <f ca="1">Start.listina!$AL59</f>
        <v/>
      </c>
      <c r="D51" s="176" t="str">
        <f ca="1">IF(A51&gt;Start.listina!$K$7,"",INT((A51-1)/$M$2)+1)</f>
        <v/>
      </c>
      <c r="E51" s="490" t="str">
        <f ca="1">IF(A51&gt;Start.listina!$K$7,"",MIN(F51:L51))</f>
        <v/>
      </c>
      <c r="F51" s="176">
        <f ca="1">IF(TYPE(VLOOKUP(C51,Konečné_pořadí_1_16!$B$2:$D$17,3,0))&lt;4,VLOOKUP(C51,Konečné_pořadí_1_16!$B$2:$D$17,3,0),999)</f>
        <v>999</v>
      </c>
      <c r="G51" s="176">
        <f ca="1">IF(TYPE(VLOOKUP(C51,'KO64'!$D$4:$D$129,1,0))&lt;4,64,999)</f>
        <v>999</v>
      </c>
      <c r="H51" s="176">
        <f ca="1">IF(TYPE(VLOOKUP(C51,'KO32'!$D$4:$D$65,1,0))&lt;4,32,999)</f>
        <v>999</v>
      </c>
      <c r="I51" s="176">
        <f ca="1">IF(TYPE(VLOOKUP(C51,'KO16'!$D$4:$D$33,1,0))&lt;4,16,999)</f>
        <v>999</v>
      </c>
      <c r="J51" s="176">
        <f ca="1">IF(TYPE(VLOOKUP(C51,'KO8'!$D$4:$D$17,1,0))&lt;4,8,999)</f>
        <v>999</v>
      </c>
      <c r="K51" s="176">
        <f ca="1">IF(TYPE(VLOOKUP(C51,'KO4'!$D$4:$D$9,1,0))&lt;4,4,999)</f>
        <v>999</v>
      </c>
      <c r="L51" s="176">
        <f ca="1">Start.listina!$K$7</f>
        <v>16</v>
      </c>
      <c r="N51" s="176"/>
      <c r="O51" s="176"/>
      <c r="P51" s="176"/>
      <c r="Q51" s="176"/>
      <c r="R51" s="176"/>
      <c r="S51" s="176"/>
      <c r="T51" s="176"/>
      <c r="U51" s="176"/>
      <c r="V51" s="176"/>
      <c r="W51" s="176"/>
      <c r="X51" s="176"/>
      <c r="Y51" s="176"/>
      <c r="Z51" s="176"/>
      <c r="AA51" s="176"/>
      <c r="AB51" s="176"/>
      <c r="AC51" s="176"/>
      <c r="AD51" s="176"/>
      <c r="AE51" s="176"/>
      <c r="AF51" s="176"/>
      <c r="AG51" s="176"/>
      <c r="AH51" s="176"/>
    </row>
    <row r="52" spans="1:34">
      <c r="A52" t="str">
        <f ca="1">IF(OR(Start.listina!H60&gt;Start.listina!$K$7,Start.listina!G60=1),"",Start.listina!H60)</f>
        <v/>
      </c>
      <c r="B52" s="176" t="str">
        <f ca="1">IF(A52&gt;Start.listina!$K$7,"",ADDRESS(INT((A52-1)/$M$2)+1,IF(MOD(A52,$M$2)=0,IF(MOD(INT((A52-1)/$M$2)+1,2)=1,$M$2,1),IF(MOD(INT((A52-1)/$M$2)+1,2)=1,MOD(A52,$M$2),$M$2-MOD(A52,$M$2)+1)),4,1))</f>
        <v/>
      </c>
      <c r="C52" s="178" t="str">
        <f ca="1">Start.listina!$AL60</f>
        <v/>
      </c>
      <c r="D52" s="176" t="str">
        <f ca="1">IF(A52&gt;Start.listina!$K$7,"",INT((A52-1)/$M$2)+1)</f>
        <v/>
      </c>
      <c r="E52" s="490" t="str">
        <f ca="1">IF(A52&gt;Start.listina!$K$7,"",MIN(F52:L52))</f>
        <v/>
      </c>
      <c r="F52" s="176">
        <f ca="1">IF(TYPE(VLOOKUP(C52,Konečné_pořadí_1_16!$B$2:$D$17,3,0))&lt;4,VLOOKUP(C52,Konečné_pořadí_1_16!$B$2:$D$17,3,0),999)</f>
        <v>999</v>
      </c>
      <c r="G52" s="176">
        <f ca="1">IF(TYPE(VLOOKUP(C52,'KO64'!$D$4:$D$129,1,0))&lt;4,64,999)</f>
        <v>999</v>
      </c>
      <c r="H52" s="176">
        <f ca="1">IF(TYPE(VLOOKUP(C52,'KO32'!$D$4:$D$65,1,0))&lt;4,32,999)</f>
        <v>999</v>
      </c>
      <c r="I52" s="176">
        <f ca="1">IF(TYPE(VLOOKUP(C52,'KO16'!$D$4:$D$33,1,0))&lt;4,16,999)</f>
        <v>999</v>
      </c>
      <c r="J52" s="176">
        <f ca="1">IF(TYPE(VLOOKUP(C52,'KO8'!$D$4:$D$17,1,0))&lt;4,8,999)</f>
        <v>999</v>
      </c>
      <c r="K52" s="176">
        <f ca="1">IF(TYPE(VLOOKUP(C52,'KO4'!$D$4:$D$9,1,0))&lt;4,4,999)</f>
        <v>999</v>
      </c>
      <c r="L52" s="176">
        <f ca="1">Start.listina!$K$7</f>
        <v>16</v>
      </c>
      <c r="N52" s="176"/>
      <c r="O52" s="176"/>
      <c r="P52" s="176"/>
      <c r="Q52" s="176"/>
      <c r="R52" s="176"/>
      <c r="S52" s="176"/>
      <c r="T52" s="176"/>
      <c r="U52" s="176"/>
      <c r="V52" s="176"/>
      <c r="W52" s="176"/>
      <c r="X52" s="176"/>
      <c r="Y52" s="176"/>
      <c r="Z52" s="176"/>
      <c r="AA52" s="176"/>
      <c r="AB52" s="176"/>
      <c r="AC52" s="176"/>
      <c r="AD52" s="176"/>
      <c r="AE52" s="176"/>
      <c r="AF52" s="176"/>
      <c r="AG52" s="176"/>
      <c r="AH52" s="176"/>
    </row>
    <row r="53" spans="1:34">
      <c r="A53" t="str">
        <f ca="1">IF(OR(Start.listina!H61&gt;Start.listina!$K$7,Start.listina!G61=1),"",Start.listina!H61)</f>
        <v/>
      </c>
      <c r="B53" s="176" t="str">
        <f ca="1">IF(A53&gt;Start.listina!$K$7,"",ADDRESS(INT((A53-1)/$M$2)+1,IF(MOD(A53,$M$2)=0,IF(MOD(INT((A53-1)/$M$2)+1,2)=1,$M$2,1),IF(MOD(INT((A53-1)/$M$2)+1,2)=1,MOD(A53,$M$2),$M$2-MOD(A53,$M$2)+1)),4,1))</f>
        <v/>
      </c>
      <c r="C53" s="178" t="str">
        <f ca="1">Start.listina!$AL61</f>
        <v/>
      </c>
      <c r="D53" s="176" t="str">
        <f ca="1">IF(A53&gt;Start.listina!$K$7,"",INT((A53-1)/$M$2)+1)</f>
        <v/>
      </c>
      <c r="E53" s="490" t="str">
        <f ca="1">IF(A53&gt;Start.listina!$K$7,"",MIN(F53:L53))</f>
        <v/>
      </c>
      <c r="F53" s="176">
        <f ca="1">IF(TYPE(VLOOKUP(C53,Konečné_pořadí_1_16!$B$2:$D$17,3,0))&lt;4,VLOOKUP(C53,Konečné_pořadí_1_16!$B$2:$D$17,3,0),999)</f>
        <v>999</v>
      </c>
      <c r="G53" s="176">
        <f ca="1">IF(TYPE(VLOOKUP(C53,'KO64'!$D$4:$D$129,1,0))&lt;4,64,999)</f>
        <v>999</v>
      </c>
      <c r="H53" s="176">
        <f ca="1">IF(TYPE(VLOOKUP(C53,'KO32'!$D$4:$D$65,1,0))&lt;4,32,999)</f>
        <v>999</v>
      </c>
      <c r="I53" s="176">
        <f ca="1">IF(TYPE(VLOOKUP(C53,'KO16'!$D$4:$D$33,1,0))&lt;4,16,999)</f>
        <v>999</v>
      </c>
      <c r="J53" s="176">
        <f ca="1">IF(TYPE(VLOOKUP(C53,'KO8'!$D$4:$D$17,1,0))&lt;4,8,999)</f>
        <v>999</v>
      </c>
      <c r="K53" s="176">
        <f ca="1">IF(TYPE(VLOOKUP(C53,'KO4'!$D$4:$D$9,1,0))&lt;4,4,999)</f>
        <v>999</v>
      </c>
      <c r="L53" s="176">
        <f ca="1">Start.listina!$K$7</f>
        <v>16</v>
      </c>
      <c r="N53" s="176"/>
      <c r="O53" s="176"/>
      <c r="P53" s="176"/>
      <c r="Q53" s="176"/>
      <c r="R53" s="176"/>
      <c r="S53" s="176"/>
      <c r="T53" s="176"/>
      <c r="U53" s="176"/>
      <c r="V53" s="176"/>
      <c r="W53" s="176"/>
      <c r="X53" s="176"/>
      <c r="Y53" s="176"/>
      <c r="Z53" s="176"/>
      <c r="AA53" s="176"/>
      <c r="AB53" s="176"/>
      <c r="AC53" s="176"/>
      <c r="AD53" s="176"/>
      <c r="AE53" s="176"/>
      <c r="AF53" s="176"/>
      <c r="AG53" s="176"/>
      <c r="AH53" s="176"/>
    </row>
    <row r="54" spans="1:34">
      <c r="A54" t="str">
        <f ca="1">IF(OR(Start.listina!H62&gt;Start.listina!$K$7,Start.listina!G62=1),"",Start.listina!H62)</f>
        <v/>
      </c>
      <c r="B54" s="176" t="str">
        <f ca="1">IF(A54&gt;Start.listina!$K$7,"",ADDRESS(INT((A54-1)/$M$2)+1,IF(MOD(A54,$M$2)=0,IF(MOD(INT((A54-1)/$M$2)+1,2)=1,$M$2,1),IF(MOD(INT((A54-1)/$M$2)+1,2)=1,MOD(A54,$M$2),$M$2-MOD(A54,$M$2)+1)),4,1))</f>
        <v/>
      </c>
      <c r="C54" s="178" t="str">
        <f ca="1">Start.listina!$AL62</f>
        <v/>
      </c>
      <c r="D54" s="176" t="str">
        <f ca="1">IF(A54&gt;Start.listina!$K$7,"",INT((A54-1)/$M$2)+1)</f>
        <v/>
      </c>
      <c r="E54" s="490" t="str">
        <f ca="1">IF(A54&gt;Start.listina!$K$7,"",MIN(F54:L54))</f>
        <v/>
      </c>
      <c r="F54" s="176">
        <f ca="1">IF(TYPE(VLOOKUP(C54,Konečné_pořadí_1_16!$B$2:$D$17,3,0))&lt;4,VLOOKUP(C54,Konečné_pořadí_1_16!$B$2:$D$17,3,0),999)</f>
        <v>999</v>
      </c>
      <c r="G54" s="176">
        <f ca="1">IF(TYPE(VLOOKUP(C54,'KO64'!$D$4:$D$129,1,0))&lt;4,64,999)</f>
        <v>999</v>
      </c>
      <c r="H54" s="176">
        <f ca="1">IF(TYPE(VLOOKUP(C54,'KO32'!$D$4:$D$65,1,0))&lt;4,32,999)</f>
        <v>999</v>
      </c>
      <c r="I54" s="176">
        <f ca="1">IF(TYPE(VLOOKUP(C54,'KO16'!$D$4:$D$33,1,0))&lt;4,16,999)</f>
        <v>999</v>
      </c>
      <c r="J54" s="176">
        <f ca="1">IF(TYPE(VLOOKUP(C54,'KO8'!$D$4:$D$17,1,0))&lt;4,8,999)</f>
        <v>999</v>
      </c>
      <c r="K54" s="176">
        <f ca="1">IF(TYPE(VLOOKUP(C54,'KO4'!$D$4:$D$9,1,0))&lt;4,4,999)</f>
        <v>999</v>
      </c>
      <c r="L54" s="176">
        <f ca="1">Start.listina!$K$7</f>
        <v>16</v>
      </c>
      <c r="N54" s="176"/>
      <c r="O54" s="176"/>
      <c r="P54" s="176"/>
      <c r="Q54" s="176"/>
      <c r="R54" s="176"/>
      <c r="S54" s="176"/>
      <c r="T54" s="176"/>
      <c r="U54" s="176"/>
      <c r="V54" s="176"/>
      <c r="W54" s="176"/>
      <c r="X54" s="176"/>
      <c r="Y54" s="176"/>
      <c r="Z54" s="176"/>
      <c r="AA54" s="176"/>
      <c r="AB54" s="176"/>
      <c r="AC54" s="176"/>
      <c r="AD54" s="176"/>
      <c r="AE54" s="176"/>
      <c r="AF54" s="176"/>
      <c r="AG54" s="176"/>
      <c r="AH54" s="176"/>
    </row>
    <row r="55" spans="1:34">
      <c r="A55" t="str">
        <f ca="1">IF(OR(Start.listina!H63&gt;Start.listina!$K$7,Start.listina!G63=1),"",Start.listina!H63)</f>
        <v/>
      </c>
      <c r="B55" s="176" t="str">
        <f ca="1">IF(A55&gt;Start.listina!$K$7,"",ADDRESS(INT((A55-1)/$M$2)+1,IF(MOD(A55,$M$2)=0,IF(MOD(INT((A55-1)/$M$2)+1,2)=1,$M$2,1),IF(MOD(INT((A55-1)/$M$2)+1,2)=1,MOD(A55,$M$2),$M$2-MOD(A55,$M$2)+1)),4,1))</f>
        <v/>
      </c>
      <c r="C55" s="178" t="str">
        <f ca="1">Start.listina!$AL63</f>
        <v/>
      </c>
      <c r="D55" s="176" t="str">
        <f ca="1">IF(A55&gt;Start.listina!$K$7,"",INT((A55-1)/$M$2)+1)</f>
        <v/>
      </c>
      <c r="E55" s="490" t="str">
        <f ca="1">IF(A55&gt;Start.listina!$K$7,"",MIN(F55:L55))</f>
        <v/>
      </c>
      <c r="F55" s="176">
        <f ca="1">IF(TYPE(VLOOKUP(C55,Konečné_pořadí_1_16!$B$2:$D$17,3,0))&lt;4,VLOOKUP(C55,Konečné_pořadí_1_16!$B$2:$D$17,3,0),999)</f>
        <v>999</v>
      </c>
      <c r="G55" s="176">
        <f ca="1">IF(TYPE(VLOOKUP(C55,'KO64'!$D$4:$D$129,1,0))&lt;4,64,999)</f>
        <v>999</v>
      </c>
      <c r="H55" s="176">
        <f ca="1">IF(TYPE(VLOOKUP(C55,'KO32'!$D$4:$D$65,1,0))&lt;4,32,999)</f>
        <v>999</v>
      </c>
      <c r="I55" s="176">
        <f ca="1">IF(TYPE(VLOOKUP(C55,'KO16'!$D$4:$D$33,1,0))&lt;4,16,999)</f>
        <v>999</v>
      </c>
      <c r="J55" s="176">
        <f ca="1">IF(TYPE(VLOOKUP(C55,'KO8'!$D$4:$D$17,1,0))&lt;4,8,999)</f>
        <v>999</v>
      </c>
      <c r="K55" s="176">
        <f ca="1">IF(TYPE(VLOOKUP(C55,'KO4'!$D$4:$D$9,1,0))&lt;4,4,999)</f>
        <v>999</v>
      </c>
      <c r="L55" s="176">
        <f ca="1">Start.listina!$K$7</f>
        <v>16</v>
      </c>
      <c r="N55" s="176"/>
      <c r="O55" s="176"/>
      <c r="P55" s="176"/>
      <c r="Q55" s="176"/>
      <c r="R55" s="176"/>
      <c r="S55" s="176"/>
      <c r="T55" s="176"/>
      <c r="U55" s="176"/>
      <c r="V55" s="176"/>
      <c r="W55" s="176"/>
      <c r="X55" s="176"/>
      <c r="Y55" s="176"/>
      <c r="Z55" s="176"/>
      <c r="AA55" s="176"/>
      <c r="AB55" s="176"/>
      <c r="AC55" s="176"/>
      <c r="AD55" s="176"/>
      <c r="AE55" s="176"/>
      <c r="AF55" s="176"/>
      <c r="AG55" s="176"/>
      <c r="AH55" s="176"/>
    </row>
    <row r="56" spans="1:34">
      <c r="A56" t="str">
        <f ca="1">IF(OR(Start.listina!H64&gt;Start.listina!$K$7,Start.listina!G64=1),"",Start.listina!H64)</f>
        <v/>
      </c>
      <c r="B56" s="176" t="str">
        <f ca="1">IF(A56&gt;Start.listina!$K$7,"",ADDRESS(INT((A56-1)/$M$2)+1,IF(MOD(A56,$M$2)=0,IF(MOD(INT((A56-1)/$M$2)+1,2)=1,$M$2,1),IF(MOD(INT((A56-1)/$M$2)+1,2)=1,MOD(A56,$M$2),$M$2-MOD(A56,$M$2)+1)),4,1))</f>
        <v/>
      </c>
      <c r="C56" s="178" t="str">
        <f ca="1">Start.listina!$AL64</f>
        <v/>
      </c>
      <c r="D56" s="176" t="str">
        <f ca="1">IF(A56&gt;Start.listina!$K$7,"",INT((A56-1)/$M$2)+1)</f>
        <v/>
      </c>
      <c r="E56" s="490" t="str">
        <f ca="1">IF(A56&gt;Start.listina!$K$7,"",MIN(F56:L56))</f>
        <v/>
      </c>
      <c r="F56" s="176">
        <f ca="1">IF(TYPE(VLOOKUP(C56,Konečné_pořadí_1_16!$B$2:$D$17,3,0))&lt;4,VLOOKUP(C56,Konečné_pořadí_1_16!$B$2:$D$17,3,0),999)</f>
        <v>999</v>
      </c>
      <c r="G56" s="176">
        <f ca="1">IF(TYPE(VLOOKUP(C56,'KO64'!$D$4:$D$129,1,0))&lt;4,64,999)</f>
        <v>999</v>
      </c>
      <c r="H56" s="176">
        <f ca="1">IF(TYPE(VLOOKUP(C56,'KO32'!$D$4:$D$65,1,0))&lt;4,32,999)</f>
        <v>999</v>
      </c>
      <c r="I56" s="176">
        <f ca="1">IF(TYPE(VLOOKUP(C56,'KO16'!$D$4:$D$33,1,0))&lt;4,16,999)</f>
        <v>999</v>
      </c>
      <c r="J56" s="176">
        <f ca="1">IF(TYPE(VLOOKUP(C56,'KO8'!$D$4:$D$17,1,0))&lt;4,8,999)</f>
        <v>999</v>
      </c>
      <c r="K56" s="176">
        <f ca="1">IF(TYPE(VLOOKUP(C56,'KO4'!$D$4:$D$9,1,0))&lt;4,4,999)</f>
        <v>999</v>
      </c>
      <c r="L56" s="176">
        <f ca="1">Start.listina!$K$7</f>
        <v>16</v>
      </c>
      <c r="N56" s="176"/>
      <c r="O56" s="176"/>
      <c r="P56" s="176"/>
      <c r="Q56" s="176"/>
      <c r="R56" s="176"/>
      <c r="S56" s="176"/>
      <c r="T56" s="176"/>
      <c r="U56" s="176"/>
      <c r="V56" s="176"/>
      <c r="W56" s="176"/>
      <c r="X56" s="176"/>
      <c r="Y56" s="176"/>
      <c r="Z56" s="176"/>
      <c r="AA56" s="176"/>
      <c r="AB56" s="176"/>
      <c r="AC56" s="176"/>
      <c r="AD56" s="176"/>
      <c r="AE56" s="176"/>
      <c r="AF56" s="176"/>
      <c r="AG56" s="176"/>
      <c r="AH56" s="176"/>
    </row>
    <row r="57" spans="1:34">
      <c r="A57" t="str">
        <f ca="1">IF(OR(Start.listina!H65&gt;Start.listina!$K$7,Start.listina!G65=1),"",Start.listina!H65)</f>
        <v/>
      </c>
      <c r="B57" s="176" t="str">
        <f ca="1">IF(A57&gt;Start.listina!$K$7,"",ADDRESS(INT((A57-1)/$M$2)+1,IF(MOD(A57,$M$2)=0,IF(MOD(INT((A57-1)/$M$2)+1,2)=1,$M$2,1),IF(MOD(INT((A57-1)/$M$2)+1,2)=1,MOD(A57,$M$2),$M$2-MOD(A57,$M$2)+1)),4,1))</f>
        <v/>
      </c>
      <c r="C57" s="178" t="str">
        <f ca="1">Start.listina!$AL65</f>
        <v/>
      </c>
      <c r="D57" s="176" t="str">
        <f ca="1">IF(A57&gt;Start.listina!$K$7,"",INT((A57-1)/$M$2)+1)</f>
        <v/>
      </c>
      <c r="E57" s="490" t="str">
        <f ca="1">IF(A57&gt;Start.listina!$K$7,"",MIN(F57:L57))</f>
        <v/>
      </c>
      <c r="F57" s="176">
        <f ca="1">IF(TYPE(VLOOKUP(C57,Konečné_pořadí_1_16!$B$2:$D$17,3,0))&lt;4,VLOOKUP(C57,Konečné_pořadí_1_16!$B$2:$D$17,3,0),999)</f>
        <v>999</v>
      </c>
      <c r="G57" s="176">
        <f ca="1">IF(TYPE(VLOOKUP(C57,'KO64'!$D$4:$D$129,1,0))&lt;4,64,999)</f>
        <v>999</v>
      </c>
      <c r="H57" s="176">
        <f ca="1">IF(TYPE(VLOOKUP(C57,'KO32'!$D$4:$D$65,1,0))&lt;4,32,999)</f>
        <v>999</v>
      </c>
      <c r="I57" s="176">
        <f ca="1">IF(TYPE(VLOOKUP(C57,'KO16'!$D$4:$D$33,1,0))&lt;4,16,999)</f>
        <v>999</v>
      </c>
      <c r="J57" s="176">
        <f ca="1">IF(TYPE(VLOOKUP(C57,'KO8'!$D$4:$D$17,1,0))&lt;4,8,999)</f>
        <v>999</v>
      </c>
      <c r="K57" s="176">
        <f ca="1">IF(TYPE(VLOOKUP(C57,'KO4'!$D$4:$D$9,1,0))&lt;4,4,999)</f>
        <v>999</v>
      </c>
      <c r="L57" s="176">
        <f ca="1">Start.listina!$K$7</f>
        <v>16</v>
      </c>
      <c r="N57" s="176"/>
      <c r="O57" s="176"/>
      <c r="P57" s="176"/>
      <c r="Q57" s="176"/>
      <c r="R57" s="176"/>
      <c r="S57" s="176"/>
      <c r="T57" s="176"/>
      <c r="U57" s="176"/>
      <c r="V57" s="176"/>
      <c r="W57" s="176"/>
      <c r="X57" s="176"/>
      <c r="Y57" s="176"/>
      <c r="Z57" s="176"/>
      <c r="AA57" s="176"/>
      <c r="AB57" s="176"/>
      <c r="AC57" s="176"/>
      <c r="AD57" s="176"/>
      <c r="AE57" s="176"/>
      <c r="AF57" s="176"/>
      <c r="AG57" s="176"/>
      <c r="AH57" s="176"/>
    </row>
    <row r="58" spans="1:34">
      <c r="A58" t="str">
        <f ca="1">IF(OR(Start.listina!H66&gt;Start.listina!$K$7,Start.listina!G66=1),"",Start.listina!H66)</f>
        <v/>
      </c>
      <c r="B58" s="176" t="str">
        <f ca="1">IF(A58&gt;Start.listina!$K$7,"",ADDRESS(INT((A58-1)/$M$2)+1,IF(MOD(A58,$M$2)=0,IF(MOD(INT((A58-1)/$M$2)+1,2)=1,$M$2,1),IF(MOD(INT((A58-1)/$M$2)+1,2)=1,MOD(A58,$M$2),$M$2-MOD(A58,$M$2)+1)),4,1))</f>
        <v/>
      </c>
      <c r="C58" s="178" t="str">
        <f ca="1">Start.listina!$AL66</f>
        <v/>
      </c>
      <c r="D58" s="176" t="str">
        <f ca="1">IF(A58&gt;Start.listina!$K$7,"",INT((A58-1)/$M$2)+1)</f>
        <v/>
      </c>
      <c r="E58" s="490" t="str">
        <f ca="1">IF(A58&gt;Start.listina!$K$7,"",MIN(F58:L58))</f>
        <v/>
      </c>
      <c r="F58" s="176">
        <f ca="1">IF(TYPE(VLOOKUP(C58,Konečné_pořadí_1_16!$B$2:$D$17,3,0))&lt;4,VLOOKUP(C58,Konečné_pořadí_1_16!$B$2:$D$17,3,0),999)</f>
        <v>999</v>
      </c>
      <c r="G58" s="176">
        <f ca="1">IF(TYPE(VLOOKUP(C58,'KO64'!$D$4:$D$129,1,0))&lt;4,64,999)</f>
        <v>999</v>
      </c>
      <c r="H58" s="176">
        <f ca="1">IF(TYPE(VLOOKUP(C58,'KO32'!$D$4:$D$65,1,0))&lt;4,32,999)</f>
        <v>999</v>
      </c>
      <c r="I58" s="176">
        <f ca="1">IF(TYPE(VLOOKUP(C58,'KO16'!$D$4:$D$33,1,0))&lt;4,16,999)</f>
        <v>999</v>
      </c>
      <c r="J58" s="176">
        <f ca="1">IF(TYPE(VLOOKUP(C58,'KO8'!$D$4:$D$17,1,0))&lt;4,8,999)</f>
        <v>999</v>
      </c>
      <c r="K58" s="176">
        <f ca="1">IF(TYPE(VLOOKUP(C58,'KO4'!$D$4:$D$9,1,0))&lt;4,4,999)</f>
        <v>999</v>
      </c>
      <c r="L58" s="176">
        <f ca="1">Start.listina!$K$7</f>
        <v>16</v>
      </c>
      <c r="N58" s="176"/>
      <c r="O58" s="176"/>
      <c r="P58" s="176"/>
      <c r="Q58" s="176"/>
      <c r="R58" s="176"/>
      <c r="S58" s="176"/>
      <c r="T58" s="176"/>
      <c r="U58" s="176"/>
      <c r="V58" s="176"/>
      <c r="W58" s="176"/>
      <c r="X58" s="176"/>
      <c r="Y58" s="176"/>
      <c r="Z58" s="176"/>
      <c r="AA58" s="176"/>
      <c r="AB58" s="176"/>
      <c r="AC58" s="176"/>
      <c r="AD58" s="176"/>
      <c r="AE58" s="176"/>
      <c r="AF58" s="176"/>
      <c r="AG58" s="176"/>
      <c r="AH58" s="176"/>
    </row>
    <row r="59" spans="1:34">
      <c r="A59" t="str">
        <f ca="1">IF(OR(Start.listina!H67&gt;Start.listina!$K$7,Start.listina!G67=1),"",Start.listina!H67)</f>
        <v/>
      </c>
      <c r="B59" s="176" t="str">
        <f ca="1">IF(A59&gt;Start.listina!$K$7,"",ADDRESS(INT((A59-1)/$M$2)+1,IF(MOD(A59,$M$2)=0,IF(MOD(INT((A59-1)/$M$2)+1,2)=1,$M$2,1),IF(MOD(INT((A59-1)/$M$2)+1,2)=1,MOD(A59,$M$2),$M$2-MOD(A59,$M$2)+1)),4,1))</f>
        <v/>
      </c>
      <c r="C59" s="178" t="str">
        <f ca="1">Start.listina!$AL67</f>
        <v/>
      </c>
      <c r="D59" s="176" t="str">
        <f ca="1">IF(A59&gt;Start.listina!$K$7,"",INT((A59-1)/$M$2)+1)</f>
        <v/>
      </c>
      <c r="E59" s="490" t="str">
        <f ca="1">IF(A59&gt;Start.listina!$K$7,"",MIN(F59:L59))</f>
        <v/>
      </c>
      <c r="F59" s="176">
        <f ca="1">IF(TYPE(VLOOKUP(C59,Konečné_pořadí_1_16!$B$2:$D$17,3,0))&lt;4,VLOOKUP(C59,Konečné_pořadí_1_16!$B$2:$D$17,3,0),999)</f>
        <v>999</v>
      </c>
      <c r="G59" s="176">
        <f ca="1">IF(TYPE(VLOOKUP(C59,'KO64'!$D$4:$D$129,1,0))&lt;4,64,999)</f>
        <v>999</v>
      </c>
      <c r="H59" s="176">
        <f ca="1">IF(TYPE(VLOOKUP(C59,'KO32'!$D$4:$D$65,1,0))&lt;4,32,999)</f>
        <v>999</v>
      </c>
      <c r="I59" s="176">
        <f ca="1">IF(TYPE(VLOOKUP(C59,'KO16'!$D$4:$D$33,1,0))&lt;4,16,999)</f>
        <v>999</v>
      </c>
      <c r="J59" s="176">
        <f ca="1">IF(TYPE(VLOOKUP(C59,'KO8'!$D$4:$D$17,1,0))&lt;4,8,999)</f>
        <v>999</v>
      </c>
      <c r="K59" s="176">
        <f ca="1">IF(TYPE(VLOOKUP(C59,'KO4'!$D$4:$D$9,1,0))&lt;4,4,999)</f>
        <v>999</v>
      </c>
      <c r="L59" s="176">
        <f ca="1">Start.listina!$K$7</f>
        <v>16</v>
      </c>
      <c r="N59" s="176"/>
      <c r="O59" s="176"/>
      <c r="P59" s="176"/>
      <c r="Q59" s="176"/>
      <c r="R59" s="176"/>
      <c r="S59" s="176"/>
      <c r="T59" s="176"/>
      <c r="U59" s="176"/>
      <c r="V59" s="176"/>
      <c r="W59" s="176"/>
      <c r="X59" s="176"/>
      <c r="Y59" s="176"/>
      <c r="Z59" s="176"/>
      <c r="AA59" s="176"/>
      <c r="AB59" s="176"/>
      <c r="AC59" s="176"/>
      <c r="AD59" s="176"/>
      <c r="AE59" s="176"/>
      <c r="AF59" s="176"/>
      <c r="AG59" s="176"/>
      <c r="AH59" s="176"/>
    </row>
    <row r="60" spans="1:34">
      <c r="A60" t="str">
        <f ca="1">IF(OR(Start.listina!H68&gt;Start.listina!$K$7,Start.listina!G68=1),"",Start.listina!H68)</f>
        <v/>
      </c>
      <c r="B60" s="176" t="str">
        <f ca="1">IF(A60&gt;Start.listina!$K$7,"",ADDRESS(INT((A60-1)/$M$2)+1,IF(MOD(A60,$M$2)=0,IF(MOD(INT((A60-1)/$M$2)+1,2)=1,$M$2,1),IF(MOD(INT((A60-1)/$M$2)+1,2)=1,MOD(A60,$M$2),$M$2-MOD(A60,$M$2)+1)),4,1))</f>
        <v/>
      </c>
      <c r="C60" s="178" t="str">
        <f ca="1">Start.listina!$AL68</f>
        <v/>
      </c>
      <c r="D60" s="176" t="str">
        <f ca="1">IF(A60&gt;Start.listina!$K$7,"",INT((A60-1)/$M$2)+1)</f>
        <v/>
      </c>
      <c r="E60" s="490" t="str">
        <f ca="1">IF(A60&gt;Start.listina!$K$7,"",MIN(F60:L60))</f>
        <v/>
      </c>
      <c r="F60" s="176">
        <f ca="1">IF(TYPE(VLOOKUP(C60,Konečné_pořadí_1_16!$B$2:$D$17,3,0))&lt;4,VLOOKUP(C60,Konečné_pořadí_1_16!$B$2:$D$17,3,0),999)</f>
        <v>999</v>
      </c>
      <c r="G60" s="176">
        <f ca="1">IF(TYPE(VLOOKUP(C60,'KO64'!$D$4:$D$129,1,0))&lt;4,64,999)</f>
        <v>999</v>
      </c>
      <c r="H60" s="176">
        <f ca="1">IF(TYPE(VLOOKUP(C60,'KO32'!$D$4:$D$65,1,0))&lt;4,32,999)</f>
        <v>999</v>
      </c>
      <c r="I60" s="176">
        <f ca="1">IF(TYPE(VLOOKUP(C60,'KO16'!$D$4:$D$33,1,0))&lt;4,16,999)</f>
        <v>999</v>
      </c>
      <c r="J60" s="176">
        <f ca="1">IF(TYPE(VLOOKUP(C60,'KO8'!$D$4:$D$17,1,0))&lt;4,8,999)</f>
        <v>999</v>
      </c>
      <c r="K60" s="176">
        <f ca="1">IF(TYPE(VLOOKUP(C60,'KO4'!$D$4:$D$9,1,0))&lt;4,4,999)</f>
        <v>999</v>
      </c>
      <c r="L60" s="176">
        <f ca="1">Start.listina!$K$7</f>
        <v>16</v>
      </c>
      <c r="N60" s="176"/>
      <c r="O60" s="176"/>
      <c r="P60" s="176"/>
      <c r="Q60" s="176"/>
      <c r="R60" s="176"/>
      <c r="S60" s="176"/>
      <c r="T60" s="176"/>
      <c r="U60" s="176"/>
      <c r="V60" s="176"/>
      <c r="W60" s="176"/>
      <c r="X60" s="176"/>
      <c r="Y60" s="176"/>
      <c r="Z60" s="176"/>
      <c r="AA60" s="176"/>
      <c r="AB60" s="176"/>
      <c r="AC60" s="176"/>
      <c r="AD60" s="176"/>
      <c r="AE60" s="176"/>
      <c r="AF60" s="176"/>
      <c r="AG60" s="176"/>
      <c r="AH60" s="176"/>
    </row>
    <row r="61" spans="1:34">
      <c r="A61" t="str">
        <f ca="1">IF(OR(Start.listina!H69&gt;Start.listina!$K$7,Start.listina!G69=1),"",Start.listina!H69)</f>
        <v/>
      </c>
      <c r="B61" s="176" t="str">
        <f ca="1">IF(A61&gt;Start.listina!$K$7,"",ADDRESS(INT((A61-1)/$M$2)+1,IF(MOD(A61,$M$2)=0,IF(MOD(INT((A61-1)/$M$2)+1,2)=1,$M$2,1),IF(MOD(INT((A61-1)/$M$2)+1,2)=1,MOD(A61,$M$2),$M$2-MOD(A61,$M$2)+1)),4,1))</f>
        <v/>
      </c>
      <c r="C61" s="178" t="str">
        <f ca="1">Start.listina!$AL69</f>
        <v/>
      </c>
      <c r="D61" s="176" t="str">
        <f ca="1">IF(A61&gt;Start.listina!$K$7,"",INT((A61-1)/$M$2)+1)</f>
        <v/>
      </c>
      <c r="E61" s="490" t="str">
        <f ca="1">IF(A61&gt;Start.listina!$K$7,"",MIN(F61:L61))</f>
        <v/>
      </c>
      <c r="F61" s="176">
        <f ca="1">IF(TYPE(VLOOKUP(C61,Konečné_pořadí_1_16!$B$2:$D$17,3,0))&lt;4,VLOOKUP(C61,Konečné_pořadí_1_16!$B$2:$D$17,3,0),999)</f>
        <v>999</v>
      </c>
      <c r="G61" s="176">
        <f ca="1">IF(TYPE(VLOOKUP(C61,'KO64'!$D$4:$D$129,1,0))&lt;4,64,999)</f>
        <v>999</v>
      </c>
      <c r="H61" s="176">
        <f ca="1">IF(TYPE(VLOOKUP(C61,'KO32'!$D$4:$D$65,1,0))&lt;4,32,999)</f>
        <v>999</v>
      </c>
      <c r="I61" s="176">
        <f ca="1">IF(TYPE(VLOOKUP(C61,'KO16'!$D$4:$D$33,1,0))&lt;4,16,999)</f>
        <v>999</v>
      </c>
      <c r="J61" s="176">
        <f ca="1">IF(TYPE(VLOOKUP(C61,'KO8'!$D$4:$D$17,1,0))&lt;4,8,999)</f>
        <v>999</v>
      </c>
      <c r="K61" s="176">
        <f ca="1">IF(TYPE(VLOOKUP(C61,'KO4'!$D$4:$D$9,1,0))&lt;4,4,999)</f>
        <v>999</v>
      </c>
      <c r="L61" s="176">
        <f ca="1">Start.listina!$K$7</f>
        <v>16</v>
      </c>
      <c r="N61" s="176"/>
      <c r="O61" s="176"/>
      <c r="P61" s="176"/>
      <c r="Q61" s="176"/>
      <c r="R61" s="176"/>
      <c r="S61" s="176"/>
      <c r="T61" s="176"/>
      <c r="U61" s="176"/>
      <c r="V61" s="176"/>
      <c r="W61" s="176"/>
      <c r="X61" s="176"/>
      <c r="Y61" s="176"/>
      <c r="Z61" s="176"/>
      <c r="AA61" s="176"/>
      <c r="AB61" s="176"/>
      <c r="AC61" s="176"/>
      <c r="AD61" s="176"/>
      <c r="AE61" s="176"/>
      <c r="AF61" s="176"/>
      <c r="AG61" s="176"/>
      <c r="AH61" s="176"/>
    </row>
    <row r="62" spans="1:34">
      <c r="A62" t="str">
        <f ca="1">IF(OR(Start.listina!H70&gt;Start.listina!$K$7,Start.listina!G70=1),"",Start.listina!H70)</f>
        <v/>
      </c>
      <c r="B62" s="176" t="str">
        <f ca="1">IF(A62&gt;Start.listina!$K$7,"",ADDRESS(INT((A62-1)/$M$2)+1,IF(MOD(A62,$M$2)=0,IF(MOD(INT((A62-1)/$M$2)+1,2)=1,$M$2,1),IF(MOD(INT((A62-1)/$M$2)+1,2)=1,MOD(A62,$M$2),$M$2-MOD(A62,$M$2)+1)),4,1))</f>
        <v/>
      </c>
      <c r="C62" s="178" t="str">
        <f ca="1">Start.listina!$AL70</f>
        <v/>
      </c>
      <c r="D62" s="176" t="str">
        <f ca="1">IF(A62&gt;Start.listina!$K$7,"",INT((A62-1)/$M$2)+1)</f>
        <v/>
      </c>
      <c r="E62" s="490" t="str">
        <f ca="1">IF(A62&gt;Start.listina!$K$7,"",MIN(F62:L62))</f>
        <v/>
      </c>
      <c r="F62" s="176">
        <f ca="1">IF(TYPE(VLOOKUP(C62,Konečné_pořadí_1_16!$B$2:$D$17,3,0))&lt;4,VLOOKUP(C62,Konečné_pořadí_1_16!$B$2:$D$17,3,0),999)</f>
        <v>999</v>
      </c>
      <c r="G62" s="176">
        <f ca="1">IF(TYPE(VLOOKUP(C62,'KO64'!$D$4:$D$129,1,0))&lt;4,64,999)</f>
        <v>999</v>
      </c>
      <c r="H62" s="176">
        <f ca="1">IF(TYPE(VLOOKUP(C62,'KO32'!$D$4:$D$65,1,0))&lt;4,32,999)</f>
        <v>999</v>
      </c>
      <c r="I62" s="176">
        <f ca="1">IF(TYPE(VLOOKUP(C62,'KO16'!$D$4:$D$33,1,0))&lt;4,16,999)</f>
        <v>999</v>
      </c>
      <c r="J62" s="176">
        <f ca="1">IF(TYPE(VLOOKUP(C62,'KO8'!$D$4:$D$17,1,0))&lt;4,8,999)</f>
        <v>999</v>
      </c>
      <c r="K62" s="176">
        <f ca="1">IF(TYPE(VLOOKUP(C62,'KO4'!$D$4:$D$9,1,0))&lt;4,4,999)</f>
        <v>999</v>
      </c>
      <c r="L62" s="176">
        <f ca="1">Start.listina!$K$7</f>
        <v>16</v>
      </c>
      <c r="N62" s="176"/>
      <c r="O62" s="176"/>
      <c r="P62" s="176"/>
      <c r="Q62" s="176"/>
      <c r="R62" s="176"/>
      <c r="S62" s="176"/>
      <c r="T62" s="176"/>
      <c r="U62" s="176"/>
      <c r="V62" s="176"/>
      <c r="W62" s="176"/>
      <c r="X62" s="176"/>
      <c r="Y62" s="176"/>
      <c r="Z62" s="176"/>
      <c r="AA62" s="176"/>
      <c r="AB62" s="176"/>
      <c r="AC62" s="176"/>
      <c r="AD62" s="176"/>
      <c r="AE62" s="176"/>
      <c r="AF62" s="176"/>
      <c r="AG62" s="176"/>
      <c r="AH62" s="176"/>
    </row>
    <row r="63" spans="1:34">
      <c r="A63" t="str">
        <f ca="1">IF(OR(Start.listina!H71&gt;Start.listina!$K$7,Start.listina!G71=1),"",Start.listina!H71)</f>
        <v/>
      </c>
      <c r="B63" s="176" t="str">
        <f ca="1">IF(A63&gt;Start.listina!$K$7,"",ADDRESS(INT((A63-1)/$M$2)+1,IF(MOD(A63,$M$2)=0,IF(MOD(INT((A63-1)/$M$2)+1,2)=1,$M$2,1),IF(MOD(INT((A63-1)/$M$2)+1,2)=1,MOD(A63,$M$2),$M$2-MOD(A63,$M$2)+1)),4,1))</f>
        <v/>
      </c>
      <c r="C63" s="178" t="str">
        <f ca="1">Start.listina!$AL71</f>
        <v/>
      </c>
      <c r="D63" s="176" t="str">
        <f ca="1">IF(A63&gt;Start.listina!$K$7,"",INT((A63-1)/$M$2)+1)</f>
        <v/>
      </c>
      <c r="E63" s="490" t="str">
        <f ca="1">IF(A63&gt;Start.listina!$K$7,"",MIN(F63:L63))</f>
        <v/>
      </c>
      <c r="F63" s="176">
        <f ca="1">IF(TYPE(VLOOKUP(C63,Konečné_pořadí_1_16!$B$2:$D$17,3,0))&lt;4,VLOOKUP(C63,Konečné_pořadí_1_16!$B$2:$D$17,3,0),999)</f>
        <v>999</v>
      </c>
      <c r="G63" s="176">
        <f ca="1">IF(TYPE(VLOOKUP(C63,'KO64'!$D$4:$D$129,1,0))&lt;4,64,999)</f>
        <v>999</v>
      </c>
      <c r="H63" s="176">
        <f ca="1">IF(TYPE(VLOOKUP(C63,'KO32'!$D$4:$D$65,1,0))&lt;4,32,999)</f>
        <v>999</v>
      </c>
      <c r="I63" s="176">
        <f ca="1">IF(TYPE(VLOOKUP(C63,'KO16'!$D$4:$D$33,1,0))&lt;4,16,999)</f>
        <v>999</v>
      </c>
      <c r="J63" s="176">
        <f ca="1">IF(TYPE(VLOOKUP(C63,'KO8'!$D$4:$D$17,1,0))&lt;4,8,999)</f>
        <v>999</v>
      </c>
      <c r="K63" s="176">
        <f ca="1">IF(TYPE(VLOOKUP(C63,'KO4'!$D$4:$D$9,1,0))&lt;4,4,999)</f>
        <v>999</v>
      </c>
      <c r="L63" s="176">
        <f ca="1">Start.listina!$K$7</f>
        <v>16</v>
      </c>
      <c r="N63" s="176"/>
      <c r="O63" s="176"/>
      <c r="P63" s="176"/>
      <c r="Q63" s="176"/>
      <c r="R63" s="176"/>
      <c r="S63" s="176"/>
      <c r="T63" s="176"/>
      <c r="U63" s="176"/>
      <c r="V63" s="176"/>
      <c r="W63" s="176"/>
      <c r="X63" s="176"/>
      <c r="Y63" s="176"/>
      <c r="Z63" s="176"/>
      <c r="AA63" s="176"/>
      <c r="AB63" s="176"/>
      <c r="AC63" s="176"/>
      <c r="AD63" s="176"/>
      <c r="AE63" s="176"/>
      <c r="AF63" s="176"/>
      <c r="AG63" s="176"/>
      <c r="AH63" s="176"/>
    </row>
    <row r="64" spans="1:34">
      <c r="A64" t="str">
        <f ca="1">IF(OR(Start.listina!H72&gt;Start.listina!$K$7,Start.listina!G72=1),"",Start.listina!H72)</f>
        <v/>
      </c>
      <c r="B64" s="176" t="str">
        <f ca="1">IF(A64&gt;Start.listina!$K$7,"",ADDRESS(INT((A64-1)/$M$2)+1,IF(MOD(A64,$M$2)=0,IF(MOD(INT((A64-1)/$M$2)+1,2)=1,$M$2,1),IF(MOD(INT((A64-1)/$M$2)+1,2)=1,MOD(A64,$M$2),$M$2-MOD(A64,$M$2)+1)),4,1))</f>
        <v/>
      </c>
      <c r="C64" s="178" t="str">
        <f ca="1">Start.listina!$AL72</f>
        <v/>
      </c>
      <c r="D64" s="176" t="str">
        <f ca="1">IF(A64&gt;Start.listina!$K$7,"",INT((A64-1)/$M$2)+1)</f>
        <v/>
      </c>
      <c r="E64" s="490" t="str">
        <f ca="1">IF(A64&gt;Start.listina!$K$7,"",MIN(F64:L64))</f>
        <v/>
      </c>
      <c r="F64" s="176">
        <f ca="1">IF(TYPE(VLOOKUP(C64,Konečné_pořadí_1_16!$B$2:$D$17,3,0))&lt;4,VLOOKUP(C64,Konečné_pořadí_1_16!$B$2:$D$17,3,0),999)</f>
        <v>999</v>
      </c>
      <c r="G64" s="176">
        <f ca="1">IF(TYPE(VLOOKUP(C64,'KO64'!$D$4:$D$129,1,0))&lt;4,64,999)</f>
        <v>999</v>
      </c>
      <c r="H64" s="176">
        <f ca="1">IF(TYPE(VLOOKUP(C64,'KO32'!$D$4:$D$65,1,0))&lt;4,32,999)</f>
        <v>999</v>
      </c>
      <c r="I64" s="176">
        <f ca="1">IF(TYPE(VLOOKUP(C64,'KO16'!$D$4:$D$33,1,0))&lt;4,16,999)</f>
        <v>999</v>
      </c>
      <c r="J64" s="176">
        <f ca="1">IF(TYPE(VLOOKUP(C64,'KO8'!$D$4:$D$17,1,0))&lt;4,8,999)</f>
        <v>999</v>
      </c>
      <c r="K64" s="176">
        <f ca="1">IF(TYPE(VLOOKUP(C64,'KO4'!$D$4:$D$9,1,0))&lt;4,4,999)</f>
        <v>999</v>
      </c>
      <c r="L64" s="176">
        <f ca="1">Start.listina!$K$7</f>
        <v>16</v>
      </c>
      <c r="N64" s="176"/>
      <c r="O64" s="176"/>
      <c r="P64" s="176"/>
      <c r="Q64" s="176"/>
      <c r="R64" s="176"/>
      <c r="S64" s="176"/>
      <c r="T64" s="176"/>
      <c r="U64" s="176"/>
      <c r="V64" s="176"/>
      <c r="W64" s="176"/>
      <c r="X64" s="176"/>
      <c r="Y64" s="176"/>
      <c r="Z64" s="176"/>
      <c r="AA64" s="176"/>
      <c r="AB64" s="176"/>
      <c r="AC64" s="176"/>
      <c r="AD64" s="176"/>
      <c r="AE64" s="176"/>
      <c r="AF64" s="176"/>
      <c r="AG64" s="176"/>
      <c r="AH64" s="176"/>
    </row>
    <row r="65" spans="1:34">
      <c r="A65" t="str">
        <f ca="1">IF(OR(Start.listina!H73&gt;Start.listina!$K$7,Start.listina!G73=1),"",Start.listina!H73)</f>
        <v/>
      </c>
      <c r="B65" s="176" t="str">
        <f ca="1">IF(A65&gt;Start.listina!$K$7,"",ADDRESS(INT((A65-1)/$M$2)+1,IF(MOD(A65,$M$2)=0,IF(MOD(INT((A65-1)/$M$2)+1,2)=1,$M$2,1),IF(MOD(INT((A65-1)/$M$2)+1,2)=1,MOD(A65,$M$2),$M$2-MOD(A65,$M$2)+1)),4,1))</f>
        <v/>
      </c>
      <c r="C65" s="178" t="str">
        <f ca="1">Start.listina!$AL73</f>
        <v/>
      </c>
      <c r="D65" s="176" t="str">
        <f ca="1">IF(A65&gt;Start.listina!$K$7,"",INT((A65-1)/$M$2)+1)</f>
        <v/>
      </c>
      <c r="E65" s="490" t="str">
        <f ca="1">IF(A65&gt;Start.listina!$K$7,"",MIN(F65:L65))</f>
        <v/>
      </c>
      <c r="F65" s="176">
        <f ca="1">IF(TYPE(VLOOKUP(C65,Konečné_pořadí_1_16!$B$2:$D$17,3,0))&lt;4,VLOOKUP(C65,Konečné_pořadí_1_16!$B$2:$D$17,3,0),999)</f>
        <v>999</v>
      </c>
      <c r="G65" s="176">
        <f ca="1">IF(TYPE(VLOOKUP(C65,'KO64'!$D$4:$D$129,1,0))&lt;4,64,999)</f>
        <v>999</v>
      </c>
      <c r="H65" s="176">
        <f ca="1">IF(TYPE(VLOOKUP(C65,'KO32'!$D$4:$D$65,1,0))&lt;4,32,999)</f>
        <v>999</v>
      </c>
      <c r="I65" s="176">
        <f ca="1">IF(TYPE(VLOOKUP(C65,'KO16'!$D$4:$D$33,1,0))&lt;4,16,999)</f>
        <v>999</v>
      </c>
      <c r="J65" s="176">
        <f ca="1">IF(TYPE(VLOOKUP(C65,'KO8'!$D$4:$D$17,1,0))&lt;4,8,999)</f>
        <v>999</v>
      </c>
      <c r="K65" s="176">
        <f ca="1">IF(TYPE(VLOOKUP(C65,'KO4'!$D$4:$D$9,1,0))&lt;4,4,999)</f>
        <v>999</v>
      </c>
      <c r="L65" s="176">
        <f ca="1">Start.listina!$K$7</f>
        <v>16</v>
      </c>
      <c r="N65" s="176"/>
      <c r="O65" s="176"/>
      <c r="P65" s="176"/>
      <c r="Q65" s="176"/>
      <c r="R65" s="176"/>
      <c r="S65" s="176"/>
      <c r="T65" s="176"/>
      <c r="U65" s="176"/>
      <c r="V65" s="176"/>
      <c r="W65" s="176"/>
      <c r="X65" s="176"/>
      <c r="Y65" s="176"/>
      <c r="Z65" s="176"/>
      <c r="AA65" s="176"/>
      <c r="AB65" s="176"/>
      <c r="AC65" s="176"/>
      <c r="AD65" s="176"/>
      <c r="AE65" s="176"/>
      <c r="AF65" s="176"/>
      <c r="AG65" s="176"/>
      <c r="AH65" s="176"/>
    </row>
    <row r="66" spans="1:34">
      <c r="A66" t="str">
        <f ca="1">IF(OR(Start.listina!H74&gt;Start.listina!$K$7,Start.listina!G74=1),"",Start.listina!H74)</f>
        <v/>
      </c>
      <c r="B66" s="176" t="str">
        <f ca="1">IF(A66&gt;Start.listina!$K$7,"",ADDRESS(INT((A66-1)/$M$2)+1,IF(MOD(A66,$M$2)=0,IF(MOD(INT((A66-1)/$M$2)+1,2)=1,$M$2,1),IF(MOD(INT((A66-1)/$M$2)+1,2)=1,MOD(A66,$M$2),$M$2-MOD(A66,$M$2)+1)),4,1))</f>
        <v/>
      </c>
      <c r="C66" s="178" t="str">
        <f ca="1">Start.listina!$AL74</f>
        <v/>
      </c>
      <c r="D66" s="176" t="str">
        <f ca="1">IF(A66&gt;Start.listina!$K$7,"",INT((A66-1)/$M$2)+1)</f>
        <v/>
      </c>
      <c r="E66" s="490" t="str">
        <f ca="1">IF(A66&gt;Start.listina!$K$7,"",MIN(F66:L66))</f>
        <v/>
      </c>
      <c r="F66" s="176">
        <f ca="1">IF(TYPE(VLOOKUP(C66,Konečné_pořadí_1_16!$B$2:$D$17,3,0))&lt;4,VLOOKUP(C66,Konečné_pořadí_1_16!$B$2:$D$17,3,0),999)</f>
        <v>999</v>
      </c>
      <c r="G66" s="176">
        <f ca="1">IF(TYPE(VLOOKUP(C66,'KO64'!$D$4:$D$129,1,0))&lt;4,64,999)</f>
        <v>999</v>
      </c>
      <c r="H66" s="176">
        <f ca="1">IF(TYPE(VLOOKUP(C66,'KO32'!$D$4:$D$65,1,0))&lt;4,32,999)</f>
        <v>999</v>
      </c>
      <c r="I66" s="176">
        <f ca="1">IF(TYPE(VLOOKUP(C66,'KO16'!$D$4:$D$33,1,0))&lt;4,16,999)</f>
        <v>999</v>
      </c>
      <c r="J66" s="176">
        <f ca="1">IF(TYPE(VLOOKUP(C66,'KO8'!$D$4:$D$17,1,0))&lt;4,8,999)</f>
        <v>999</v>
      </c>
      <c r="K66" s="176">
        <f ca="1">IF(TYPE(VLOOKUP(C66,'KO4'!$D$4:$D$9,1,0))&lt;4,4,999)</f>
        <v>999</v>
      </c>
      <c r="L66" s="176">
        <f ca="1">Start.listina!$K$7</f>
        <v>16</v>
      </c>
      <c r="N66" s="176"/>
      <c r="O66" s="176"/>
      <c r="P66" s="176"/>
      <c r="Q66" s="176"/>
      <c r="R66" s="176"/>
      <c r="S66" s="176"/>
      <c r="T66" s="176"/>
      <c r="U66" s="176"/>
      <c r="V66" s="176"/>
      <c r="W66" s="176"/>
      <c r="X66" s="176"/>
      <c r="Y66" s="176"/>
      <c r="Z66" s="176"/>
      <c r="AA66" s="176"/>
      <c r="AB66" s="176"/>
      <c r="AC66" s="176"/>
      <c r="AD66" s="176"/>
      <c r="AE66" s="176"/>
      <c r="AF66" s="176"/>
      <c r="AG66" s="176"/>
      <c r="AH66" s="176"/>
    </row>
    <row r="67" spans="1:34">
      <c r="A67" t="str">
        <f ca="1">IF(OR(Start.listina!H75&gt;Start.listina!$K$7,Start.listina!G75=1),"",Start.listina!H75)</f>
        <v/>
      </c>
      <c r="B67" s="176" t="str">
        <f ca="1">IF(A67&gt;Start.listina!$K$7,"",ADDRESS(INT((A67-1)/$M$2)+1,IF(MOD(A67,$M$2)=0,IF(MOD(INT((A67-1)/$M$2)+1,2)=1,$M$2,1),IF(MOD(INT((A67-1)/$M$2)+1,2)=1,MOD(A67,$M$2),$M$2-MOD(A67,$M$2)+1)),4,1))</f>
        <v/>
      </c>
      <c r="C67" s="178" t="str">
        <f ca="1">Start.listina!$AL75</f>
        <v/>
      </c>
      <c r="D67" s="176" t="str">
        <f ca="1">IF(A67&gt;Start.listina!$K$7,"",INT((A67-1)/$M$2)+1)</f>
        <v/>
      </c>
      <c r="E67" s="490" t="str">
        <f ca="1">IF(A67&gt;Start.listina!$K$7,"",MIN(F67:L67))</f>
        <v/>
      </c>
      <c r="F67" s="176">
        <f ca="1">IF(TYPE(VLOOKUP(C67,Konečné_pořadí_1_16!$B$2:$D$17,3,0))&lt;4,VLOOKUP(C67,Konečné_pořadí_1_16!$B$2:$D$17,3,0),999)</f>
        <v>999</v>
      </c>
      <c r="G67" s="176">
        <f ca="1">IF(TYPE(VLOOKUP(C67,'KO64'!$D$4:$D$129,1,0))&lt;4,64,999)</f>
        <v>999</v>
      </c>
      <c r="H67" s="176">
        <f ca="1">IF(TYPE(VLOOKUP(C67,'KO32'!$D$4:$D$65,1,0))&lt;4,32,999)</f>
        <v>999</v>
      </c>
      <c r="I67" s="176">
        <f ca="1">IF(TYPE(VLOOKUP(C67,'KO16'!$D$4:$D$33,1,0))&lt;4,16,999)</f>
        <v>999</v>
      </c>
      <c r="J67" s="176">
        <f ca="1">IF(TYPE(VLOOKUP(C67,'KO8'!$D$4:$D$17,1,0))&lt;4,8,999)</f>
        <v>999</v>
      </c>
      <c r="K67" s="176">
        <f ca="1">IF(TYPE(VLOOKUP(C67,'KO4'!$D$4:$D$9,1,0))&lt;4,4,999)</f>
        <v>999</v>
      </c>
      <c r="L67" s="176">
        <f ca="1">Start.listina!$K$7</f>
        <v>16</v>
      </c>
      <c r="N67" s="176"/>
      <c r="O67" s="176"/>
      <c r="P67" s="176"/>
      <c r="Q67" s="176"/>
      <c r="R67" s="176"/>
      <c r="S67" s="176"/>
      <c r="T67" s="176"/>
      <c r="U67" s="176"/>
      <c r="V67" s="176"/>
      <c r="W67" s="176"/>
      <c r="X67" s="176"/>
      <c r="Y67" s="176"/>
      <c r="Z67" s="176"/>
      <c r="AA67" s="176"/>
      <c r="AB67" s="176"/>
      <c r="AC67" s="176"/>
      <c r="AD67" s="176"/>
      <c r="AE67" s="176"/>
      <c r="AF67" s="176"/>
      <c r="AG67" s="176"/>
      <c r="AH67" s="176"/>
    </row>
    <row r="68" spans="1:34">
      <c r="A68" t="str">
        <f ca="1">IF(OR(Start.listina!H76&gt;Start.listina!$K$7,Start.listina!G76=1),"",Start.listina!H76)</f>
        <v/>
      </c>
      <c r="B68" s="176" t="str">
        <f ca="1">IF(A68&gt;Start.listina!$K$7,"",ADDRESS(INT((A68-1)/$M$2)+1,IF(MOD(A68,$M$2)=0,IF(MOD(INT((A68-1)/$M$2)+1,2)=1,$M$2,1),IF(MOD(INT((A68-1)/$M$2)+1,2)=1,MOD(A68,$M$2),$M$2-MOD(A68,$M$2)+1)),4,1))</f>
        <v/>
      </c>
      <c r="C68" s="178" t="str">
        <f ca="1">Start.listina!$AL76</f>
        <v/>
      </c>
      <c r="D68" s="176" t="str">
        <f ca="1">IF(A68&gt;Start.listina!$K$7,"",INT((A68-1)/$M$2)+1)</f>
        <v/>
      </c>
      <c r="E68" s="490" t="str">
        <f ca="1">IF(A68&gt;Start.listina!$K$7,"",MIN(F68:L68))</f>
        <v/>
      </c>
      <c r="F68" s="176">
        <f ca="1">IF(TYPE(VLOOKUP(C68,Konečné_pořadí_1_16!$B$2:$D$17,3,0))&lt;4,VLOOKUP(C68,Konečné_pořadí_1_16!$B$2:$D$17,3,0),999)</f>
        <v>999</v>
      </c>
      <c r="G68" s="176">
        <f ca="1">IF(TYPE(VLOOKUP(C68,'KO64'!$D$4:$D$129,1,0))&lt;4,64,999)</f>
        <v>999</v>
      </c>
      <c r="H68" s="176">
        <f ca="1">IF(TYPE(VLOOKUP(C68,'KO32'!$D$4:$D$65,1,0))&lt;4,32,999)</f>
        <v>999</v>
      </c>
      <c r="I68" s="176">
        <f ca="1">IF(TYPE(VLOOKUP(C68,'KO16'!$D$4:$D$33,1,0))&lt;4,16,999)</f>
        <v>999</v>
      </c>
      <c r="J68" s="176">
        <f ca="1">IF(TYPE(VLOOKUP(C68,'KO8'!$D$4:$D$17,1,0))&lt;4,8,999)</f>
        <v>999</v>
      </c>
      <c r="K68" s="176">
        <f ca="1">IF(TYPE(VLOOKUP(C68,'KO4'!$D$4:$D$9,1,0))&lt;4,4,999)</f>
        <v>999</v>
      </c>
      <c r="L68" s="176">
        <f ca="1">Start.listina!$K$7</f>
        <v>16</v>
      </c>
      <c r="N68" s="176"/>
      <c r="O68" s="176"/>
      <c r="P68" s="176"/>
      <c r="Q68" s="176"/>
      <c r="R68" s="176"/>
      <c r="S68" s="176"/>
      <c r="T68" s="176"/>
      <c r="U68" s="176"/>
      <c r="V68" s="176"/>
      <c r="W68" s="176"/>
      <c r="X68" s="176"/>
      <c r="Y68" s="176"/>
      <c r="Z68" s="176"/>
      <c r="AA68" s="176"/>
      <c r="AB68" s="176"/>
      <c r="AC68" s="176"/>
      <c r="AD68" s="176"/>
      <c r="AE68" s="176"/>
      <c r="AF68" s="176"/>
      <c r="AG68" s="176"/>
      <c r="AH68" s="176"/>
    </row>
    <row r="69" spans="1:34">
      <c r="A69" t="str">
        <f ca="1">IF(OR(Start.listina!H77&gt;Start.listina!$K$7,Start.listina!G77=1),"",Start.listina!H77)</f>
        <v/>
      </c>
      <c r="B69" s="176" t="str">
        <f ca="1">IF(A69&gt;Start.listina!$K$7,"",ADDRESS(INT((A69-1)/$M$2)+1,IF(MOD(A69,$M$2)=0,IF(MOD(INT((A69-1)/$M$2)+1,2)=1,$M$2,1),IF(MOD(INT((A69-1)/$M$2)+1,2)=1,MOD(A69,$M$2),$M$2-MOD(A69,$M$2)+1)),4,1))</f>
        <v/>
      </c>
      <c r="C69" s="178" t="str">
        <f ca="1">Start.listina!$AL77</f>
        <v/>
      </c>
      <c r="D69" s="176" t="str">
        <f ca="1">IF(A69&gt;Start.listina!$K$7,"",INT((A69-1)/$M$2)+1)</f>
        <v/>
      </c>
      <c r="E69" s="490" t="str">
        <f ca="1">IF(A69&gt;Start.listina!$K$7,"",MIN(F69:L69))</f>
        <v/>
      </c>
      <c r="F69" s="176">
        <f ca="1">IF(TYPE(VLOOKUP(C69,Konečné_pořadí_1_16!$B$2:$D$17,3,0))&lt;4,VLOOKUP(C69,Konečné_pořadí_1_16!$B$2:$D$17,3,0),999)</f>
        <v>999</v>
      </c>
      <c r="G69" s="176">
        <f ca="1">IF(TYPE(VLOOKUP(C69,'KO64'!$D$4:$D$129,1,0))&lt;4,64,999)</f>
        <v>999</v>
      </c>
      <c r="H69" s="176">
        <f ca="1">IF(TYPE(VLOOKUP(C69,'KO32'!$D$4:$D$65,1,0))&lt;4,32,999)</f>
        <v>999</v>
      </c>
      <c r="I69" s="176">
        <f ca="1">IF(TYPE(VLOOKUP(C69,'KO16'!$D$4:$D$33,1,0))&lt;4,16,999)</f>
        <v>999</v>
      </c>
      <c r="J69" s="176">
        <f ca="1">IF(TYPE(VLOOKUP(C69,'KO8'!$D$4:$D$17,1,0))&lt;4,8,999)</f>
        <v>999</v>
      </c>
      <c r="K69" s="176">
        <f ca="1">IF(TYPE(VLOOKUP(C69,'KO4'!$D$4:$D$9,1,0))&lt;4,4,999)</f>
        <v>999</v>
      </c>
      <c r="L69" s="176">
        <f ca="1">Start.listina!$K$7</f>
        <v>16</v>
      </c>
      <c r="N69" s="176"/>
      <c r="O69" s="176"/>
      <c r="P69" s="176"/>
      <c r="Q69" s="176"/>
      <c r="R69" s="176"/>
      <c r="S69" s="176"/>
      <c r="T69" s="176"/>
      <c r="U69" s="176"/>
      <c r="V69" s="176"/>
      <c r="W69" s="176"/>
      <c r="X69" s="176"/>
      <c r="Y69" s="176"/>
      <c r="Z69" s="176"/>
      <c r="AA69" s="176"/>
      <c r="AB69" s="176"/>
      <c r="AC69" s="176"/>
      <c r="AD69" s="176"/>
      <c r="AE69" s="176"/>
      <c r="AF69" s="176"/>
      <c r="AG69" s="176"/>
      <c r="AH69" s="176"/>
    </row>
    <row r="70" spans="1:34">
      <c r="A70" t="str">
        <f ca="1">IF(OR(Start.listina!H78&gt;Start.listina!$K$7,Start.listina!G78=1),"",Start.listina!H78)</f>
        <v/>
      </c>
      <c r="B70" s="176" t="str">
        <f ca="1">IF(A70&gt;Start.listina!$K$7,"",ADDRESS(INT((A70-1)/$M$2)+1,IF(MOD(A70,$M$2)=0,IF(MOD(INT((A70-1)/$M$2)+1,2)=1,$M$2,1),IF(MOD(INT((A70-1)/$M$2)+1,2)=1,MOD(A70,$M$2),$M$2-MOD(A70,$M$2)+1)),4,1))</f>
        <v/>
      </c>
      <c r="C70" s="178" t="str">
        <f ca="1">Start.listina!$AL78</f>
        <v/>
      </c>
      <c r="D70" s="176" t="str">
        <f ca="1">IF(A70&gt;Start.listina!$K$7,"",INT((A70-1)/$M$2)+1)</f>
        <v/>
      </c>
      <c r="E70" s="490" t="str">
        <f ca="1">IF(A70&gt;Start.listina!$K$7,"",MIN(F70:L70))</f>
        <v/>
      </c>
      <c r="F70" s="176">
        <f ca="1">IF(TYPE(VLOOKUP(C70,Konečné_pořadí_1_16!$B$2:$D$17,3,0))&lt;4,VLOOKUP(C70,Konečné_pořadí_1_16!$B$2:$D$17,3,0),999)</f>
        <v>999</v>
      </c>
      <c r="G70" s="176">
        <f ca="1">IF(TYPE(VLOOKUP(C70,'KO64'!$D$4:$D$129,1,0))&lt;4,64,999)</f>
        <v>999</v>
      </c>
      <c r="H70" s="176">
        <f ca="1">IF(TYPE(VLOOKUP(C70,'KO32'!$D$4:$D$65,1,0))&lt;4,32,999)</f>
        <v>999</v>
      </c>
      <c r="I70" s="176">
        <f ca="1">IF(TYPE(VLOOKUP(C70,'KO16'!$D$4:$D$33,1,0))&lt;4,16,999)</f>
        <v>999</v>
      </c>
      <c r="J70" s="176">
        <f ca="1">IF(TYPE(VLOOKUP(C70,'KO8'!$D$4:$D$17,1,0))&lt;4,8,999)</f>
        <v>999</v>
      </c>
      <c r="K70" s="176">
        <f ca="1">IF(TYPE(VLOOKUP(C70,'KO4'!$D$4:$D$9,1,0))&lt;4,4,999)</f>
        <v>999</v>
      </c>
      <c r="L70" s="176">
        <f ca="1">Start.listina!$K$7</f>
        <v>16</v>
      </c>
      <c r="N70" s="176"/>
      <c r="O70" s="176"/>
      <c r="P70" s="176"/>
      <c r="Q70" s="176"/>
      <c r="R70" s="176"/>
      <c r="S70" s="176"/>
      <c r="T70" s="176"/>
      <c r="U70" s="176"/>
      <c r="V70" s="176"/>
      <c r="W70" s="176"/>
      <c r="X70" s="176"/>
      <c r="Y70" s="176"/>
      <c r="Z70" s="176"/>
      <c r="AA70" s="176"/>
      <c r="AB70" s="176"/>
      <c r="AC70" s="176"/>
      <c r="AD70" s="176"/>
      <c r="AE70" s="176"/>
      <c r="AF70" s="176"/>
      <c r="AG70" s="176"/>
      <c r="AH70" s="176"/>
    </row>
    <row r="71" spans="1:34">
      <c r="A71" t="str">
        <f ca="1">IF(OR(Start.listina!H79&gt;Start.listina!$K$7,Start.listina!G79=1),"",Start.listina!H79)</f>
        <v/>
      </c>
      <c r="B71" s="176" t="str">
        <f ca="1">IF(A71&gt;Start.listina!$K$7,"",ADDRESS(INT((A71-1)/$M$2)+1,IF(MOD(A71,$M$2)=0,IF(MOD(INT((A71-1)/$M$2)+1,2)=1,$M$2,1),IF(MOD(INT((A71-1)/$M$2)+1,2)=1,MOD(A71,$M$2),$M$2-MOD(A71,$M$2)+1)),4,1))</f>
        <v/>
      </c>
      <c r="C71" s="178" t="str">
        <f ca="1">Start.listina!$AL79</f>
        <v/>
      </c>
      <c r="D71" s="176" t="str">
        <f ca="1">IF(A71&gt;Start.listina!$K$7,"",INT((A71-1)/$M$2)+1)</f>
        <v/>
      </c>
      <c r="E71" s="490" t="str">
        <f ca="1">IF(A71&gt;Start.listina!$K$7,"",MIN(F71:L71))</f>
        <v/>
      </c>
      <c r="F71" s="176">
        <f ca="1">IF(TYPE(VLOOKUP(C71,Konečné_pořadí_1_16!$B$2:$D$17,3,0))&lt;4,VLOOKUP(C71,Konečné_pořadí_1_16!$B$2:$D$17,3,0),999)</f>
        <v>999</v>
      </c>
      <c r="G71" s="176">
        <f ca="1">IF(TYPE(VLOOKUP(C71,'KO64'!$D$4:$D$129,1,0))&lt;4,64,999)</f>
        <v>999</v>
      </c>
      <c r="H71" s="176">
        <f ca="1">IF(TYPE(VLOOKUP(C71,'KO32'!$D$4:$D$65,1,0))&lt;4,32,999)</f>
        <v>999</v>
      </c>
      <c r="I71" s="176">
        <f ca="1">IF(TYPE(VLOOKUP(C71,'KO16'!$D$4:$D$33,1,0))&lt;4,16,999)</f>
        <v>999</v>
      </c>
      <c r="J71" s="176">
        <f ca="1">IF(TYPE(VLOOKUP(C71,'KO8'!$D$4:$D$17,1,0))&lt;4,8,999)</f>
        <v>999</v>
      </c>
      <c r="K71" s="176">
        <f ca="1">IF(TYPE(VLOOKUP(C71,'KO4'!$D$4:$D$9,1,0))&lt;4,4,999)</f>
        <v>999</v>
      </c>
      <c r="L71" s="176">
        <f ca="1">Start.listina!$K$7</f>
        <v>16</v>
      </c>
      <c r="N71" s="176"/>
      <c r="O71" s="176"/>
      <c r="P71" s="176"/>
      <c r="Q71" s="176"/>
      <c r="R71" s="176"/>
      <c r="S71" s="176"/>
      <c r="T71" s="176"/>
      <c r="U71" s="176"/>
      <c r="V71" s="176"/>
      <c r="W71" s="176"/>
      <c r="X71" s="176"/>
      <c r="Y71" s="176"/>
      <c r="Z71" s="176"/>
      <c r="AA71" s="176"/>
      <c r="AB71" s="176"/>
      <c r="AC71" s="176"/>
      <c r="AD71" s="176"/>
      <c r="AE71" s="176"/>
      <c r="AF71" s="176"/>
      <c r="AG71" s="176"/>
      <c r="AH71" s="176"/>
    </row>
    <row r="72" spans="1:34">
      <c r="A72" t="str">
        <f ca="1">IF(OR(Start.listina!H80&gt;Start.listina!$K$7,Start.listina!G80=1),"",Start.listina!H80)</f>
        <v/>
      </c>
      <c r="B72" s="176" t="str">
        <f ca="1">IF(A72&gt;Start.listina!$K$7,"",ADDRESS(INT((A72-1)/$M$2)+1,IF(MOD(A72,$M$2)=0,IF(MOD(INT((A72-1)/$M$2)+1,2)=1,$M$2,1),IF(MOD(INT((A72-1)/$M$2)+1,2)=1,MOD(A72,$M$2),$M$2-MOD(A72,$M$2)+1)),4,1))</f>
        <v/>
      </c>
      <c r="C72" s="178" t="str">
        <f ca="1">Start.listina!$AL80</f>
        <v/>
      </c>
      <c r="D72" s="176" t="str">
        <f ca="1">IF(A72&gt;Start.listina!$K$7,"",INT((A72-1)/$M$2)+1)</f>
        <v/>
      </c>
      <c r="E72" s="490" t="str">
        <f ca="1">IF(A72&gt;Start.listina!$K$7,"",MIN(F72:L72))</f>
        <v/>
      </c>
      <c r="F72" s="176">
        <f ca="1">IF(TYPE(VLOOKUP(C72,Konečné_pořadí_1_16!$B$2:$D$17,3,0))&lt;4,VLOOKUP(C72,Konečné_pořadí_1_16!$B$2:$D$17,3,0),999)</f>
        <v>999</v>
      </c>
      <c r="G72" s="176">
        <f ca="1">IF(TYPE(VLOOKUP(C72,'KO64'!$D$4:$D$129,1,0))&lt;4,64,999)</f>
        <v>999</v>
      </c>
      <c r="H72" s="176">
        <f ca="1">IF(TYPE(VLOOKUP(C72,'KO32'!$D$4:$D$65,1,0))&lt;4,32,999)</f>
        <v>999</v>
      </c>
      <c r="I72" s="176">
        <f ca="1">IF(TYPE(VLOOKUP(C72,'KO16'!$D$4:$D$33,1,0))&lt;4,16,999)</f>
        <v>999</v>
      </c>
      <c r="J72" s="176">
        <f ca="1">IF(TYPE(VLOOKUP(C72,'KO8'!$D$4:$D$17,1,0))&lt;4,8,999)</f>
        <v>999</v>
      </c>
      <c r="K72" s="176">
        <f ca="1">IF(TYPE(VLOOKUP(C72,'KO4'!$D$4:$D$9,1,0))&lt;4,4,999)</f>
        <v>999</v>
      </c>
      <c r="L72" s="176">
        <f ca="1">Start.listina!$K$7</f>
        <v>16</v>
      </c>
      <c r="N72" s="176"/>
      <c r="O72" s="176"/>
      <c r="P72" s="176"/>
      <c r="Q72" s="176"/>
      <c r="R72" s="176"/>
      <c r="S72" s="176"/>
      <c r="T72" s="176"/>
      <c r="U72" s="176"/>
      <c r="V72" s="176"/>
      <c r="W72" s="176"/>
      <c r="X72" s="176"/>
      <c r="Y72" s="176"/>
      <c r="Z72" s="176"/>
      <c r="AA72" s="176"/>
      <c r="AB72" s="176"/>
      <c r="AC72" s="176"/>
      <c r="AD72" s="176"/>
      <c r="AE72" s="176"/>
      <c r="AF72" s="176"/>
      <c r="AG72" s="176"/>
      <c r="AH72" s="176"/>
    </row>
    <row r="73" spans="1:34">
      <c r="A73" t="str">
        <f ca="1">IF(OR(Start.listina!H81&gt;Start.listina!$K$7,Start.listina!G81=1),"",Start.listina!H81)</f>
        <v/>
      </c>
      <c r="B73" s="176" t="str">
        <f ca="1">IF(A73&gt;Start.listina!$K$7,"",ADDRESS(INT((A73-1)/$M$2)+1,IF(MOD(A73,$M$2)=0,IF(MOD(INT((A73-1)/$M$2)+1,2)=1,$M$2,1),IF(MOD(INT((A73-1)/$M$2)+1,2)=1,MOD(A73,$M$2),$M$2-MOD(A73,$M$2)+1)),4,1))</f>
        <v/>
      </c>
      <c r="C73" s="178" t="str">
        <f ca="1">Start.listina!$AL81</f>
        <v/>
      </c>
      <c r="D73" s="176" t="str">
        <f ca="1">IF(A73&gt;Start.listina!$K$7,"",INT((A73-1)/$M$2)+1)</f>
        <v/>
      </c>
      <c r="E73" s="490" t="str">
        <f ca="1">IF(A73&gt;Start.listina!$K$7,"",MIN(F73:L73))</f>
        <v/>
      </c>
      <c r="F73" s="176">
        <f ca="1">IF(TYPE(VLOOKUP(C73,Konečné_pořadí_1_16!$B$2:$D$17,3,0))&lt;4,VLOOKUP(C73,Konečné_pořadí_1_16!$B$2:$D$17,3,0),999)</f>
        <v>999</v>
      </c>
      <c r="G73" s="176">
        <f ca="1">IF(TYPE(VLOOKUP(C73,'KO64'!$D$4:$D$129,1,0))&lt;4,64,999)</f>
        <v>999</v>
      </c>
      <c r="H73" s="176">
        <f ca="1">IF(TYPE(VLOOKUP(C73,'KO32'!$D$4:$D$65,1,0))&lt;4,32,999)</f>
        <v>999</v>
      </c>
      <c r="I73" s="176">
        <f ca="1">IF(TYPE(VLOOKUP(C73,'KO16'!$D$4:$D$33,1,0))&lt;4,16,999)</f>
        <v>999</v>
      </c>
      <c r="J73" s="176">
        <f ca="1">IF(TYPE(VLOOKUP(C73,'KO8'!$D$4:$D$17,1,0))&lt;4,8,999)</f>
        <v>999</v>
      </c>
      <c r="K73" s="176">
        <f ca="1">IF(TYPE(VLOOKUP(C73,'KO4'!$D$4:$D$9,1,0))&lt;4,4,999)</f>
        <v>999</v>
      </c>
      <c r="L73" s="176">
        <f ca="1">Start.listina!$K$7</f>
        <v>16</v>
      </c>
      <c r="N73" s="176"/>
      <c r="O73" s="176"/>
      <c r="P73" s="176"/>
      <c r="Q73" s="176"/>
      <c r="R73" s="176"/>
      <c r="S73" s="176"/>
      <c r="T73" s="176"/>
      <c r="U73" s="176"/>
      <c r="V73" s="176"/>
      <c r="W73" s="176"/>
      <c r="X73" s="176"/>
      <c r="Y73" s="176"/>
      <c r="Z73" s="176"/>
      <c r="AA73" s="176"/>
      <c r="AB73" s="176"/>
      <c r="AC73" s="176"/>
      <c r="AD73" s="176"/>
      <c r="AE73" s="176"/>
      <c r="AF73" s="176"/>
      <c r="AG73" s="176"/>
      <c r="AH73" s="176"/>
    </row>
    <row r="74" spans="1:34">
      <c r="A74" t="str">
        <f ca="1">IF(OR(Start.listina!H82&gt;Start.listina!$K$7,Start.listina!G82=1),"",Start.listina!H82)</f>
        <v/>
      </c>
      <c r="B74" s="176" t="str">
        <f ca="1">IF(A74&gt;Start.listina!$K$7,"",ADDRESS(INT((A74-1)/$M$2)+1,IF(MOD(A74,$M$2)=0,IF(MOD(INT((A74-1)/$M$2)+1,2)=1,$M$2,1),IF(MOD(INT((A74-1)/$M$2)+1,2)=1,MOD(A74,$M$2),$M$2-MOD(A74,$M$2)+1)),4,1))</f>
        <v/>
      </c>
      <c r="C74" s="178" t="str">
        <f ca="1">Start.listina!$AL82</f>
        <v/>
      </c>
      <c r="D74" s="176" t="str">
        <f ca="1">IF(A74&gt;Start.listina!$K$7,"",INT((A74-1)/$M$2)+1)</f>
        <v/>
      </c>
      <c r="E74" s="490" t="str">
        <f ca="1">IF(A74&gt;Start.listina!$K$7,"",MIN(F74:L74))</f>
        <v/>
      </c>
      <c r="F74" s="176">
        <f ca="1">IF(TYPE(VLOOKUP(C74,Konečné_pořadí_1_16!$B$2:$D$17,3,0))&lt;4,VLOOKUP(C74,Konečné_pořadí_1_16!$B$2:$D$17,3,0),999)</f>
        <v>999</v>
      </c>
      <c r="G74" s="176">
        <f ca="1">IF(TYPE(VLOOKUP(C74,'KO64'!$D$4:$D$129,1,0))&lt;4,64,999)</f>
        <v>999</v>
      </c>
      <c r="H74" s="176">
        <f ca="1">IF(TYPE(VLOOKUP(C74,'KO32'!$D$4:$D$65,1,0))&lt;4,32,999)</f>
        <v>999</v>
      </c>
      <c r="I74" s="176">
        <f ca="1">IF(TYPE(VLOOKUP(C74,'KO16'!$D$4:$D$33,1,0))&lt;4,16,999)</f>
        <v>999</v>
      </c>
      <c r="J74" s="176">
        <f ca="1">IF(TYPE(VLOOKUP(C74,'KO8'!$D$4:$D$17,1,0))&lt;4,8,999)</f>
        <v>999</v>
      </c>
      <c r="K74" s="176">
        <f ca="1">IF(TYPE(VLOOKUP(C74,'KO4'!$D$4:$D$9,1,0))&lt;4,4,999)</f>
        <v>999</v>
      </c>
      <c r="L74" s="176">
        <f ca="1">Start.listina!$K$7</f>
        <v>16</v>
      </c>
      <c r="N74" s="176"/>
      <c r="O74" s="176"/>
      <c r="P74" s="176"/>
      <c r="Q74" s="176"/>
      <c r="R74" s="176"/>
      <c r="S74" s="176"/>
      <c r="T74" s="176"/>
      <c r="U74" s="176"/>
      <c r="V74" s="176"/>
      <c r="W74" s="176"/>
      <c r="X74" s="176"/>
      <c r="Y74" s="176"/>
      <c r="Z74" s="176"/>
      <c r="AA74" s="176"/>
      <c r="AB74" s="176"/>
      <c r="AC74" s="176"/>
      <c r="AD74" s="176"/>
      <c r="AE74" s="176"/>
      <c r="AF74" s="176"/>
      <c r="AG74" s="176"/>
      <c r="AH74" s="176"/>
    </row>
    <row r="75" spans="1:34">
      <c r="A75" t="str">
        <f ca="1">IF(OR(Start.listina!H83&gt;Start.listina!$K$7,Start.listina!G83=1),"",Start.listina!H83)</f>
        <v/>
      </c>
      <c r="B75" s="176" t="str">
        <f ca="1">IF(A75&gt;Start.listina!$K$7,"",ADDRESS(INT((A75-1)/$M$2)+1,IF(MOD(A75,$M$2)=0,IF(MOD(INT((A75-1)/$M$2)+1,2)=1,$M$2,1),IF(MOD(INT((A75-1)/$M$2)+1,2)=1,MOD(A75,$M$2),$M$2-MOD(A75,$M$2)+1)),4,1))</f>
        <v/>
      </c>
      <c r="C75" s="178" t="str">
        <f ca="1">Start.listina!$AL83</f>
        <v/>
      </c>
      <c r="D75" s="176" t="str">
        <f ca="1">IF(A75&gt;Start.listina!$K$7,"",INT((A75-1)/$M$2)+1)</f>
        <v/>
      </c>
      <c r="E75" s="490" t="str">
        <f ca="1">IF(A75&gt;Start.listina!$K$7,"",MIN(F75:L75))</f>
        <v/>
      </c>
      <c r="F75" s="176">
        <f ca="1">IF(TYPE(VLOOKUP(C75,Konečné_pořadí_1_16!$B$2:$D$17,3,0))&lt;4,VLOOKUP(C75,Konečné_pořadí_1_16!$B$2:$D$17,3,0),999)</f>
        <v>999</v>
      </c>
      <c r="G75" s="176">
        <f ca="1">IF(TYPE(VLOOKUP(C75,'KO64'!$D$4:$D$129,1,0))&lt;4,64,999)</f>
        <v>999</v>
      </c>
      <c r="H75" s="176">
        <f ca="1">IF(TYPE(VLOOKUP(C75,'KO32'!$D$4:$D$65,1,0))&lt;4,32,999)</f>
        <v>999</v>
      </c>
      <c r="I75" s="176">
        <f ca="1">IF(TYPE(VLOOKUP(C75,'KO16'!$D$4:$D$33,1,0))&lt;4,16,999)</f>
        <v>999</v>
      </c>
      <c r="J75" s="176">
        <f ca="1">IF(TYPE(VLOOKUP(C75,'KO8'!$D$4:$D$17,1,0))&lt;4,8,999)</f>
        <v>999</v>
      </c>
      <c r="K75" s="176">
        <f ca="1">IF(TYPE(VLOOKUP(C75,'KO4'!$D$4:$D$9,1,0))&lt;4,4,999)</f>
        <v>999</v>
      </c>
      <c r="L75" s="176">
        <f ca="1">Start.listina!$K$7</f>
        <v>16</v>
      </c>
      <c r="N75" s="176"/>
      <c r="O75" s="176"/>
      <c r="P75" s="176"/>
      <c r="Q75" s="176"/>
      <c r="R75" s="176"/>
      <c r="S75" s="176"/>
      <c r="T75" s="176"/>
      <c r="U75" s="176"/>
      <c r="V75" s="176"/>
      <c r="W75" s="176"/>
      <c r="X75" s="176"/>
      <c r="Y75" s="176"/>
      <c r="Z75" s="176"/>
      <c r="AA75" s="176"/>
      <c r="AB75" s="176"/>
      <c r="AC75" s="176"/>
      <c r="AD75" s="176"/>
      <c r="AE75" s="176"/>
      <c r="AF75" s="176"/>
      <c r="AG75" s="176"/>
      <c r="AH75" s="176"/>
    </row>
    <row r="76" spans="1:34">
      <c r="A76" t="str">
        <f ca="1">IF(OR(Start.listina!H84&gt;Start.listina!$K$7,Start.listina!G84=1),"",Start.listina!H84)</f>
        <v/>
      </c>
      <c r="B76" s="176" t="str">
        <f ca="1">IF(A76&gt;Start.listina!$K$7,"",ADDRESS(INT((A76-1)/$M$2)+1,IF(MOD(A76,$M$2)=0,IF(MOD(INT((A76-1)/$M$2)+1,2)=1,$M$2,1),IF(MOD(INT((A76-1)/$M$2)+1,2)=1,MOD(A76,$M$2),$M$2-MOD(A76,$M$2)+1)),4,1))</f>
        <v/>
      </c>
      <c r="C76" s="178" t="str">
        <f ca="1">Start.listina!$AL84</f>
        <v/>
      </c>
      <c r="D76" s="176" t="str">
        <f ca="1">IF(A76&gt;Start.listina!$K$7,"",INT((A76-1)/$M$2)+1)</f>
        <v/>
      </c>
      <c r="E76" s="490" t="str">
        <f ca="1">IF(A76&gt;Start.listina!$K$7,"",MIN(F76:L76))</f>
        <v/>
      </c>
      <c r="F76" s="176">
        <f ca="1">IF(TYPE(VLOOKUP(C76,Konečné_pořadí_1_16!$B$2:$D$17,3,0))&lt;4,VLOOKUP(C76,Konečné_pořadí_1_16!$B$2:$D$17,3,0),999)</f>
        <v>999</v>
      </c>
      <c r="G76" s="176">
        <f ca="1">IF(TYPE(VLOOKUP(C76,'KO64'!$D$4:$D$129,1,0))&lt;4,64,999)</f>
        <v>999</v>
      </c>
      <c r="H76" s="176">
        <f ca="1">IF(TYPE(VLOOKUP(C76,'KO32'!$D$4:$D$65,1,0))&lt;4,32,999)</f>
        <v>999</v>
      </c>
      <c r="I76" s="176">
        <f ca="1">IF(TYPE(VLOOKUP(C76,'KO16'!$D$4:$D$33,1,0))&lt;4,16,999)</f>
        <v>999</v>
      </c>
      <c r="J76" s="176">
        <f ca="1">IF(TYPE(VLOOKUP(C76,'KO8'!$D$4:$D$17,1,0))&lt;4,8,999)</f>
        <v>999</v>
      </c>
      <c r="K76" s="176">
        <f ca="1">IF(TYPE(VLOOKUP(C76,'KO4'!$D$4:$D$9,1,0))&lt;4,4,999)</f>
        <v>999</v>
      </c>
      <c r="L76" s="176">
        <f ca="1">Start.listina!$K$7</f>
        <v>16</v>
      </c>
      <c r="N76" s="176"/>
      <c r="O76" s="176"/>
      <c r="P76" s="176"/>
      <c r="Q76" s="176"/>
      <c r="R76" s="176"/>
      <c r="S76" s="176"/>
      <c r="T76" s="176"/>
      <c r="U76" s="176"/>
      <c r="V76" s="176"/>
      <c r="W76" s="176"/>
      <c r="X76" s="176"/>
      <c r="Y76" s="176"/>
      <c r="Z76" s="176"/>
      <c r="AA76" s="176"/>
      <c r="AB76" s="176"/>
      <c r="AC76" s="176"/>
      <c r="AD76" s="176"/>
      <c r="AE76" s="176"/>
      <c r="AF76" s="176"/>
      <c r="AG76" s="176"/>
      <c r="AH76" s="176"/>
    </row>
    <row r="77" spans="1:34">
      <c r="A77" t="str">
        <f ca="1">IF(OR(Start.listina!H85&gt;Start.listina!$K$7,Start.listina!G85=1),"",Start.listina!H85)</f>
        <v/>
      </c>
      <c r="B77" s="176" t="str">
        <f ca="1">IF(A77&gt;Start.listina!$K$7,"",ADDRESS(INT((A77-1)/$M$2)+1,IF(MOD(A77,$M$2)=0,IF(MOD(INT((A77-1)/$M$2)+1,2)=1,$M$2,1),IF(MOD(INT((A77-1)/$M$2)+1,2)=1,MOD(A77,$M$2),$M$2-MOD(A77,$M$2)+1)),4,1))</f>
        <v/>
      </c>
      <c r="C77" s="178" t="str">
        <f ca="1">Start.listina!$AL85</f>
        <v/>
      </c>
      <c r="D77" s="176" t="str">
        <f ca="1">IF(A77&gt;Start.listina!$K$7,"",INT((A77-1)/$M$2)+1)</f>
        <v/>
      </c>
      <c r="E77" s="490" t="str">
        <f ca="1">IF(A77&gt;Start.listina!$K$7,"",MIN(F77:L77))</f>
        <v/>
      </c>
      <c r="F77" s="176">
        <f ca="1">IF(TYPE(VLOOKUP(C77,Konečné_pořadí_1_16!$B$2:$D$17,3,0))&lt;4,VLOOKUP(C77,Konečné_pořadí_1_16!$B$2:$D$17,3,0),999)</f>
        <v>999</v>
      </c>
      <c r="G77" s="176">
        <f ca="1">IF(TYPE(VLOOKUP(C77,'KO64'!$D$4:$D$129,1,0))&lt;4,64,999)</f>
        <v>999</v>
      </c>
      <c r="H77" s="176">
        <f ca="1">IF(TYPE(VLOOKUP(C77,'KO32'!$D$4:$D$65,1,0))&lt;4,32,999)</f>
        <v>999</v>
      </c>
      <c r="I77" s="176">
        <f ca="1">IF(TYPE(VLOOKUP(C77,'KO16'!$D$4:$D$33,1,0))&lt;4,16,999)</f>
        <v>999</v>
      </c>
      <c r="J77" s="176">
        <f ca="1">IF(TYPE(VLOOKUP(C77,'KO8'!$D$4:$D$17,1,0))&lt;4,8,999)</f>
        <v>999</v>
      </c>
      <c r="K77" s="176">
        <f ca="1">IF(TYPE(VLOOKUP(C77,'KO4'!$D$4:$D$9,1,0))&lt;4,4,999)</f>
        <v>999</v>
      </c>
      <c r="L77" s="176">
        <f ca="1">Start.listina!$K$7</f>
        <v>16</v>
      </c>
      <c r="N77" s="176"/>
      <c r="O77" s="176"/>
      <c r="P77" s="176"/>
      <c r="Q77" s="176"/>
      <c r="R77" s="176"/>
      <c r="S77" s="176"/>
      <c r="T77" s="176"/>
      <c r="U77" s="176"/>
      <c r="V77" s="176"/>
      <c r="W77" s="176"/>
      <c r="X77" s="176"/>
      <c r="Y77" s="176"/>
      <c r="Z77" s="176"/>
      <c r="AA77" s="176"/>
      <c r="AB77" s="176"/>
      <c r="AC77" s="176"/>
      <c r="AD77" s="176"/>
      <c r="AE77" s="176"/>
      <c r="AF77" s="176"/>
      <c r="AG77" s="176"/>
      <c r="AH77" s="176"/>
    </row>
    <row r="78" spans="1:34">
      <c r="A78" t="str">
        <f ca="1">IF(OR(Start.listina!H86&gt;Start.listina!$K$7,Start.listina!G86=1),"",Start.listina!H86)</f>
        <v/>
      </c>
      <c r="B78" s="176" t="str">
        <f ca="1">IF(A78&gt;Start.listina!$K$7,"",ADDRESS(INT((A78-1)/$M$2)+1,IF(MOD(A78,$M$2)=0,IF(MOD(INT((A78-1)/$M$2)+1,2)=1,$M$2,1),IF(MOD(INT((A78-1)/$M$2)+1,2)=1,MOD(A78,$M$2),$M$2-MOD(A78,$M$2)+1)),4,1))</f>
        <v/>
      </c>
      <c r="C78" s="178" t="str">
        <f ca="1">Start.listina!$AL86</f>
        <v/>
      </c>
      <c r="D78" s="176" t="str">
        <f ca="1">IF(A78&gt;Start.listina!$K$7,"",INT((A78-1)/$M$2)+1)</f>
        <v/>
      </c>
      <c r="E78" s="490" t="str">
        <f ca="1">IF(A78&gt;Start.listina!$K$7,"",MIN(F78:L78))</f>
        <v/>
      </c>
      <c r="F78" s="176">
        <f ca="1">IF(TYPE(VLOOKUP(C78,Konečné_pořadí_1_16!$B$2:$D$17,3,0))&lt;4,VLOOKUP(C78,Konečné_pořadí_1_16!$B$2:$D$17,3,0),999)</f>
        <v>999</v>
      </c>
      <c r="G78" s="176">
        <f ca="1">IF(TYPE(VLOOKUP(C78,'KO64'!$D$4:$D$129,1,0))&lt;4,64,999)</f>
        <v>999</v>
      </c>
      <c r="H78" s="176">
        <f ca="1">IF(TYPE(VLOOKUP(C78,'KO32'!$D$4:$D$65,1,0))&lt;4,32,999)</f>
        <v>999</v>
      </c>
      <c r="I78" s="176">
        <f ca="1">IF(TYPE(VLOOKUP(C78,'KO16'!$D$4:$D$33,1,0))&lt;4,16,999)</f>
        <v>999</v>
      </c>
      <c r="J78" s="176">
        <f ca="1">IF(TYPE(VLOOKUP(C78,'KO8'!$D$4:$D$17,1,0))&lt;4,8,999)</f>
        <v>999</v>
      </c>
      <c r="K78" s="176">
        <f ca="1">IF(TYPE(VLOOKUP(C78,'KO4'!$D$4:$D$9,1,0))&lt;4,4,999)</f>
        <v>999</v>
      </c>
      <c r="L78" s="176">
        <f ca="1">Start.listina!$K$7</f>
        <v>16</v>
      </c>
      <c r="N78" s="176"/>
      <c r="O78" s="176"/>
      <c r="P78" s="176"/>
      <c r="Q78" s="176"/>
      <c r="R78" s="176"/>
      <c r="S78" s="176"/>
      <c r="T78" s="176"/>
      <c r="U78" s="176"/>
      <c r="V78" s="176"/>
      <c r="W78" s="176"/>
      <c r="X78" s="176"/>
      <c r="Y78" s="176"/>
      <c r="Z78" s="176"/>
      <c r="AA78" s="176"/>
      <c r="AB78" s="176"/>
      <c r="AC78" s="176"/>
      <c r="AD78" s="176"/>
      <c r="AE78" s="176"/>
      <c r="AF78" s="176"/>
      <c r="AG78" s="176"/>
      <c r="AH78" s="176"/>
    </row>
    <row r="79" spans="1:34">
      <c r="A79" t="str">
        <f ca="1">IF(OR(Start.listina!H87&gt;Start.listina!$K$7,Start.listina!G87=1),"",Start.listina!H87)</f>
        <v/>
      </c>
      <c r="B79" s="176" t="str">
        <f ca="1">IF(A79&gt;Start.listina!$K$7,"",ADDRESS(INT((A79-1)/$M$2)+1,IF(MOD(A79,$M$2)=0,IF(MOD(INT((A79-1)/$M$2)+1,2)=1,$M$2,1),IF(MOD(INT((A79-1)/$M$2)+1,2)=1,MOD(A79,$M$2),$M$2-MOD(A79,$M$2)+1)),4,1))</f>
        <v/>
      </c>
      <c r="C79" s="178" t="str">
        <f ca="1">Start.listina!$AL87</f>
        <v/>
      </c>
      <c r="D79" s="176" t="str">
        <f ca="1">IF(A79&gt;Start.listina!$K$7,"",INT((A79-1)/$M$2)+1)</f>
        <v/>
      </c>
      <c r="E79" s="490" t="str">
        <f ca="1">IF(A79&gt;Start.listina!$K$7,"",MIN(F79:L79))</f>
        <v/>
      </c>
      <c r="F79" s="176">
        <f ca="1">IF(TYPE(VLOOKUP(C79,Konečné_pořadí_1_16!$B$2:$D$17,3,0))&lt;4,VLOOKUP(C79,Konečné_pořadí_1_16!$B$2:$D$17,3,0),999)</f>
        <v>999</v>
      </c>
      <c r="G79" s="176">
        <f ca="1">IF(TYPE(VLOOKUP(C79,'KO64'!$D$4:$D$129,1,0))&lt;4,64,999)</f>
        <v>999</v>
      </c>
      <c r="H79" s="176">
        <f ca="1">IF(TYPE(VLOOKUP(C79,'KO32'!$D$4:$D$65,1,0))&lt;4,32,999)</f>
        <v>999</v>
      </c>
      <c r="I79" s="176">
        <f ca="1">IF(TYPE(VLOOKUP(C79,'KO16'!$D$4:$D$33,1,0))&lt;4,16,999)</f>
        <v>999</v>
      </c>
      <c r="J79" s="176">
        <f ca="1">IF(TYPE(VLOOKUP(C79,'KO8'!$D$4:$D$17,1,0))&lt;4,8,999)</f>
        <v>999</v>
      </c>
      <c r="K79" s="176">
        <f ca="1">IF(TYPE(VLOOKUP(C79,'KO4'!$D$4:$D$9,1,0))&lt;4,4,999)</f>
        <v>999</v>
      </c>
      <c r="L79" s="176">
        <f ca="1">Start.listina!$K$7</f>
        <v>16</v>
      </c>
      <c r="N79" s="176"/>
      <c r="O79" s="176"/>
      <c r="P79" s="176"/>
      <c r="Q79" s="176"/>
      <c r="R79" s="176"/>
      <c r="S79" s="176"/>
      <c r="T79" s="176"/>
      <c r="U79" s="176"/>
      <c r="V79" s="176"/>
      <c r="W79" s="176"/>
      <c r="X79" s="176"/>
      <c r="Y79" s="176"/>
      <c r="Z79" s="176"/>
      <c r="AA79" s="176"/>
      <c r="AB79" s="176"/>
      <c r="AC79" s="176"/>
      <c r="AD79" s="176"/>
      <c r="AE79" s="176"/>
      <c r="AF79" s="176"/>
      <c r="AG79" s="176"/>
      <c r="AH79" s="176"/>
    </row>
    <row r="80" spans="1:34">
      <c r="A80" t="str">
        <f ca="1">IF(OR(Start.listina!H88&gt;Start.listina!$K$7,Start.listina!G88=1),"",Start.listina!H88)</f>
        <v/>
      </c>
      <c r="B80" s="176" t="str">
        <f ca="1">IF(A80&gt;Start.listina!$K$7,"",ADDRESS(INT((A80-1)/$M$2)+1,IF(MOD(A80,$M$2)=0,IF(MOD(INT((A80-1)/$M$2)+1,2)=1,$M$2,1),IF(MOD(INT((A80-1)/$M$2)+1,2)=1,MOD(A80,$M$2),$M$2-MOD(A80,$M$2)+1)),4,1))</f>
        <v/>
      </c>
      <c r="C80" s="178" t="str">
        <f ca="1">Start.listina!$AL88</f>
        <v/>
      </c>
      <c r="D80" s="176" t="str">
        <f ca="1">IF(A80&gt;Start.listina!$K$7,"",INT((A80-1)/$M$2)+1)</f>
        <v/>
      </c>
      <c r="E80" s="490" t="str">
        <f ca="1">IF(A80&gt;Start.listina!$K$7,"",MIN(F80:L80))</f>
        <v/>
      </c>
      <c r="F80" s="176">
        <f ca="1">IF(TYPE(VLOOKUP(C80,Konečné_pořadí_1_16!$B$2:$D$17,3,0))&lt;4,VLOOKUP(C80,Konečné_pořadí_1_16!$B$2:$D$17,3,0),999)</f>
        <v>999</v>
      </c>
      <c r="G80" s="176">
        <f ca="1">IF(TYPE(VLOOKUP(C80,'KO64'!$D$4:$D$129,1,0))&lt;4,64,999)</f>
        <v>999</v>
      </c>
      <c r="H80" s="176">
        <f ca="1">IF(TYPE(VLOOKUP(C80,'KO32'!$D$4:$D$65,1,0))&lt;4,32,999)</f>
        <v>999</v>
      </c>
      <c r="I80" s="176">
        <f ca="1">IF(TYPE(VLOOKUP(C80,'KO16'!$D$4:$D$33,1,0))&lt;4,16,999)</f>
        <v>999</v>
      </c>
      <c r="J80" s="176">
        <f ca="1">IF(TYPE(VLOOKUP(C80,'KO8'!$D$4:$D$17,1,0))&lt;4,8,999)</f>
        <v>999</v>
      </c>
      <c r="K80" s="176">
        <f ca="1">IF(TYPE(VLOOKUP(C80,'KO4'!$D$4:$D$9,1,0))&lt;4,4,999)</f>
        <v>999</v>
      </c>
      <c r="L80" s="176">
        <f ca="1">Start.listina!$K$7</f>
        <v>16</v>
      </c>
      <c r="N80" s="176"/>
      <c r="O80" s="176"/>
      <c r="P80" s="176"/>
      <c r="Q80" s="176"/>
      <c r="R80" s="176"/>
      <c r="S80" s="176"/>
      <c r="T80" s="176"/>
      <c r="U80" s="176"/>
      <c r="V80" s="176"/>
      <c r="W80" s="176"/>
      <c r="X80" s="176"/>
      <c r="Y80" s="176"/>
      <c r="Z80" s="176"/>
      <c r="AA80" s="176"/>
      <c r="AB80" s="176"/>
      <c r="AC80" s="176"/>
      <c r="AD80" s="176"/>
      <c r="AE80" s="176"/>
      <c r="AF80" s="176"/>
      <c r="AG80" s="176"/>
      <c r="AH80" s="176"/>
    </row>
    <row r="81" spans="1:34">
      <c r="A81" t="str">
        <f ca="1">IF(OR(Start.listina!H89&gt;Start.listina!$K$7,Start.listina!G89=1),"",Start.listina!H89)</f>
        <v/>
      </c>
      <c r="B81" s="176" t="str">
        <f ca="1">IF(A81&gt;Start.listina!$K$7,"",ADDRESS(INT((A81-1)/$M$2)+1,IF(MOD(A81,$M$2)=0,IF(MOD(INT((A81-1)/$M$2)+1,2)=1,$M$2,1),IF(MOD(INT((A81-1)/$M$2)+1,2)=1,MOD(A81,$M$2),$M$2-MOD(A81,$M$2)+1)),4,1))</f>
        <v/>
      </c>
      <c r="C81" s="178" t="str">
        <f ca="1">Start.listina!$AL89</f>
        <v/>
      </c>
      <c r="D81" s="176" t="str">
        <f ca="1">IF(A81&gt;Start.listina!$K$7,"",INT((A81-1)/$M$2)+1)</f>
        <v/>
      </c>
      <c r="E81" s="490" t="str">
        <f ca="1">IF(A81&gt;Start.listina!$K$7,"",MIN(F81:L81))</f>
        <v/>
      </c>
      <c r="F81" s="176">
        <f ca="1">IF(TYPE(VLOOKUP(C81,Konečné_pořadí_1_16!$B$2:$D$17,3,0))&lt;4,VLOOKUP(C81,Konečné_pořadí_1_16!$B$2:$D$17,3,0),999)</f>
        <v>999</v>
      </c>
      <c r="G81" s="176">
        <f ca="1">IF(TYPE(VLOOKUP(C81,'KO64'!$D$4:$D$129,1,0))&lt;4,64,999)</f>
        <v>999</v>
      </c>
      <c r="H81" s="176">
        <f ca="1">IF(TYPE(VLOOKUP(C81,'KO32'!$D$4:$D$65,1,0))&lt;4,32,999)</f>
        <v>999</v>
      </c>
      <c r="I81" s="176">
        <f ca="1">IF(TYPE(VLOOKUP(C81,'KO16'!$D$4:$D$33,1,0))&lt;4,16,999)</f>
        <v>999</v>
      </c>
      <c r="J81" s="176">
        <f ca="1">IF(TYPE(VLOOKUP(C81,'KO8'!$D$4:$D$17,1,0))&lt;4,8,999)</f>
        <v>999</v>
      </c>
      <c r="K81" s="176">
        <f ca="1">IF(TYPE(VLOOKUP(C81,'KO4'!$D$4:$D$9,1,0))&lt;4,4,999)</f>
        <v>999</v>
      </c>
      <c r="L81" s="176">
        <f ca="1">Start.listina!$K$7</f>
        <v>16</v>
      </c>
      <c r="N81" s="176"/>
      <c r="O81" s="176"/>
      <c r="P81" s="176"/>
      <c r="Q81" s="176"/>
      <c r="R81" s="176"/>
      <c r="S81" s="176"/>
      <c r="T81" s="176"/>
      <c r="U81" s="176"/>
      <c r="V81" s="176"/>
      <c r="W81" s="176"/>
      <c r="X81" s="176"/>
      <c r="Y81" s="176"/>
      <c r="Z81" s="176"/>
      <c r="AA81" s="176"/>
      <c r="AB81" s="176"/>
      <c r="AC81" s="176"/>
      <c r="AD81" s="176"/>
      <c r="AE81" s="176"/>
      <c r="AF81" s="176"/>
      <c r="AG81" s="176"/>
      <c r="AH81" s="176"/>
    </row>
    <row r="82" spans="1:34">
      <c r="A82" t="str">
        <f ca="1">IF(OR(Start.listina!H90&gt;Start.listina!$K$7,Start.listina!G90=1),"",Start.listina!H90)</f>
        <v/>
      </c>
      <c r="B82" s="176" t="str">
        <f ca="1">IF(A82&gt;Start.listina!$K$7,"",ADDRESS(INT((A82-1)/$M$2)+1,IF(MOD(A82,$M$2)=0,IF(MOD(INT((A82-1)/$M$2)+1,2)=1,$M$2,1),IF(MOD(INT((A82-1)/$M$2)+1,2)=1,MOD(A82,$M$2),$M$2-MOD(A82,$M$2)+1)),4,1))</f>
        <v/>
      </c>
      <c r="C82" s="178" t="str">
        <f ca="1">Start.listina!$AL90</f>
        <v/>
      </c>
      <c r="D82" s="176" t="str">
        <f ca="1">IF(A82&gt;Start.listina!$K$7,"",INT((A82-1)/$M$2)+1)</f>
        <v/>
      </c>
      <c r="E82" s="490" t="str">
        <f ca="1">IF(A82&gt;Start.listina!$K$7,"",MIN(F82:L82))</f>
        <v/>
      </c>
      <c r="F82" s="176">
        <f ca="1">IF(TYPE(VLOOKUP(C82,Konečné_pořadí_1_16!$B$2:$D$17,3,0))&lt;4,VLOOKUP(C82,Konečné_pořadí_1_16!$B$2:$D$17,3,0),999)</f>
        <v>999</v>
      </c>
      <c r="G82" s="176">
        <f ca="1">IF(TYPE(VLOOKUP(C82,'KO64'!$D$4:$D$129,1,0))&lt;4,64,999)</f>
        <v>999</v>
      </c>
      <c r="H82" s="176">
        <f ca="1">IF(TYPE(VLOOKUP(C82,'KO32'!$D$4:$D$65,1,0))&lt;4,32,999)</f>
        <v>999</v>
      </c>
      <c r="I82" s="176">
        <f ca="1">IF(TYPE(VLOOKUP(C82,'KO16'!$D$4:$D$33,1,0))&lt;4,16,999)</f>
        <v>999</v>
      </c>
      <c r="J82" s="176">
        <f ca="1">IF(TYPE(VLOOKUP(C82,'KO8'!$D$4:$D$17,1,0))&lt;4,8,999)</f>
        <v>999</v>
      </c>
      <c r="K82" s="176">
        <f ca="1">IF(TYPE(VLOOKUP(C82,'KO4'!$D$4:$D$9,1,0))&lt;4,4,999)</f>
        <v>999</v>
      </c>
      <c r="L82" s="176">
        <f ca="1">Start.listina!$K$7</f>
        <v>16</v>
      </c>
      <c r="N82" s="176"/>
      <c r="O82" s="176"/>
      <c r="P82" s="176"/>
      <c r="Q82" s="176"/>
      <c r="R82" s="176"/>
      <c r="S82" s="176"/>
      <c r="T82" s="176"/>
      <c r="U82" s="176"/>
      <c r="V82" s="176"/>
      <c r="W82" s="176"/>
      <c r="X82" s="176"/>
      <c r="Y82" s="176"/>
      <c r="Z82" s="176"/>
      <c r="AA82" s="176"/>
      <c r="AB82" s="176"/>
      <c r="AC82" s="176"/>
      <c r="AD82" s="176"/>
      <c r="AE82" s="176"/>
      <c r="AF82" s="176"/>
      <c r="AG82" s="176"/>
      <c r="AH82" s="176"/>
    </row>
    <row r="83" spans="1:34">
      <c r="A83" t="str">
        <f ca="1">IF(OR(Start.listina!H91&gt;Start.listina!$K$7,Start.listina!G91=1),"",Start.listina!H91)</f>
        <v/>
      </c>
      <c r="B83" s="176" t="str">
        <f ca="1">IF(A83&gt;Start.listina!$K$7,"",ADDRESS(INT((A83-1)/$M$2)+1,IF(MOD(A83,$M$2)=0,IF(MOD(INT((A83-1)/$M$2)+1,2)=1,$M$2,1),IF(MOD(INT((A83-1)/$M$2)+1,2)=1,MOD(A83,$M$2),$M$2-MOD(A83,$M$2)+1)),4,1))</f>
        <v/>
      </c>
      <c r="C83" s="178" t="str">
        <f ca="1">Start.listina!$AL91</f>
        <v/>
      </c>
      <c r="D83" s="176" t="str">
        <f ca="1">IF(A83&gt;Start.listina!$K$7,"",INT((A83-1)/$M$2)+1)</f>
        <v/>
      </c>
      <c r="E83" s="490" t="str">
        <f ca="1">IF(A83&gt;Start.listina!$K$7,"",MIN(F83:L83))</f>
        <v/>
      </c>
      <c r="F83" s="176">
        <f ca="1">IF(TYPE(VLOOKUP(C83,Konečné_pořadí_1_16!$B$2:$D$17,3,0))&lt;4,VLOOKUP(C83,Konečné_pořadí_1_16!$B$2:$D$17,3,0),999)</f>
        <v>999</v>
      </c>
      <c r="G83" s="176">
        <f ca="1">IF(TYPE(VLOOKUP(C83,'KO64'!$D$4:$D$129,1,0))&lt;4,64,999)</f>
        <v>999</v>
      </c>
      <c r="H83" s="176">
        <f ca="1">IF(TYPE(VLOOKUP(C83,'KO32'!$D$4:$D$65,1,0))&lt;4,32,999)</f>
        <v>999</v>
      </c>
      <c r="I83" s="176">
        <f ca="1">IF(TYPE(VLOOKUP(C83,'KO16'!$D$4:$D$33,1,0))&lt;4,16,999)</f>
        <v>999</v>
      </c>
      <c r="J83" s="176">
        <f ca="1">IF(TYPE(VLOOKUP(C83,'KO8'!$D$4:$D$17,1,0))&lt;4,8,999)</f>
        <v>999</v>
      </c>
      <c r="K83" s="176">
        <f ca="1">IF(TYPE(VLOOKUP(C83,'KO4'!$D$4:$D$9,1,0))&lt;4,4,999)</f>
        <v>999</v>
      </c>
      <c r="L83" s="176">
        <f ca="1">Start.listina!$K$7</f>
        <v>16</v>
      </c>
      <c r="N83" s="176"/>
      <c r="O83" s="176"/>
      <c r="P83" s="176"/>
      <c r="Q83" s="176"/>
      <c r="R83" s="176"/>
      <c r="S83" s="176"/>
      <c r="T83" s="176"/>
      <c r="U83" s="176"/>
      <c r="V83" s="176"/>
      <c r="W83" s="176"/>
      <c r="X83" s="176"/>
      <c r="Y83" s="176"/>
      <c r="Z83" s="176"/>
      <c r="AA83" s="176"/>
      <c r="AB83" s="176"/>
      <c r="AC83" s="176"/>
      <c r="AD83" s="176"/>
      <c r="AE83" s="176"/>
      <c r="AF83" s="176"/>
      <c r="AG83" s="176"/>
      <c r="AH83" s="176"/>
    </row>
    <row r="84" spans="1:34">
      <c r="A84" t="str">
        <f ca="1">IF(OR(Start.listina!H92&gt;Start.listina!$K$7,Start.listina!G92=1),"",Start.listina!H92)</f>
        <v/>
      </c>
      <c r="B84" s="176" t="str">
        <f ca="1">IF(A84&gt;Start.listina!$K$7,"",ADDRESS(INT((A84-1)/$M$2)+1,IF(MOD(A84,$M$2)=0,IF(MOD(INT((A84-1)/$M$2)+1,2)=1,$M$2,1),IF(MOD(INT((A84-1)/$M$2)+1,2)=1,MOD(A84,$M$2),$M$2-MOD(A84,$M$2)+1)),4,1))</f>
        <v/>
      </c>
      <c r="C84" s="178" t="str">
        <f ca="1">Start.listina!$AL92</f>
        <v/>
      </c>
      <c r="D84" s="176" t="str">
        <f ca="1">IF(A84&gt;Start.listina!$K$7,"",INT((A84-1)/$M$2)+1)</f>
        <v/>
      </c>
      <c r="E84" s="490" t="str">
        <f ca="1">IF(A84&gt;Start.listina!$K$7,"",MIN(F84:L84))</f>
        <v/>
      </c>
      <c r="F84" s="176">
        <f ca="1">IF(TYPE(VLOOKUP(C84,Konečné_pořadí_1_16!$B$2:$D$17,3,0))&lt;4,VLOOKUP(C84,Konečné_pořadí_1_16!$B$2:$D$17,3,0),999)</f>
        <v>999</v>
      </c>
      <c r="G84" s="176">
        <f ca="1">IF(TYPE(VLOOKUP(C84,'KO64'!$D$4:$D$129,1,0))&lt;4,64,999)</f>
        <v>999</v>
      </c>
      <c r="H84" s="176">
        <f ca="1">IF(TYPE(VLOOKUP(C84,'KO32'!$D$4:$D$65,1,0))&lt;4,32,999)</f>
        <v>999</v>
      </c>
      <c r="I84" s="176">
        <f ca="1">IF(TYPE(VLOOKUP(C84,'KO16'!$D$4:$D$33,1,0))&lt;4,16,999)</f>
        <v>999</v>
      </c>
      <c r="J84" s="176">
        <f ca="1">IF(TYPE(VLOOKUP(C84,'KO8'!$D$4:$D$17,1,0))&lt;4,8,999)</f>
        <v>999</v>
      </c>
      <c r="K84" s="176">
        <f ca="1">IF(TYPE(VLOOKUP(C84,'KO4'!$D$4:$D$9,1,0))&lt;4,4,999)</f>
        <v>999</v>
      </c>
      <c r="L84" s="176">
        <f ca="1">Start.listina!$K$7</f>
        <v>16</v>
      </c>
      <c r="N84" s="176"/>
      <c r="O84" s="176"/>
      <c r="P84" s="176"/>
      <c r="Q84" s="176"/>
      <c r="R84" s="176"/>
      <c r="S84" s="176"/>
      <c r="T84" s="176"/>
      <c r="U84" s="176"/>
      <c r="V84" s="176"/>
      <c r="W84" s="176"/>
      <c r="X84" s="176"/>
      <c r="Y84" s="176"/>
      <c r="Z84" s="176"/>
      <c r="AA84" s="176"/>
      <c r="AB84" s="176"/>
      <c r="AC84" s="176"/>
      <c r="AD84" s="176"/>
      <c r="AE84" s="176"/>
      <c r="AF84" s="176"/>
      <c r="AG84" s="176"/>
      <c r="AH84" s="176"/>
    </row>
    <row r="85" spans="1:34">
      <c r="A85" t="str">
        <f ca="1">IF(OR(Start.listina!H93&gt;Start.listina!$K$7,Start.listina!G93=1),"",Start.listina!H93)</f>
        <v/>
      </c>
      <c r="B85" s="176" t="str">
        <f ca="1">IF(A85&gt;Start.listina!$K$7,"",ADDRESS(INT((A85-1)/$M$2)+1,IF(MOD(A85,$M$2)=0,IF(MOD(INT((A85-1)/$M$2)+1,2)=1,$M$2,1),IF(MOD(INT((A85-1)/$M$2)+1,2)=1,MOD(A85,$M$2),$M$2-MOD(A85,$M$2)+1)),4,1))</f>
        <v/>
      </c>
      <c r="C85" s="178" t="str">
        <f ca="1">Start.listina!$AL93</f>
        <v/>
      </c>
      <c r="D85" s="176" t="str">
        <f ca="1">IF(A85&gt;Start.listina!$K$7,"",INT((A85-1)/$M$2)+1)</f>
        <v/>
      </c>
      <c r="E85" s="490" t="str">
        <f ca="1">IF(A85&gt;Start.listina!$K$7,"",MIN(F85:L85))</f>
        <v/>
      </c>
      <c r="F85" s="176">
        <f ca="1">IF(TYPE(VLOOKUP(C85,Konečné_pořadí_1_16!$B$2:$D$17,3,0))&lt;4,VLOOKUP(C85,Konečné_pořadí_1_16!$B$2:$D$17,3,0),999)</f>
        <v>999</v>
      </c>
      <c r="G85" s="176">
        <f ca="1">IF(TYPE(VLOOKUP(C85,'KO64'!$D$4:$D$129,1,0))&lt;4,64,999)</f>
        <v>999</v>
      </c>
      <c r="H85" s="176">
        <f ca="1">IF(TYPE(VLOOKUP(C85,'KO32'!$D$4:$D$65,1,0))&lt;4,32,999)</f>
        <v>999</v>
      </c>
      <c r="I85" s="176">
        <f ca="1">IF(TYPE(VLOOKUP(C85,'KO16'!$D$4:$D$33,1,0))&lt;4,16,999)</f>
        <v>999</v>
      </c>
      <c r="J85" s="176">
        <f ca="1">IF(TYPE(VLOOKUP(C85,'KO8'!$D$4:$D$17,1,0))&lt;4,8,999)</f>
        <v>999</v>
      </c>
      <c r="K85" s="176">
        <f ca="1">IF(TYPE(VLOOKUP(C85,'KO4'!$D$4:$D$9,1,0))&lt;4,4,999)</f>
        <v>999</v>
      </c>
      <c r="L85" s="176">
        <f ca="1">Start.listina!$K$7</f>
        <v>16</v>
      </c>
      <c r="N85" s="176"/>
      <c r="O85" s="176"/>
      <c r="P85" s="176"/>
      <c r="Q85" s="176"/>
      <c r="R85" s="176"/>
      <c r="S85" s="176"/>
      <c r="T85" s="176"/>
      <c r="U85" s="176"/>
      <c r="V85" s="176"/>
      <c r="W85" s="176"/>
      <c r="X85" s="176"/>
      <c r="Y85" s="176"/>
      <c r="Z85" s="176"/>
      <c r="AA85" s="176"/>
      <c r="AB85" s="176"/>
      <c r="AC85" s="176"/>
      <c r="AD85" s="176"/>
      <c r="AE85" s="176"/>
      <c r="AF85" s="176"/>
      <c r="AG85" s="176"/>
      <c r="AH85" s="176"/>
    </row>
    <row r="86" spans="1:34">
      <c r="A86" t="str">
        <f ca="1">IF(OR(Start.listina!H94&gt;Start.listina!$K$7,Start.listina!G94=1),"",Start.listina!H94)</f>
        <v/>
      </c>
      <c r="B86" s="176" t="str">
        <f ca="1">IF(A86&gt;Start.listina!$K$7,"",ADDRESS(INT((A86-1)/$M$2)+1,IF(MOD(A86,$M$2)=0,IF(MOD(INT((A86-1)/$M$2)+1,2)=1,$M$2,1),IF(MOD(INT((A86-1)/$M$2)+1,2)=1,MOD(A86,$M$2),$M$2-MOD(A86,$M$2)+1)),4,1))</f>
        <v/>
      </c>
      <c r="C86" s="178" t="str">
        <f ca="1">Start.listina!$AL94</f>
        <v/>
      </c>
      <c r="D86" s="176" t="str">
        <f ca="1">IF(A86&gt;Start.listina!$K$7,"",INT((A86-1)/$M$2)+1)</f>
        <v/>
      </c>
      <c r="E86" s="490" t="str">
        <f ca="1">IF(A86&gt;Start.listina!$K$7,"",MIN(F86:L86))</f>
        <v/>
      </c>
      <c r="F86" s="176">
        <f ca="1">IF(TYPE(VLOOKUP(C86,Konečné_pořadí_1_16!$B$2:$D$17,3,0))&lt;4,VLOOKUP(C86,Konečné_pořadí_1_16!$B$2:$D$17,3,0),999)</f>
        <v>999</v>
      </c>
      <c r="G86" s="176">
        <f ca="1">IF(TYPE(VLOOKUP(C86,'KO64'!$D$4:$D$129,1,0))&lt;4,64,999)</f>
        <v>999</v>
      </c>
      <c r="H86" s="176">
        <f ca="1">IF(TYPE(VLOOKUP(C86,'KO32'!$D$4:$D$65,1,0))&lt;4,32,999)</f>
        <v>999</v>
      </c>
      <c r="I86" s="176">
        <f ca="1">IF(TYPE(VLOOKUP(C86,'KO16'!$D$4:$D$33,1,0))&lt;4,16,999)</f>
        <v>999</v>
      </c>
      <c r="J86" s="176">
        <f ca="1">IF(TYPE(VLOOKUP(C86,'KO8'!$D$4:$D$17,1,0))&lt;4,8,999)</f>
        <v>999</v>
      </c>
      <c r="K86" s="176">
        <f ca="1">IF(TYPE(VLOOKUP(C86,'KO4'!$D$4:$D$9,1,0))&lt;4,4,999)</f>
        <v>999</v>
      </c>
      <c r="L86" s="176">
        <f ca="1">Start.listina!$K$7</f>
        <v>16</v>
      </c>
      <c r="N86" s="176"/>
      <c r="O86" s="176"/>
      <c r="P86" s="176"/>
      <c r="Q86" s="176"/>
      <c r="R86" s="176"/>
      <c r="S86" s="176"/>
      <c r="T86" s="176"/>
      <c r="U86" s="176"/>
      <c r="V86" s="176"/>
      <c r="W86" s="176"/>
      <c r="X86" s="176"/>
      <c r="Y86" s="176"/>
      <c r="Z86" s="176"/>
      <c r="AA86" s="176"/>
      <c r="AB86" s="176"/>
      <c r="AC86" s="176"/>
      <c r="AD86" s="176"/>
      <c r="AE86" s="176"/>
      <c r="AF86" s="176"/>
      <c r="AG86" s="176"/>
      <c r="AH86" s="176"/>
    </row>
    <row r="87" spans="1:34">
      <c r="A87" t="str">
        <f ca="1">IF(OR(Start.listina!H95&gt;Start.listina!$K$7,Start.listina!G95=1),"",Start.listina!H95)</f>
        <v/>
      </c>
      <c r="B87" s="176" t="str">
        <f ca="1">IF(A87&gt;Start.listina!$K$7,"",ADDRESS(INT((A87-1)/$M$2)+1,IF(MOD(A87,$M$2)=0,IF(MOD(INT((A87-1)/$M$2)+1,2)=1,$M$2,1),IF(MOD(INT((A87-1)/$M$2)+1,2)=1,MOD(A87,$M$2),$M$2-MOD(A87,$M$2)+1)),4,1))</f>
        <v/>
      </c>
      <c r="C87" s="178" t="str">
        <f ca="1">Start.listina!$AL95</f>
        <v/>
      </c>
      <c r="D87" s="176" t="str">
        <f ca="1">IF(A87&gt;Start.listina!$K$7,"",INT((A87-1)/$M$2)+1)</f>
        <v/>
      </c>
      <c r="E87" s="490" t="str">
        <f ca="1">IF(A87&gt;Start.listina!$K$7,"",MIN(F87:L87))</f>
        <v/>
      </c>
      <c r="F87" s="176">
        <f ca="1">IF(TYPE(VLOOKUP(C87,Konečné_pořadí_1_16!$B$2:$D$17,3,0))&lt;4,VLOOKUP(C87,Konečné_pořadí_1_16!$B$2:$D$17,3,0),999)</f>
        <v>999</v>
      </c>
      <c r="G87" s="176">
        <f ca="1">IF(TYPE(VLOOKUP(C87,'KO64'!$D$4:$D$129,1,0))&lt;4,64,999)</f>
        <v>999</v>
      </c>
      <c r="H87" s="176">
        <f ca="1">IF(TYPE(VLOOKUP(C87,'KO32'!$D$4:$D$65,1,0))&lt;4,32,999)</f>
        <v>999</v>
      </c>
      <c r="I87" s="176">
        <f ca="1">IF(TYPE(VLOOKUP(C87,'KO16'!$D$4:$D$33,1,0))&lt;4,16,999)</f>
        <v>999</v>
      </c>
      <c r="J87" s="176">
        <f ca="1">IF(TYPE(VLOOKUP(C87,'KO8'!$D$4:$D$17,1,0))&lt;4,8,999)</f>
        <v>999</v>
      </c>
      <c r="K87" s="176">
        <f ca="1">IF(TYPE(VLOOKUP(C87,'KO4'!$D$4:$D$9,1,0))&lt;4,4,999)</f>
        <v>999</v>
      </c>
      <c r="L87" s="176">
        <f ca="1">Start.listina!$K$7</f>
        <v>16</v>
      </c>
      <c r="N87" s="176"/>
      <c r="O87" s="176"/>
      <c r="P87" s="176"/>
      <c r="Q87" s="176"/>
      <c r="R87" s="176"/>
      <c r="S87" s="176"/>
      <c r="T87" s="176"/>
      <c r="U87" s="176"/>
      <c r="V87" s="176"/>
      <c r="W87" s="176"/>
      <c r="X87" s="176"/>
      <c r="Y87" s="176"/>
      <c r="Z87" s="176"/>
      <c r="AA87" s="176"/>
      <c r="AB87" s="176"/>
      <c r="AC87" s="176"/>
      <c r="AD87" s="176"/>
      <c r="AE87" s="176"/>
      <c r="AF87" s="176"/>
      <c r="AG87" s="176"/>
      <c r="AH87" s="176"/>
    </row>
    <row r="88" spans="1:34">
      <c r="A88" t="str">
        <f ca="1">IF(OR(Start.listina!H96&gt;Start.listina!$K$7,Start.listina!G96=1),"",Start.listina!H96)</f>
        <v/>
      </c>
      <c r="B88" s="176" t="str">
        <f ca="1">IF(A88&gt;Start.listina!$K$7,"",ADDRESS(INT((A88-1)/$M$2)+1,IF(MOD(A88,$M$2)=0,IF(MOD(INT((A88-1)/$M$2)+1,2)=1,$M$2,1),IF(MOD(INT((A88-1)/$M$2)+1,2)=1,MOD(A88,$M$2),$M$2-MOD(A88,$M$2)+1)),4,1))</f>
        <v/>
      </c>
      <c r="C88" s="178" t="str">
        <f ca="1">Start.listina!$AL96</f>
        <v/>
      </c>
      <c r="D88" s="176" t="str">
        <f ca="1">IF(A88&gt;Start.listina!$K$7,"",INT((A88-1)/$M$2)+1)</f>
        <v/>
      </c>
      <c r="E88" s="490" t="str">
        <f ca="1">IF(A88&gt;Start.listina!$K$7,"",MIN(F88:L88))</f>
        <v/>
      </c>
      <c r="F88" s="176">
        <f ca="1">IF(TYPE(VLOOKUP(C88,Konečné_pořadí_1_16!$B$2:$D$17,3,0))&lt;4,VLOOKUP(C88,Konečné_pořadí_1_16!$B$2:$D$17,3,0),999)</f>
        <v>999</v>
      </c>
      <c r="G88" s="176">
        <f ca="1">IF(TYPE(VLOOKUP(C88,'KO64'!$D$4:$D$129,1,0))&lt;4,64,999)</f>
        <v>999</v>
      </c>
      <c r="H88" s="176">
        <f ca="1">IF(TYPE(VLOOKUP(C88,'KO32'!$D$4:$D$65,1,0))&lt;4,32,999)</f>
        <v>999</v>
      </c>
      <c r="I88" s="176">
        <f ca="1">IF(TYPE(VLOOKUP(C88,'KO16'!$D$4:$D$33,1,0))&lt;4,16,999)</f>
        <v>999</v>
      </c>
      <c r="J88" s="176">
        <f ca="1">IF(TYPE(VLOOKUP(C88,'KO8'!$D$4:$D$17,1,0))&lt;4,8,999)</f>
        <v>999</v>
      </c>
      <c r="K88" s="176">
        <f ca="1">IF(TYPE(VLOOKUP(C88,'KO4'!$D$4:$D$9,1,0))&lt;4,4,999)</f>
        <v>999</v>
      </c>
      <c r="L88" s="176">
        <f ca="1">Start.listina!$K$7</f>
        <v>16</v>
      </c>
      <c r="N88" s="176"/>
      <c r="O88" s="176"/>
      <c r="P88" s="176"/>
      <c r="Q88" s="176"/>
      <c r="R88" s="176"/>
      <c r="S88" s="176"/>
      <c r="T88" s="176"/>
      <c r="U88" s="176"/>
      <c r="V88" s="176"/>
      <c r="W88" s="176"/>
      <c r="X88" s="176"/>
      <c r="Y88" s="176"/>
      <c r="Z88" s="176"/>
      <c r="AA88" s="176"/>
      <c r="AB88" s="176"/>
      <c r="AC88" s="176"/>
      <c r="AD88" s="176"/>
      <c r="AE88" s="176"/>
      <c r="AF88" s="176"/>
      <c r="AG88" s="176"/>
      <c r="AH88" s="176"/>
    </row>
    <row r="89" spans="1:34">
      <c r="A89" t="str">
        <f ca="1">IF(OR(Start.listina!H97&gt;Start.listina!$K$7,Start.listina!G97=1),"",Start.listina!H97)</f>
        <v/>
      </c>
      <c r="B89" s="176" t="str">
        <f ca="1">IF(A89&gt;Start.listina!$K$7,"",ADDRESS(INT((A89-1)/$M$2)+1,IF(MOD(A89,$M$2)=0,IF(MOD(INT((A89-1)/$M$2)+1,2)=1,$M$2,1),IF(MOD(INT((A89-1)/$M$2)+1,2)=1,MOD(A89,$M$2),$M$2-MOD(A89,$M$2)+1)),4,1))</f>
        <v/>
      </c>
      <c r="C89" s="178" t="str">
        <f ca="1">Start.listina!$AL97</f>
        <v/>
      </c>
      <c r="D89" s="176" t="str">
        <f ca="1">IF(A89&gt;Start.listina!$K$7,"",INT((A89-1)/$M$2)+1)</f>
        <v/>
      </c>
      <c r="E89" s="490" t="str">
        <f ca="1">IF(A89&gt;Start.listina!$K$7,"",MIN(F89:L89))</f>
        <v/>
      </c>
      <c r="F89" s="176">
        <f ca="1">IF(TYPE(VLOOKUP(C89,Konečné_pořadí_1_16!$B$2:$D$17,3,0))&lt;4,VLOOKUP(C89,Konečné_pořadí_1_16!$B$2:$D$17,3,0),999)</f>
        <v>999</v>
      </c>
      <c r="G89" s="176">
        <f ca="1">IF(TYPE(VLOOKUP(C89,'KO64'!$D$4:$D$129,1,0))&lt;4,64,999)</f>
        <v>999</v>
      </c>
      <c r="H89" s="176">
        <f ca="1">IF(TYPE(VLOOKUP(C89,'KO32'!$D$4:$D$65,1,0))&lt;4,32,999)</f>
        <v>999</v>
      </c>
      <c r="I89" s="176">
        <f ca="1">IF(TYPE(VLOOKUP(C89,'KO16'!$D$4:$D$33,1,0))&lt;4,16,999)</f>
        <v>999</v>
      </c>
      <c r="J89" s="176">
        <f ca="1">IF(TYPE(VLOOKUP(C89,'KO8'!$D$4:$D$17,1,0))&lt;4,8,999)</f>
        <v>999</v>
      </c>
      <c r="K89" s="176">
        <f ca="1">IF(TYPE(VLOOKUP(C89,'KO4'!$D$4:$D$9,1,0))&lt;4,4,999)</f>
        <v>999</v>
      </c>
      <c r="L89" s="176">
        <f ca="1">Start.listina!$K$7</f>
        <v>16</v>
      </c>
      <c r="N89" s="176"/>
      <c r="O89" s="176"/>
      <c r="P89" s="176"/>
      <c r="Q89" s="176"/>
      <c r="R89" s="176"/>
      <c r="S89" s="176"/>
      <c r="T89" s="176"/>
      <c r="U89" s="176"/>
      <c r="V89" s="176"/>
      <c r="W89" s="176"/>
      <c r="X89" s="176"/>
      <c r="Y89" s="176"/>
      <c r="Z89" s="176"/>
      <c r="AA89" s="176"/>
      <c r="AB89" s="176"/>
      <c r="AC89" s="176"/>
      <c r="AD89" s="176"/>
      <c r="AE89" s="176"/>
      <c r="AF89" s="176"/>
      <c r="AG89" s="176"/>
      <c r="AH89" s="176"/>
    </row>
    <row r="90" spans="1:34">
      <c r="A90" t="str">
        <f ca="1">IF(OR(Start.listina!H98&gt;Start.listina!$K$7,Start.listina!G98=1),"",Start.listina!H98)</f>
        <v/>
      </c>
      <c r="B90" s="176" t="str">
        <f ca="1">IF(A90&gt;Start.listina!$K$7,"",ADDRESS(INT((A90-1)/$M$2)+1,IF(MOD(A90,$M$2)=0,IF(MOD(INT((A90-1)/$M$2)+1,2)=1,$M$2,1),IF(MOD(INT((A90-1)/$M$2)+1,2)=1,MOD(A90,$M$2),$M$2-MOD(A90,$M$2)+1)),4,1))</f>
        <v/>
      </c>
      <c r="C90" s="178" t="str">
        <f ca="1">Start.listina!$AL98</f>
        <v/>
      </c>
      <c r="D90" s="176" t="str">
        <f ca="1">IF(A90&gt;Start.listina!$K$7,"",INT((A90-1)/$M$2)+1)</f>
        <v/>
      </c>
      <c r="E90" s="490" t="str">
        <f ca="1">IF(A90&gt;Start.listina!$K$7,"",MIN(F90:L90))</f>
        <v/>
      </c>
      <c r="F90" s="176">
        <f ca="1">IF(TYPE(VLOOKUP(C90,Konečné_pořadí_1_16!$B$2:$D$17,3,0))&lt;4,VLOOKUP(C90,Konečné_pořadí_1_16!$B$2:$D$17,3,0),999)</f>
        <v>999</v>
      </c>
      <c r="G90" s="176">
        <f ca="1">IF(TYPE(VLOOKUP(C90,'KO64'!$D$4:$D$129,1,0))&lt;4,64,999)</f>
        <v>999</v>
      </c>
      <c r="H90" s="176">
        <f ca="1">IF(TYPE(VLOOKUP(C90,'KO32'!$D$4:$D$65,1,0))&lt;4,32,999)</f>
        <v>999</v>
      </c>
      <c r="I90" s="176">
        <f ca="1">IF(TYPE(VLOOKUP(C90,'KO16'!$D$4:$D$33,1,0))&lt;4,16,999)</f>
        <v>999</v>
      </c>
      <c r="J90" s="176">
        <f ca="1">IF(TYPE(VLOOKUP(C90,'KO8'!$D$4:$D$17,1,0))&lt;4,8,999)</f>
        <v>999</v>
      </c>
      <c r="K90" s="176">
        <f ca="1">IF(TYPE(VLOOKUP(C90,'KO4'!$D$4:$D$9,1,0))&lt;4,4,999)</f>
        <v>999</v>
      </c>
      <c r="L90" s="176">
        <f ca="1">Start.listina!$K$7</f>
        <v>16</v>
      </c>
      <c r="N90" s="176"/>
      <c r="O90" s="176"/>
      <c r="P90" s="176"/>
      <c r="Q90" s="176"/>
      <c r="R90" s="176"/>
      <c r="S90" s="176"/>
      <c r="T90" s="176"/>
      <c r="U90" s="176"/>
      <c r="V90" s="176"/>
      <c r="W90" s="176"/>
      <c r="X90" s="176"/>
      <c r="Y90" s="176"/>
      <c r="Z90" s="176"/>
      <c r="AA90" s="176"/>
      <c r="AB90" s="176"/>
      <c r="AC90" s="176"/>
      <c r="AD90" s="176"/>
      <c r="AE90" s="176"/>
      <c r="AF90" s="176"/>
      <c r="AG90" s="176"/>
      <c r="AH90" s="176"/>
    </row>
    <row r="91" spans="1:34">
      <c r="A91" t="str">
        <f ca="1">IF(OR(Start.listina!H99&gt;Start.listina!$K$7,Start.listina!G99=1),"",Start.listina!H99)</f>
        <v/>
      </c>
      <c r="B91" s="176" t="str">
        <f ca="1">IF(A91&gt;Start.listina!$K$7,"",ADDRESS(INT((A91-1)/$M$2)+1,IF(MOD(A91,$M$2)=0,IF(MOD(INT((A91-1)/$M$2)+1,2)=1,$M$2,1),IF(MOD(INT((A91-1)/$M$2)+1,2)=1,MOD(A91,$M$2),$M$2-MOD(A91,$M$2)+1)),4,1))</f>
        <v/>
      </c>
      <c r="C91" s="178" t="str">
        <f ca="1">Start.listina!$AL99</f>
        <v/>
      </c>
      <c r="D91" s="176" t="str">
        <f ca="1">IF(A91&gt;Start.listina!$K$7,"",INT((A91-1)/$M$2)+1)</f>
        <v/>
      </c>
      <c r="E91" s="490" t="str">
        <f ca="1">IF(A91&gt;Start.listina!$K$7,"",MIN(F91:L91))</f>
        <v/>
      </c>
      <c r="F91" s="176">
        <f ca="1">IF(TYPE(VLOOKUP(C91,Konečné_pořadí_1_16!$B$2:$D$17,3,0))&lt;4,VLOOKUP(C91,Konečné_pořadí_1_16!$B$2:$D$17,3,0),999)</f>
        <v>999</v>
      </c>
      <c r="G91" s="176">
        <f ca="1">IF(TYPE(VLOOKUP(C91,'KO64'!$D$4:$D$129,1,0))&lt;4,64,999)</f>
        <v>999</v>
      </c>
      <c r="H91" s="176">
        <f ca="1">IF(TYPE(VLOOKUP(C91,'KO32'!$D$4:$D$65,1,0))&lt;4,32,999)</f>
        <v>999</v>
      </c>
      <c r="I91" s="176">
        <f ca="1">IF(TYPE(VLOOKUP(C91,'KO16'!$D$4:$D$33,1,0))&lt;4,16,999)</f>
        <v>999</v>
      </c>
      <c r="J91" s="176">
        <f ca="1">IF(TYPE(VLOOKUP(C91,'KO8'!$D$4:$D$17,1,0))&lt;4,8,999)</f>
        <v>999</v>
      </c>
      <c r="K91" s="176">
        <f ca="1">IF(TYPE(VLOOKUP(C91,'KO4'!$D$4:$D$9,1,0))&lt;4,4,999)</f>
        <v>999</v>
      </c>
      <c r="L91" s="176">
        <f ca="1">Start.listina!$K$7</f>
        <v>16</v>
      </c>
      <c r="N91" s="176"/>
      <c r="O91" s="176"/>
      <c r="P91" s="176"/>
      <c r="Q91" s="176"/>
      <c r="R91" s="176"/>
      <c r="S91" s="176"/>
      <c r="T91" s="176"/>
      <c r="U91" s="176"/>
      <c r="V91" s="176"/>
      <c r="W91" s="176"/>
      <c r="X91" s="176"/>
      <c r="Y91" s="176"/>
      <c r="Z91" s="176"/>
      <c r="AA91" s="176"/>
      <c r="AB91" s="176"/>
      <c r="AC91" s="176"/>
      <c r="AD91" s="176"/>
      <c r="AE91" s="176"/>
      <c r="AF91" s="176"/>
      <c r="AG91" s="176"/>
      <c r="AH91" s="176"/>
    </row>
    <row r="92" spans="1:34">
      <c r="A92" t="str">
        <f ca="1">IF(OR(Start.listina!H100&gt;Start.listina!$K$7,Start.listina!G100=1),"",Start.listina!H100)</f>
        <v/>
      </c>
      <c r="B92" s="176" t="str">
        <f ca="1">IF(A92&gt;Start.listina!$K$7,"",ADDRESS(INT((A92-1)/$M$2)+1,IF(MOD(A92,$M$2)=0,IF(MOD(INT((A92-1)/$M$2)+1,2)=1,$M$2,1),IF(MOD(INT((A92-1)/$M$2)+1,2)=1,MOD(A92,$M$2),$M$2-MOD(A92,$M$2)+1)),4,1))</f>
        <v/>
      </c>
      <c r="C92" s="178" t="str">
        <f ca="1">Start.listina!$AL100</f>
        <v/>
      </c>
      <c r="D92" s="176" t="str">
        <f ca="1">IF(A92&gt;Start.listina!$K$7,"",INT((A92-1)/$M$2)+1)</f>
        <v/>
      </c>
      <c r="E92" s="490" t="str">
        <f ca="1">IF(A92&gt;Start.listina!$K$7,"",MIN(F92:L92))</f>
        <v/>
      </c>
      <c r="F92" s="176">
        <f ca="1">IF(TYPE(VLOOKUP(C92,Konečné_pořadí_1_16!$B$2:$D$17,3,0))&lt;4,VLOOKUP(C92,Konečné_pořadí_1_16!$B$2:$D$17,3,0),999)</f>
        <v>999</v>
      </c>
      <c r="G92" s="176">
        <f ca="1">IF(TYPE(VLOOKUP(C92,'KO64'!$D$4:$D$129,1,0))&lt;4,64,999)</f>
        <v>999</v>
      </c>
      <c r="H92" s="176">
        <f ca="1">IF(TYPE(VLOOKUP(C92,'KO32'!$D$4:$D$65,1,0))&lt;4,32,999)</f>
        <v>999</v>
      </c>
      <c r="I92" s="176">
        <f ca="1">IF(TYPE(VLOOKUP(C92,'KO16'!$D$4:$D$33,1,0))&lt;4,16,999)</f>
        <v>999</v>
      </c>
      <c r="J92" s="176">
        <f ca="1">IF(TYPE(VLOOKUP(C92,'KO8'!$D$4:$D$17,1,0))&lt;4,8,999)</f>
        <v>999</v>
      </c>
      <c r="K92" s="176">
        <f ca="1">IF(TYPE(VLOOKUP(C92,'KO4'!$D$4:$D$9,1,0))&lt;4,4,999)</f>
        <v>999</v>
      </c>
      <c r="L92" s="176">
        <f ca="1">Start.listina!$K$7</f>
        <v>16</v>
      </c>
      <c r="N92" s="176"/>
      <c r="O92" s="176"/>
      <c r="P92" s="176"/>
      <c r="Q92" s="176"/>
      <c r="R92" s="176"/>
      <c r="S92" s="176"/>
      <c r="T92" s="176"/>
      <c r="U92" s="176"/>
      <c r="V92" s="176"/>
      <c r="W92" s="176"/>
      <c r="X92" s="176"/>
      <c r="Y92" s="176"/>
      <c r="Z92" s="176"/>
      <c r="AA92" s="176"/>
      <c r="AB92" s="176"/>
      <c r="AC92" s="176"/>
      <c r="AD92" s="176"/>
      <c r="AE92" s="176"/>
      <c r="AF92" s="176"/>
      <c r="AG92" s="176"/>
      <c r="AH92" s="176"/>
    </row>
    <row r="93" spans="1:34">
      <c r="A93" t="str">
        <f ca="1">IF(OR(Start.listina!H101&gt;Start.listina!$K$7,Start.listina!G101=1),"",Start.listina!H101)</f>
        <v/>
      </c>
      <c r="B93" s="176" t="str">
        <f ca="1">IF(A93&gt;Start.listina!$K$7,"",ADDRESS(INT((A93-1)/$M$2)+1,IF(MOD(A93,$M$2)=0,IF(MOD(INT((A93-1)/$M$2)+1,2)=1,$M$2,1),IF(MOD(INT((A93-1)/$M$2)+1,2)=1,MOD(A93,$M$2),$M$2-MOD(A93,$M$2)+1)),4,1))</f>
        <v/>
      </c>
      <c r="C93" s="178" t="str">
        <f ca="1">Start.listina!$AL101</f>
        <v/>
      </c>
      <c r="D93" s="176" t="str">
        <f ca="1">IF(A93&gt;Start.listina!$K$7,"",INT((A93-1)/$M$2)+1)</f>
        <v/>
      </c>
      <c r="E93" s="490" t="str">
        <f ca="1">IF(A93&gt;Start.listina!$K$7,"",MIN(F93:L93))</f>
        <v/>
      </c>
      <c r="F93" s="176">
        <f ca="1">IF(TYPE(VLOOKUP(C93,Konečné_pořadí_1_16!$B$2:$D$17,3,0))&lt;4,VLOOKUP(C93,Konečné_pořadí_1_16!$B$2:$D$17,3,0),999)</f>
        <v>999</v>
      </c>
      <c r="G93" s="176">
        <f ca="1">IF(TYPE(VLOOKUP(C93,'KO64'!$D$4:$D$129,1,0))&lt;4,64,999)</f>
        <v>999</v>
      </c>
      <c r="H93" s="176">
        <f ca="1">IF(TYPE(VLOOKUP(C93,'KO32'!$D$4:$D$65,1,0))&lt;4,32,999)</f>
        <v>999</v>
      </c>
      <c r="I93" s="176">
        <f ca="1">IF(TYPE(VLOOKUP(C93,'KO16'!$D$4:$D$33,1,0))&lt;4,16,999)</f>
        <v>999</v>
      </c>
      <c r="J93" s="176">
        <f ca="1">IF(TYPE(VLOOKUP(C93,'KO8'!$D$4:$D$17,1,0))&lt;4,8,999)</f>
        <v>999</v>
      </c>
      <c r="K93" s="176">
        <f ca="1">IF(TYPE(VLOOKUP(C93,'KO4'!$D$4:$D$9,1,0))&lt;4,4,999)</f>
        <v>999</v>
      </c>
      <c r="L93" s="176">
        <f ca="1">Start.listina!$K$7</f>
        <v>16</v>
      </c>
      <c r="N93" s="176"/>
      <c r="O93" s="176"/>
      <c r="P93" s="176"/>
      <c r="Q93" s="176"/>
      <c r="R93" s="176"/>
      <c r="S93" s="176"/>
      <c r="T93" s="176"/>
      <c r="U93" s="176"/>
      <c r="V93" s="176"/>
      <c r="W93" s="176"/>
      <c r="X93" s="176"/>
      <c r="Y93" s="176"/>
      <c r="Z93" s="176"/>
      <c r="AA93" s="176"/>
      <c r="AB93" s="176"/>
      <c r="AC93" s="176"/>
      <c r="AD93" s="176"/>
      <c r="AE93" s="176"/>
      <c r="AF93" s="176"/>
      <c r="AG93" s="176"/>
      <c r="AH93" s="176"/>
    </row>
    <row r="94" spans="1:34">
      <c r="A94" t="str">
        <f ca="1">IF(OR(Start.listina!H102&gt;Start.listina!$K$7,Start.listina!G102=1),"",Start.listina!H102)</f>
        <v/>
      </c>
      <c r="B94" s="176" t="str">
        <f ca="1">IF(A94&gt;Start.listina!$K$7,"",ADDRESS(INT((A94-1)/$M$2)+1,IF(MOD(A94,$M$2)=0,IF(MOD(INT((A94-1)/$M$2)+1,2)=1,$M$2,1),IF(MOD(INT((A94-1)/$M$2)+1,2)=1,MOD(A94,$M$2),$M$2-MOD(A94,$M$2)+1)),4,1))</f>
        <v/>
      </c>
      <c r="C94" s="178" t="str">
        <f ca="1">Start.listina!$AL102</f>
        <v/>
      </c>
      <c r="D94" s="176" t="str">
        <f ca="1">IF(A94&gt;Start.listina!$K$7,"",INT((A94-1)/$M$2)+1)</f>
        <v/>
      </c>
      <c r="E94" s="490" t="str">
        <f ca="1">IF(A94&gt;Start.listina!$K$7,"",MIN(F94:L94))</f>
        <v/>
      </c>
      <c r="F94" s="176">
        <f ca="1">IF(TYPE(VLOOKUP(C94,Konečné_pořadí_1_16!$B$2:$D$17,3,0))&lt;4,VLOOKUP(C94,Konečné_pořadí_1_16!$B$2:$D$17,3,0),999)</f>
        <v>999</v>
      </c>
      <c r="G94" s="176">
        <f ca="1">IF(TYPE(VLOOKUP(C94,'KO64'!$D$4:$D$129,1,0))&lt;4,64,999)</f>
        <v>999</v>
      </c>
      <c r="H94" s="176">
        <f ca="1">IF(TYPE(VLOOKUP(C94,'KO32'!$D$4:$D$65,1,0))&lt;4,32,999)</f>
        <v>999</v>
      </c>
      <c r="I94" s="176">
        <f ca="1">IF(TYPE(VLOOKUP(C94,'KO16'!$D$4:$D$33,1,0))&lt;4,16,999)</f>
        <v>999</v>
      </c>
      <c r="J94" s="176">
        <f ca="1">IF(TYPE(VLOOKUP(C94,'KO8'!$D$4:$D$17,1,0))&lt;4,8,999)</f>
        <v>999</v>
      </c>
      <c r="K94" s="176">
        <f ca="1">IF(TYPE(VLOOKUP(C94,'KO4'!$D$4:$D$9,1,0))&lt;4,4,999)</f>
        <v>999</v>
      </c>
      <c r="L94" s="176">
        <f ca="1">Start.listina!$K$7</f>
        <v>16</v>
      </c>
      <c r="N94" s="176"/>
      <c r="O94" s="176"/>
      <c r="P94" s="176"/>
      <c r="Q94" s="176"/>
      <c r="R94" s="176"/>
      <c r="S94" s="176"/>
      <c r="T94" s="176"/>
      <c r="U94" s="176"/>
      <c r="V94" s="176"/>
      <c r="W94" s="176"/>
      <c r="X94" s="176"/>
      <c r="Y94" s="176"/>
      <c r="Z94" s="176"/>
      <c r="AA94" s="176"/>
      <c r="AB94" s="176"/>
      <c r="AC94" s="176"/>
      <c r="AD94" s="176"/>
      <c r="AE94" s="176"/>
      <c r="AF94" s="176"/>
      <c r="AG94" s="176"/>
      <c r="AH94" s="176"/>
    </row>
    <row r="95" spans="1:34">
      <c r="A95" t="str">
        <f ca="1">IF(OR(Start.listina!H103&gt;Start.listina!$K$7,Start.listina!G103=1),"",Start.listina!H103)</f>
        <v/>
      </c>
      <c r="B95" s="176" t="str">
        <f ca="1">IF(A95&gt;Start.listina!$K$7,"",ADDRESS(INT((A95-1)/$M$2)+1,IF(MOD(A95,$M$2)=0,IF(MOD(INT((A95-1)/$M$2)+1,2)=1,$M$2,1),IF(MOD(INT((A95-1)/$M$2)+1,2)=1,MOD(A95,$M$2),$M$2-MOD(A95,$M$2)+1)),4,1))</f>
        <v/>
      </c>
      <c r="C95" s="178" t="str">
        <f ca="1">Start.listina!$AL103</f>
        <v/>
      </c>
      <c r="D95" s="176" t="str">
        <f ca="1">IF(A95&gt;Start.listina!$K$7,"",INT((A95-1)/$M$2)+1)</f>
        <v/>
      </c>
      <c r="E95" s="490" t="str">
        <f ca="1">IF(A95&gt;Start.listina!$K$7,"",MIN(F95:L95))</f>
        <v/>
      </c>
      <c r="F95" s="176">
        <f ca="1">IF(TYPE(VLOOKUP(C95,Konečné_pořadí_1_16!$B$2:$D$17,3,0))&lt;4,VLOOKUP(C95,Konečné_pořadí_1_16!$B$2:$D$17,3,0),999)</f>
        <v>999</v>
      </c>
      <c r="G95" s="176">
        <f ca="1">IF(TYPE(VLOOKUP(C95,'KO64'!$D$4:$D$129,1,0))&lt;4,64,999)</f>
        <v>999</v>
      </c>
      <c r="H95" s="176">
        <f ca="1">IF(TYPE(VLOOKUP(C95,'KO32'!$D$4:$D$65,1,0))&lt;4,32,999)</f>
        <v>999</v>
      </c>
      <c r="I95" s="176">
        <f ca="1">IF(TYPE(VLOOKUP(C95,'KO16'!$D$4:$D$33,1,0))&lt;4,16,999)</f>
        <v>999</v>
      </c>
      <c r="J95" s="176">
        <f ca="1">IF(TYPE(VLOOKUP(C95,'KO8'!$D$4:$D$17,1,0))&lt;4,8,999)</f>
        <v>999</v>
      </c>
      <c r="K95" s="176">
        <f ca="1">IF(TYPE(VLOOKUP(C95,'KO4'!$D$4:$D$9,1,0))&lt;4,4,999)</f>
        <v>999</v>
      </c>
      <c r="L95" s="176">
        <f ca="1">Start.listina!$K$7</f>
        <v>16</v>
      </c>
      <c r="N95" s="176"/>
      <c r="O95" s="176"/>
      <c r="P95" s="176"/>
      <c r="Q95" s="176"/>
      <c r="R95" s="176"/>
      <c r="S95" s="176"/>
      <c r="T95" s="176"/>
      <c r="U95" s="176"/>
      <c r="V95" s="176"/>
      <c r="W95" s="176"/>
      <c r="X95" s="176"/>
      <c r="Y95" s="176"/>
      <c r="Z95" s="176"/>
      <c r="AA95" s="176"/>
      <c r="AB95" s="176"/>
      <c r="AC95" s="176"/>
      <c r="AD95" s="176"/>
      <c r="AE95" s="176"/>
      <c r="AF95" s="176"/>
      <c r="AG95" s="176"/>
      <c r="AH95" s="176"/>
    </row>
    <row r="96" spans="1:34">
      <c r="A96" t="str">
        <f ca="1">IF(OR(Start.listina!H104&gt;Start.listina!$K$7,Start.listina!G104=1),"",Start.listina!H104)</f>
        <v/>
      </c>
      <c r="B96" s="176" t="str">
        <f ca="1">IF(A96&gt;Start.listina!$K$7,"",ADDRESS(INT((A96-1)/$M$2)+1,IF(MOD(A96,$M$2)=0,IF(MOD(INT((A96-1)/$M$2)+1,2)=1,$M$2,1),IF(MOD(INT((A96-1)/$M$2)+1,2)=1,MOD(A96,$M$2),$M$2-MOD(A96,$M$2)+1)),4,1))</f>
        <v/>
      </c>
      <c r="C96" s="178" t="str">
        <f ca="1">Start.listina!$AL104</f>
        <v/>
      </c>
      <c r="D96" s="176" t="str">
        <f ca="1">IF(A96&gt;Start.listina!$K$7,"",INT((A96-1)/$M$2)+1)</f>
        <v/>
      </c>
      <c r="E96" s="490" t="str">
        <f ca="1">IF(A96&gt;Start.listina!$K$7,"",MIN(F96:L96))</f>
        <v/>
      </c>
      <c r="F96" s="176">
        <f ca="1">IF(TYPE(VLOOKUP(C96,Konečné_pořadí_1_16!$B$2:$D$17,3,0))&lt;4,VLOOKUP(C96,Konečné_pořadí_1_16!$B$2:$D$17,3,0),999)</f>
        <v>999</v>
      </c>
      <c r="G96" s="176">
        <f ca="1">IF(TYPE(VLOOKUP(C96,'KO64'!$D$4:$D$129,1,0))&lt;4,64,999)</f>
        <v>999</v>
      </c>
      <c r="H96" s="176">
        <f ca="1">IF(TYPE(VLOOKUP(C96,'KO32'!$D$4:$D$65,1,0))&lt;4,32,999)</f>
        <v>999</v>
      </c>
      <c r="I96" s="176">
        <f ca="1">IF(TYPE(VLOOKUP(C96,'KO16'!$D$4:$D$33,1,0))&lt;4,16,999)</f>
        <v>999</v>
      </c>
      <c r="J96" s="176">
        <f ca="1">IF(TYPE(VLOOKUP(C96,'KO8'!$D$4:$D$17,1,0))&lt;4,8,999)</f>
        <v>999</v>
      </c>
      <c r="K96" s="176">
        <f ca="1">IF(TYPE(VLOOKUP(C96,'KO4'!$D$4:$D$9,1,0))&lt;4,4,999)</f>
        <v>999</v>
      </c>
      <c r="L96" s="176">
        <f ca="1">Start.listina!$K$7</f>
        <v>16</v>
      </c>
      <c r="N96" s="176"/>
      <c r="O96" s="176"/>
      <c r="P96" s="176"/>
      <c r="Q96" s="176"/>
      <c r="R96" s="176"/>
      <c r="S96" s="176"/>
      <c r="T96" s="176"/>
      <c r="U96" s="176"/>
      <c r="V96" s="176"/>
      <c r="W96" s="176"/>
      <c r="X96" s="176"/>
      <c r="Y96" s="176"/>
      <c r="Z96" s="176"/>
      <c r="AA96" s="176"/>
      <c r="AB96" s="176"/>
      <c r="AC96" s="176"/>
      <c r="AD96" s="176"/>
      <c r="AE96" s="176"/>
      <c r="AF96" s="176"/>
      <c r="AG96" s="176"/>
      <c r="AH96" s="176"/>
    </row>
    <row r="97" spans="1:34">
      <c r="A97" t="str">
        <f ca="1">IF(OR(Start.listina!H105&gt;Start.listina!$K$7,Start.listina!G105=1),"",Start.listina!H105)</f>
        <v/>
      </c>
      <c r="B97" s="176" t="str">
        <f ca="1">IF(A97&gt;Start.listina!$K$7,"",ADDRESS(INT((A97-1)/$M$2)+1,IF(MOD(A97,$M$2)=0,IF(MOD(INT((A97-1)/$M$2)+1,2)=1,$M$2,1),IF(MOD(INT((A97-1)/$M$2)+1,2)=1,MOD(A97,$M$2),$M$2-MOD(A97,$M$2)+1)),4,1))</f>
        <v/>
      </c>
      <c r="C97" s="178" t="str">
        <f ca="1">Start.listina!$AL105</f>
        <v/>
      </c>
      <c r="D97" s="176" t="str">
        <f ca="1">IF(A97&gt;Start.listina!$K$7,"",INT((A97-1)/$M$2)+1)</f>
        <v/>
      </c>
      <c r="E97" s="490" t="str">
        <f ca="1">IF(A97&gt;Start.listina!$K$7,"",MIN(F97:L97))</f>
        <v/>
      </c>
      <c r="F97" s="176">
        <f ca="1">IF(TYPE(VLOOKUP(C97,Konečné_pořadí_1_16!$B$2:$D$17,3,0))&lt;4,VLOOKUP(C97,Konečné_pořadí_1_16!$B$2:$D$17,3,0),999)</f>
        <v>999</v>
      </c>
      <c r="G97" s="176">
        <f ca="1">IF(TYPE(VLOOKUP(C97,'KO64'!$D$4:$D$129,1,0))&lt;4,64,999)</f>
        <v>999</v>
      </c>
      <c r="H97" s="176">
        <f ca="1">IF(TYPE(VLOOKUP(C97,'KO32'!$D$4:$D$65,1,0))&lt;4,32,999)</f>
        <v>999</v>
      </c>
      <c r="I97" s="176">
        <f ca="1">IF(TYPE(VLOOKUP(C97,'KO16'!$D$4:$D$33,1,0))&lt;4,16,999)</f>
        <v>999</v>
      </c>
      <c r="J97" s="176">
        <f ca="1">IF(TYPE(VLOOKUP(C97,'KO8'!$D$4:$D$17,1,0))&lt;4,8,999)</f>
        <v>999</v>
      </c>
      <c r="K97" s="176">
        <f ca="1">IF(TYPE(VLOOKUP(C97,'KO4'!$D$4:$D$9,1,0))&lt;4,4,999)</f>
        <v>999</v>
      </c>
      <c r="L97" s="176">
        <f ca="1">Start.listina!$K$7</f>
        <v>16</v>
      </c>
      <c r="N97" s="176"/>
      <c r="O97" s="176"/>
      <c r="P97" s="176"/>
      <c r="Q97" s="176"/>
      <c r="R97" s="176"/>
      <c r="S97" s="176"/>
      <c r="T97" s="176"/>
      <c r="U97" s="176"/>
      <c r="V97" s="176"/>
      <c r="W97" s="176"/>
      <c r="X97" s="176"/>
      <c r="Y97" s="176"/>
      <c r="Z97" s="176"/>
      <c r="AA97" s="176"/>
      <c r="AB97" s="176"/>
      <c r="AC97" s="176"/>
      <c r="AD97" s="176"/>
      <c r="AE97" s="176"/>
      <c r="AF97" s="176"/>
      <c r="AG97" s="176"/>
      <c r="AH97" s="176"/>
    </row>
    <row r="98" spans="1:34">
      <c r="A98" t="str">
        <f ca="1">IF(OR(Start.listina!H106&gt;Start.listina!$K$7,Start.listina!G106=1),"",Start.listina!H106)</f>
        <v/>
      </c>
      <c r="B98" s="176" t="str">
        <f ca="1">IF(A98&gt;Start.listina!$K$7,"",ADDRESS(INT((A98-1)/$M$2)+1,IF(MOD(A98,$M$2)=0,IF(MOD(INT((A98-1)/$M$2)+1,2)=1,$M$2,1),IF(MOD(INT((A98-1)/$M$2)+1,2)=1,MOD(A98,$M$2),$M$2-MOD(A98,$M$2)+1)),4,1))</f>
        <v/>
      </c>
      <c r="C98" s="178" t="str">
        <f ca="1">Start.listina!$AL106</f>
        <v/>
      </c>
      <c r="D98" s="176" t="str">
        <f ca="1">IF(A98&gt;Start.listina!$K$7,"",INT((A98-1)/$M$2)+1)</f>
        <v/>
      </c>
      <c r="E98" s="490" t="str">
        <f ca="1">IF(A98&gt;Start.listina!$K$7,"",MIN(F98:L98))</f>
        <v/>
      </c>
      <c r="F98" s="176">
        <f ca="1">IF(TYPE(VLOOKUP(C98,Konečné_pořadí_1_16!$B$2:$D$17,3,0))&lt;4,VLOOKUP(C98,Konečné_pořadí_1_16!$B$2:$D$17,3,0),999)</f>
        <v>999</v>
      </c>
      <c r="G98" s="176">
        <f ca="1">IF(TYPE(VLOOKUP(C98,'KO64'!$D$4:$D$129,1,0))&lt;4,64,999)</f>
        <v>999</v>
      </c>
      <c r="H98" s="176">
        <f ca="1">IF(TYPE(VLOOKUP(C98,'KO32'!$D$4:$D$65,1,0))&lt;4,32,999)</f>
        <v>999</v>
      </c>
      <c r="I98" s="176">
        <f ca="1">IF(TYPE(VLOOKUP(C98,'KO16'!$D$4:$D$33,1,0))&lt;4,16,999)</f>
        <v>999</v>
      </c>
      <c r="J98" s="176">
        <f ca="1">IF(TYPE(VLOOKUP(C98,'KO8'!$D$4:$D$17,1,0))&lt;4,8,999)</f>
        <v>999</v>
      </c>
      <c r="K98" s="176">
        <f ca="1">IF(TYPE(VLOOKUP(C98,'KO4'!$D$4:$D$9,1,0))&lt;4,4,999)</f>
        <v>999</v>
      </c>
      <c r="L98" s="176">
        <f ca="1">Start.listina!$K$7</f>
        <v>16</v>
      </c>
      <c r="N98" s="176"/>
      <c r="O98" s="176"/>
      <c r="P98" s="176"/>
      <c r="Q98" s="176"/>
      <c r="R98" s="176"/>
      <c r="S98" s="176"/>
      <c r="T98" s="176"/>
      <c r="U98" s="176"/>
      <c r="V98" s="176"/>
      <c r="W98" s="176"/>
      <c r="X98" s="176"/>
      <c r="Y98" s="176"/>
      <c r="Z98" s="176"/>
      <c r="AA98" s="176"/>
      <c r="AB98" s="176"/>
      <c r="AC98" s="176"/>
      <c r="AD98" s="176"/>
      <c r="AE98" s="176"/>
      <c r="AF98" s="176"/>
      <c r="AG98" s="176"/>
      <c r="AH98" s="176"/>
    </row>
    <row r="99" spans="1:34">
      <c r="A99" t="str">
        <f ca="1">IF(OR(Start.listina!H107&gt;Start.listina!$K$7,Start.listina!G107=1),"",Start.listina!H107)</f>
        <v/>
      </c>
      <c r="B99" s="176" t="str">
        <f ca="1">IF(A99&gt;Start.listina!$K$7,"",ADDRESS(INT((A99-1)/$M$2)+1,IF(MOD(A99,$M$2)=0,IF(MOD(INT((A99-1)/$M$2)+1,2)=1,$M$2,1),IF(MOD(INT((A99-1)/$M$2)+1,2)=1,MOD(A99,$M$2),$M$2-MOD(A99,$M$2)+1)),4,1))</f>
        <v/>
      </c>
      <c r="C99" s="178" t="str">
        <f ca="1">Start.listina!$AL107</f>
        <v/>
      </c>
      <c r="D99" s="176" t="str">
        <f ca="1">IF(A99&gt;Start.listina!$K$7,"",INT((A99-1)/$M$2)+1)</f>
        <v/>
      </c>
      <c r="E99" s="490" t="str">
        <f ca="1">IF(A99&gt;Start.listina!$K$7,"",MIN(F99:L99))</f>
        <v/>
      </c>
      <c r="F99" s="176">
        <f ca="1">IF(TYPE(VLOOKUP(C99,Konečné_pořadí_1_16!$B$2:$D$17,3,0))&lt;4,VLOOKUP(C99,Konečné_pořadí_1_16!$B$2:$D$17,3,0),999)</f>
        <v>999</v>
      </c>
      <c r="G99" s="176">
        <f ca="1">IF(TYPE(VLOOKUP(C99,'KO64'!$D$4:$D$129,1,0))&lt;4,64,999)</f>
        <v>999</v>
      </c>
      <c r="H99" s="176">
        <f ca="1">IF(TYPE(VLOOKUP(C99,'KO32'!$D$4:$D$65,1,0))&lt;4,32,999)</f>
        <v>999</v>
      </c>
      <c r="I99" s="176">
        <f ca="1">IF(TYPE(VLOOKUP(C99,'KO16'!$D$4:$D$33,1,0))&lt;4,16,999)</f>
        <v>999</v>
      </c>
      <c r="J99" s="176">
        <f ca="1">IF(TYPE(VLOOKUP(C99,'KO8'!$D$4:$D$17,1,0))&lt;4,8,999)</f>
        <v>999</v>
      </c>
      <c r="K99" s="176">
        <f ca="1">IF(TYPE(VLOOKUP(C99,'KO4'!$D$4:$D$9,1,0))&lt;4,4,999)</f>
        <v>999</v>
      </c>
      <c r="L99" s="176">
        <f ca="1">Start.listina!$K$7</f>
        <v>16</v>
      </c>
      <c r="N99" s="176"/>
      <c r="O99" s="176"/>
      <c r="P99" s="176"/>
      <c r="Q99" s="176"/>
      <c r="R99" s="176"/>
      <c r="S99" s="176"/>
      <c r="T99" s="176"/>
      <c r="U99" s="176"/>
      <c r="V99" s="176"/>
      <c r="W99" s="176"/>
      <c r="X99" s="176"/>
      <c r="Y99" s="176"/>
      <c r="Z99" s="176"/>
      <c r="AA99" s="176"/>
      <c r="AB99" s="176"/>
      <c r="AC99" s="176"/>
      <c r="AD99" s="176"/>
      <c r="AE99" s="176"/>
      <c r="AF99" s="176"/>
      <c r="AG99" s="176"/>
      <c r="AH99" s="176"/>
    </row>
    <row r="100" spans="1:34">
      <c r="A100" t="str">
        <f ca="1">IF(OR(Start.listina!H108&gt;Start.listina!$K$7,Start.listina!G108=1),"",Start.listina!H108)</f>
        <v/>
      </c>
      <c r="B100" s="176" t="str">
        <f ca="1">IF(A100&gt;Start.listina!$K$7,"",ADDRESS(INT((A100-1)/$M$2)+1,IF(MOD(A100,$M$2)=0,IF(MOD(INT((A100-1)/$M$2)+1,2)=1,$M$2,1),IF(MOD(INT((A100-1)/$M$2)+1,2)=1,MOD(A100,$M$2),$M$2-MOD(A100,$M$2)+1)),4,1))</f>
        <v/>
      </c>
      <c r="C100" s="178" t="str">
        <f ca="1">Start.listina!$AL108</f>
        <v/>
      </c>
      <c r="D100" s="176" t="str">
        <f ca="1">IF(A100&gt;Start.listina!$K$7,"",INT((A100-1)/$M$2)+1)</f>
        <v/>
      </c>
      <c r="E100" s="490" t="str">
        <f ca="1">IF(A100&gt;Start.listina!$K$7,"",MIN(F100:L100))</f>
        <v/>
      </c>
      <c r="F100" s="176">
        <f ca="1">IF(TYPE(VLOOKUP(C100,Konečné_pořadí_1_16!$B$2:$D$17,3,0))&lt;4,VLOOKUP(C100,Konečné_pořadí_1_16!$B$2:$D$17,3,0),999)</f>
        <v>999</v>
      </c>
      <c r="G100" s="176">
        <f ca="1">IF(TYPE(VLOOKUP(C100,'KO64'!$D$4:$D$129,1,0))&lt;4,64,999)</f>
        <v>999</v>
      </c>
      <c r="H100" s="176">
        <f ca="1">IF(TYPE(VLOOKUP(C100,'KO32'!$D$4:$D$65,1,0))&lt;4,32,999)</f>
        <v>999</v>
      </c>
      <c r="I100" s="176">
        <f ca="1">IF(TYPE(VLOOKUP(C100,'KO16'!$D$4:$D$33,1,0))&lt;4,16,999)</f>
        <v>999</v>
      </c>
      <c r="J100" s="176">
        <f ca="1">IF(TYPE(VLOOKUP(C100,'KO8'!$D$4:$D$17,1,0))&lt;4,8,999)</f>
        <v>999</v>
      </c>
      <c r="K100" s="176">
        <f ca="1">IF(TYPE(VLOOKUP(C100,'KO4'!$D$4:$D$9,1,0))&lt;4,4,999)</f>
        <v>999</v>
      </c>
      <c r="L100" s="176">
        <f ca="1">Start.listina!$K$7</f>
        <v>16</v>
      </c>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row>
    <row r="101" spans="1:34">
      <c r="A101" t="str">
        <f ca="1">IF(OR(Start.listina!H109&gt;Start.listina!$K$7,Start.listina!G109=1),"",Start.listina!H109)</f>
        <v/>
      </c>
      <c r="B101" s="176" t="str">
        <f ca="1">IF(A101&gt;Start.listina!$K$7,"",ADDRESS(INT((A101-1)/$M$2)+1,IF(MOD(A101,$M$2)=0,IF(MOD(INT((A101-1)/$M$2)+1,2)=1,$M$2,1),IF(MOD(INT((A101-1)/$M$2)+1,2)=1,MOD(A101,$M$2),$M$2-MOD(A101,$M$2)+1)),4,1))</f>
        <v/>
      </c>
      <c r="C101" s="178" t="str">
        <f ca="1">Start.listina!$AL109</f>
        <v/>
      </c>
      <c r="D101" s="176" t="str">
        <f ca="1">IF(A101&gt;Start.listina!$K$7,"",INT((A101-1)/$M$2)+1)</f>
        <v/>
      </c>
      <c r="E101" s="490" t="str">
        <f ca="1">IF(A101&gt;Start.listina!$K$7,"",MIN(F101:L101))</f>
        <v/>
      </c>
      <c r="F101" s="176">
        <f ca="1">IF(TYPE(VLOOKUP(C101,Konečné_pořadí_1_16!$B$2:$D$17,3,0))&lt;4,VLOOKUP(C101,Konečné_pořadí_1_16!$B$2:$D$17,3,0),999)</f>
        <v>999</v>
      </c>
      <c r="G101" s="176">
        <f ca="1">IF(TYPE(VLOOKUP(C101,'KO64'!$D$4:$D$129,1,0))&lt;4,64,999)</f>
        <v>999</v>
      </c>
      <c r="H101" s="176">
        <f ca="1">IF(TYPE(VLOOKUP(C101,'KO32'!$D$4:$D$65,1,0))&lt;4,32,999)</f>
        <v>999</v>
      </c>
      <c r="I101" s="176">
        <f ca="1">IF(TYPE(VLOOKUP(C101,'KO16'!$D$4:$D$33,1,0))&lt;4,16,999)</f>
        <v>999</v>
      </c>
      <c r="J101" s="176">
        <f ca="1">IF(TYPE(VLOOKUP(C101,'KO8'!$D$4:$D$17,1,0))&lt;4,8,999)</f>
        <v>999</v>
      </c>
      <c r="K101" s="176">
        <f ca="1">IF(TYPE(VLOOKUP(C101,'KO4'!$D$4:$D$9,1,0))&lt;4,4,999)</f>
        <v>999</v>
      </c>
      <c r="L101" s="176">
        <f ca="1">Start.listina!$K$7</f>
        <v>16</v>
      </c>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row>
    <row r="102" spans="1:34">
      <c r="A102" t="str">
        <f ca="1">IF(OR(Start.listina!H110&gt;Start.listina!$K$7,Start.listina!G110=1),"",Start.listina!H110)</f>
        <v/>
      </c>
      <c r="B102" s="176" t="str">
        <f ca="1">IF(A102&gt;Start.listina!$K$7,"",ADDRESS(INT((A102-1)/$M$2)+1,IF(MOD(A102,$M$2)=0,IF(MOD(INT((A102-1)/$M$2)+1,2)=1,$M$2,1),IF(MOD(INT((A102-1)/$M$2)+1,2)=1,MOD(A102,$M$2),$M$2-MOD(A102,$M$2)+1)),4,1))</f>
        <v/>
      </c>
      <c r="C102" s="178" t="str">
        <f ca="1">Start.listina!$AL110</f>
        <v/>
      </c>
      <c r="D102" s="176" t="str">
        <f ca="1">IF(A102&gt;Start.listina!$K$7,"",INT((A102-1)/$M$2)+1)</f>
        <v/>
      </c>
      <c r="E102" s="490" t="str">
        <f ca="1">IF(A102&gt;Start.listina!$K$7,"",MIN(F102:L102))</f>
        <v/>
      </c>
      <c r="F102" s="176">
        <f ca="1">IF(TYPE(VLOOKUP(C102,Konečné_pořadí_1_16!$B$2:$D$17,3,0))&lt;4,VLOOKUP(C102,Konečné_pořadí_1_16!$B$2:$D$17,3,0),999)</f>
        <v>999</v>
      </c>
      <c r="G102" s="176">
        <f ca="1">IF(TYPE(VLOOKUP(C102,'KO64'!$D$4:$D$129,1,0))&lt;4,64,999)</f>
        <v>999</v>
      </c>
      <c r="H102" s="176">
        <f ca="1">IF(TYPE(VLOOKUP(C102,'KO32'!$D$4:$D$65,1,0))&lt;4,32,999)</f>
        <v>999</v>
      </c>
      <c r="I102" s="176">
        <f ca="1">IF(TYPE(VLOOKUP(C102,'KO16'!$D$4:$D$33,1,0))&lt;4,16,999)</f>
        <v>999</v>
      </c>
      <c r="J102" s="176">
        <f ca="1">IF(TYPE(VLOOKUP(C102,'KO8'!$D$4:$D$17,1,0))&lt;4,8,999)</f>
        <v>999</v>
      </c>
      <c r="K102" s="176">
        <f ca="1">IF(TYPE(VLOOKUP(C102,'KO4'!$D$4:$D$9,1,0))&lt;4,4,999)</f>
        <v>999</v>
      </c>
      <c r="L102" s="176">
        <f ca="1">Start.listina!$K$7</f>
        <v>16</v>
      </c>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row>
    <row r="103" spans="1:34">
      <c r="A103" t="str">
        <f ca="1">IF(OR(Start.listina!H111&gt;Start.listina!$K$7,Start.listina!G111=1),"",Start.listina!H111)</f>
        <v/>
      </c>
      <c r="B103" s="176" t="str">
        <f ca="1">IF(A103&gt;Start.listina!$K$7,"",ADDRESS(INT((A103-1)/$M$2)+1,IF(MOD(A103,$M$2)=0,IF(MOD(INT((A103-1)/$M$2)+1,2)=1,$M$2,1),IF(MOD(INT((A103-1)/$M$2)+1,2)=1,MOD(A103,$M$2),$M$2-MOD(A103,$M$2)+1)),4,1))</f>
        <v/>
      </c>
      <c r="C103" s="178" t="str">
        <f ca="1">Start.listina!$AL111</f>
        <v/>
      </c>
      <c r="D103" s="176" t="str">
        <f ca="1">IF(A103&gt;Start.listina!$K$7,"",INT((A103-1)/$M$2)+1)</f>
        <v/>
      </c>
      <c r="E103" s="490" t="str">
        <f ca="1">IF(A103&gt;Start.listina!$K$7,"",MIN(F103:L103))</f>
        <v/>
      </c>
      <c r="F103" s="176">
        <f ca="1">IF(TYPE(VLOOKUP(C103,Konečné_pořadí_1_16!$B$2:$D$17,3,0))&lt;4,VLOOKUP(C103,Konečné_pořadí_1_16!$B$2:$D$17,3,0),999)</f>
        <v>999</v>
      </c>
      <c r="G103" s="176">
        <f ca="1">IF(TYPE(VLOOKUP(C103,'KO64'!$D$4:$D$129,1,0))&lt;4,64,999)</f>
        <v>999</v>
      </c>
      <c r="H103" s="176">
        <f ca="1">IF(TYPE(VLOOKUP(C103,'KO32'!$D$4:$D$65,1,0))&lt;4,32,999)</f>
        <v>999</v>
      </c>
      <c r="I103" s="176">
        <f ca="1">IF(TYPE(VLOOKUP(C103,'KO16'!$D$4:$D$33,1,0))&lt;4,16,999)</f>
        <v>999</v>
      </c>
      <c r="J103" s="176">
        <f ca="1">IF(TYPE(VLOOKUP(C103,'KO8'!$D$4:$D$17,1,0))&lt;4,8,999)</f>
        <v>999</v>
      </c>
      <c r="K103" s="176">
        <f ca="1">IF(TYPE(VLOOKUP(C103,'KO4'!$D$4:$D$9,1,0))&lt;4,4,999)</f>
        <v>999</v>
      </c>
      <c r="L103" s="176">
        <f ca="1">Start.listina!$K$7</f>
        <v>16</v>
      </c>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row>
    <row r="104" spans="1:34">
      <c r="A104" t="str">
        <f ca="1">IF(OR(Start.listina!H112&gt;Start.listina!$K$7,Start.listina!G112=1),"",Start.listina!H112)</f>
        <v/>
      </c>
      <c r="B104" s="176" t="str">
        <f ca="1">IF(A104&gt;Start.listina!$K$7,"",ADDRESS(INT((A104-1)/$M$2)+1,IF(MOD(A104,$M$2)=0,IF(MOD(INT((A104-1)/$M$2)+1,2)=1,$M$2,1),IF(MOD(INT((A104-1)/$M$2)+1,2)=1,MOD(A104,$M$2),$M$2-MOD(A104,$M$2)+1)),4,1))</f>
        <v/>
      </c>
      <c r="C104" s="178" t="str">
        <f ca="1">Start.listina!$AL112</f>
        <v/>
      </c>
      <c r="D104" s="176" t="str">
        <f ca="1">IF(A104&gt;Start.listina!$K$7,"",INT((A104-1)/$M$2)+1)</f>
        <v/>
      </c>
      <c r="E104" s="490" t="str">
        <f ca="1">IF(A104&gt;Start.listina!$K$7,"",MIN(F104:L104))</f>
        <v/>
      </c>
      <c r="F104" s="176">
        <f ca="1">IF(TYPE(VLOOKUP(C104,Konečné_pořadí_1_16!$B$2:$D$17,3,0))&lt;4,VLOOKUP(C104,Konečné_pořadí_1_16!$B$2:$D$17,3,0),999)</f>
        <v>999</v>
      </c>
      <c r="G104" s="176">
        <f ca="1">IF(TYPE(VLOOKUP(C104,'KO64'!$D$4:$D$129,1,0))&lt;4,64,999)</f>
        <v>999</v>
      </c>
      <c r="H104" s="176">
        <f ca="1">IF(TYPE(VLOOKUP(C104,'KO32'!$D$4:$D$65,1,0))&lt;4,32,999)</f>
        <v>999</v>
      </c>
      <c r="I104" s="176">
        <f ca="1">IF(TYPE(VLOOKUP(C104,'KO16'!$D$4:$D$33,1,0))&lt;4,16,999)</f>
        <v>999</v>
      </c>
      <c r="J104" s="176">
        <f ca="1">IF(TYPE(VLOOKUP(C104,'KO8'!$D$4:$D$17,1,0))&lt;4,8,999)</f>
        <v>999</v>
      </c>
      <c r="K104" s="176">
        <f ca="1">IF(TYPE(VLOOKUP(C104,'KO4'!$D$4:$D$9,1,0))&lt;4,4,999)</f>
        <v>999</v>
      </c>
      <c r="L104" s="176">
        <f ca="1">Start.listina!$K$7</f>
        <v>16</v>
      </c>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row>
    <row r="105" spans="1:34">
      <c r="A105" t="str">
        <f ca="1">IF(OR(Start.listina!H113&gt;Start.listina!$K$7,Start.listina!G113=1),"",Start.listina!H113)</f>
        <v/>
      </c>
      <c r="B105" s="176" t="str">
        <f ca="1">IF(A105&gt;Start.listina!$K$7,"",ADDRESS(INT((A105-1)/$M$2)+1,IF(MOD(A105,$M$2)=0,IF(MOD(INT((A105-1)/$M$2)+1,2)=1,$M$2,1),IF(MOD(INT((A105-1)/$M$2)+1,2)=1,MOD(A105,$M$2),$M$2-MOD(A105,$M$2)+1)),4,1))</f>
        <v/>
      </c>
      <c r="C105" s="178" t="str">
        <f ca="1">Start.listina!$AL113</f>
        <v/>
      </c>
      <c r="D105" s="176" t="str">
        <f ca="1">IF(A105&gt;Start.listina!$K$7,"",INT((A105-1)/$M$2)+1)</f>
        <v/>
      </c>
      <c r="E105" s="490" t="str">
        <f ca="1">IF(A105&gt;Start.listina!$K$7,"",MIN(F105:L105))</f>
        <v/>
      </c>
      <c r="F105" s="176">
        <f ca="1">IF(TYPE(VLOOKUP(C105,Konečné_pořadí_1_16!$B$2:$D$17,3,0))&lt;4,VLOOKUP(C105,Konečné_pořadí_1_16!$B$2:$D$17,3,0),999)</f>
        <v>999</v>
      </c>
      <c r="G105" s="176">
        <f ca="1">IF(TYPE(VLOOKUP(C105,'KO64'!$D$4:$D$129,1,0))&lt;4,64,999)</f>
        <v>999</v>
      </c>
      <c r="H105" s="176">
        <f ca="1">IF(TYPE(VLOOKUP(C105,'KO32'!$D$4:$D$65,1,0))&lt;4,32,999)</f>
        <v>999</v>
      </c>
      <c r="I105" s="176">
        <f ca="1">IF(TYPE(VLOOKUP(C105,'KO16'!$D$4:$D$33,1,0))&lt;4,16,999)</f>
        <v>999</v>
      </c>
      <c r="J105" s="176">
        <f ca="1">IF(TYPE(VLOOKUP(C105,'KO8'!$D$4:$D$17,1,0))&lt;4,8,999)</f>
        <v>999</v>
      </c>
      <c r="K105" s="176">
        <f ca="1">IF(TYPE(VLOOKUP(C105,'KO4'!$D$4:$D$9,1,0))&lt;4,4,999)</f>
        <v>999</v>
      </c>
      <c r="L105" s="176">
        <f ca="1">Start.listina!$K$7</f>
        <v>16</v>
      </c>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row>
    <row r="106" spans="1:34">
      <c r="A106" t="str">
        <f ca="1">IF(OR(Start.listina!H114&gt;Start.listina!$K$7,Start.listina!G114=1),"",Start.listina!H114)</f>
        <v/>
      </c>
      <c r="B106" s="176" t="str">
        <f ca="1">IF(A106&gt;Start.listina!$K$7,"",ADDRESS(INT((A106-1)/$M$2)+1,IF(MOD(A106,$M$2)=0,IF(MOD(INT((A106-1)/$M$2)+1,2)=1,$M$2,1),IF(MOD(INT((A106-1)/$M$2)+1,2)=1,MOD(A106,$M$2),$M$2-MOD(A106,$M$2)+1)),4,1))</f>
        <v/>
      </c>
      <c r="C106" s="178" t="str">
        <f ca="1">Start.listina!$AL114</f>
        <v/>
      </c>
      <c r="D106" s="176" t="str">
        <f ca="1">IF(A106&gt;Start.listina!$K$7,"",INT((A106-1)/$M$2)+1)</f>
        <v/>
      </c>
      <c r="E106" s="490" t="str">
        <f ca="1">IF(A106&gt;Start.listina!$K$7,"",MIN(F106:L106))</f>
        <v/>
      </c>
      <c r="F106" s="176">
        <f ca="1">IF(TYPE(VLOOKUP(C106,Konečné_pořadí_1_16!$B$2:$D$17,3,0))&lt;4,VLOOKUP(C106,Konečné_pořadí_1_16!$B$2:$D$17,3,0),999)</f>
        <v>999</v>
      </c>
      <c r="G106" s="176">
        <f ca="1">IF(TYPE(VLOOKUP(C106,'KO64'!$D$4:$D$129,1,0))&lt;4,64,999)</f>
        <v>999</v>
      </c>
      <c r="H106" s="176">
        <f ca="1">IF(TYPE(VLOOKUP(C106,'KO32'!$D$4:$D$65,1,0))&lt;4,32,999)</f>
        <v>999</v>
      </c>
      <c r="I106" s="176">
        <f ca="1">IF(TYPE(VLOOKUP(C106,'KO16'!$D$4:$D$33,1,0))&lt;4,16,999)</f>
        <v>999</v>
      </c>
      <c r="J106" s="176">
        <f ca="1">IF(TYPE(VLOOKUP(C106,'KO8'!$D$4:$D$17,1,0))&lt;4,8,999)</f>
        <v>999</v>
      </c>
      <c r="K106" s="176">
        <f ca="1">IF(TYPE(VLOOKUP(C106,'KO4'!$D$4:$D$9,1,0))&lt;4,4,999)</f>
        <v>999</v>
      </c>
      <c r="L106" s="176">
        <f ca="1">Start.listina!$K$7</f>
        <v>16</v>
      </c>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row>
    <row r="107" spans="1:34">
      <c r="A107" t="str">
        <f ca="1">IF(OR(Start.listina!H115&gt;Start.listina!$K$7,Start.listina!G115=1),"",Start.listina!H115)</f>
        <v/>
      </c>
      <c r="B107" s="176" t="str">
        <f ca="1">IF(A107&gt;Start.listina!$K$7,"",ADDRESS(INT((A107-1)/$M$2)+1,IF(MOD(A107,$M$2)=0,IF(MOD(INT((A107-1)/$M$2)+1,2)=1,$M$2,1),IF(MOD(INT((A107-1)/$M$2)+1,2)=1,MOD(A107,$M$2),$M$2-MOD(A107,$M$2)+1)),4,1))</f>
        <v/>
      </c>
      <c r="C107" s="178" t="str">
        <f ca="1">Start.listina!$AL115</f>
        <v/>
      </c>
      <c r="D107" s="176" t="str">
        <f ca="1">IF(A107&gt;Start.listina!$K$7,"",INT((A107-1)/$M$2)+1)</f>
        <v/>
      </c>
      <c r="E107" s="490" t="str">
        <f ca="1">IF(A107&gt;Start.listina!$K$7,"",MIN(F107:L107))</f>
        <v/>
      </c>
      <c r="F107" s="176">
        <f ca="1">IF(TYPE(VLOOKUP(C107,Konečné_pořadí_1_16!$B$2:$D$17,3,0))&lt;4,VLOOKUP(C107,Konečné_pořadí_1_16!$B$2:$D$17,3,0),999)</f>
        <v>999</v>
      </c>
      <c r="G107" s="176">
        <f ca="1">IF(TYPE(VLOOKUP(C107,'KO64'!$D$4:$D$129,1,0))&lt;4,64,999)</f>
        <v>999</v>
      </c>
      <c r="H107" s="176">
        <f ca="1">IF(TYPE(VLOOKUP(C107,'KO32'!$D$4:$D$65,1,0))&lt;4,32,999)</f>
        <v>999</v>
      </c>
      <c r="I107" s="176">
        <f ca="1">IF(TYPE(VLOOKUP(C107,'KO16'!$D$4:$D$33,1,0))&lt;4,16,999)</f>
        <v>999</v>
      </c>
      <c r="J107" s="176">
        <f ca="1">IF(TYPE(VLOOKUP(C107,'KO8'!$D$4:$D$17,1,0))&lt;4,8,999)</f>
        <v>999</v>
      </c>
      <c r="K107" s="176">
        <f ca="1">IF(TYPE(VLOOKUP(C107,'KO4'!$D$4:$D$9,1,0))&lt;4,4,999)</f>
        <v>999</v>
      </c>
      <c r="L107" s="176">
        <f ca="1">Start.listina!$K$7</f>
        <v>16</v>
      </c>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row>
    <row r="108" spans="1:34">
      <c r="A108" t="str">
        <f ca="1">IF(OR(Start.listina!H116&gt;Start.listina!$K$7,Start.listina!G116=1),"",Start.listina!H116)</f>
        <v/>
      </c>
      <c r="B108" s="176" t="str">
        <f ca="1">IF(A108&gt;Start.listina!$K$7,"",ADDRESS(INT((A108-1)/$M$2)+1,IF(MOD(A108,$M$2)=0,IF(MOD(INT((A108-1)/$M$2)+1,2)=1,$M$2,1),IF(MOD(INT((A108-1)/$M$2)+1,2)=1,MOD(A108,$M$2),$M$2-MOD(A108,$M$2)+1)),4,1))</f>
        <v/>
      </c>
      <c r="C108" s="178" t="str">
        <f ca="1">Start.listina!$AL116</f>
        <v/>
      </c>
      <c r="D108" s="176" t="str">
        <f ca="1">IF(A108&gt;Start.listina!$K$7,"",INT((A108-1)/$M$2)+1)</f>
        <v/>
      </c>
      <c r="E108" s="490" t="str">
        <f ca="1">IF(A108&gt;Start.listina!$K$7,"",MIN(F108:L108))</f>
        <v/>
      </c>
      <c r="F108" s="176">
        <f ca="1">IF(TYPE(VLOOKUP(C108,Konečné_pořadí_1_16!$B$2:$D$17,3,0))&lt;4,VLOOKUP(C108,Konečné_pořadí_1_16!$B$2:$D$17,3,0),999)</f>
        <v>999</v>
      </c>
      <c r="G108" s="176">
        <f ca="1">IF(TYPE(VLOOKUP(C108,'KO64'!$D$4:$D$129,1,0))&lt;4,64,999)</f>
        <v>999</v>
      </c>
      <c r="H108" s="176">
        <f ca="1">IF(TYPE(VLOOKUP(C108,'KO32'!$D$4:$D$65,1,0))&lt;4,32,999)</f>
        <v>999</v>
      </c>
      <c r="I108" s="176">
        <f ca="1">IF(TYPE(VLOOKUP(C108,'KO16'!$D$4:$D$33,1,0))&lt;4,16,999)</f>
        <v>999</v>
      </c>
      <c r="J108" s="176">
        <f ca="1">IF(TYPE(VLOOKUP(C108,'KO8'!$D$4:$D$17,1,0))&lt;4,8,999)</f>
        <v>999</v>
      </c>
      <c r="K108" s="176">
        <f ca="1">IF(TYPE(VLOOKUP(C108,'KO4'!$D$4:$D$9,1,0))&lt;4,4,999)</f>
        <v>999</v>
      </c>
      <c r="L108" s="176">
        <f ca="1">Start.listina!$K$7</f>
        <v>16</v>
      </c>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row>
    <row r="109" spans="1:34">
      <c r="A109" t="str">
        <f ca="1">IF(OR(Start.listina!H117&gt;Start.listina!$K$7,Start.listina!G117=1),"",Start.listina!H117)</f>
        <v/>
      </c>
      <c r="B109" s="176" t="str">
        <f ca="1">IF(A109&gt;Start.listina!$K$7,"",ADDRESS(INT((A109-1)/$M$2)+1,IF(MOD(A109,$M$2)=0,IF(MOD(INT((A109-1)/$M$2)+1,2)=1,$M$2,1),IF(MOD(INT((A109-1)/$M$2)+1,2)=1,MOD(A109,$M$2),$M$2-MOD(A109,$M$2)+1)),4,1))</f>
        <v/>
      </c>
      <c r="C109" s="178" t="str">
        <f ca="1">Start.listina!$AL117</f>
        <v/>
      </c>
      <c r="D109" s="176" t="str">
        <f ca="1">IF(A109&gt;Start.listina!$K$7,"",INT((A109-1)/$M$2)+1)</f>
        <v/>
      </c>
      <c r="E109" s="490" t="str">
        <f ca="1">IF(A109&gt;Start.listina!$K$7,"",MIN(F109:L109))</f>
        <v/>
      </c>
      <c r="F109" s="176">
        <f ca="1">IF(TYPE(VLOOKUP(C109,Konečné_pořadí_1_16!$B$2:$D$17,3,0))&lt;4,VLOOKUP(C109,Konečné_pořadí_1_16!$B$2:$D$17,3,0),999)</f>
        <v>999</v>
      </c>
      <c r="G109" s="176">
        <f ca="1">IF(TYPE(VLOOKUP(C109,'KO64'!$D$4:$D$129,1,0))&lt;4,64,999)</f>
        <v>999</v>
      </c>
      <c r="H109" s="176">
        <f ca="1">IF(TYPE(VLOOKUP(C109,'KO32'!$D$4:$D$65,1,0))&lt;4,32,999)</f>
        <v>999</v>
      </c>
      <c r="I109" s="176">
        <f ca="1">IF(TYPE(VLOOKUP(C109,'KO16'!$D$4:$D$33,1,0))&lt;4,16,999)</f>
        <v>999</v>
      </c>
      <c r="J109" s="176">
        <f ca="1">IF(TYPE(VLOOKUP(C109,'KO8'!$D$4:$D$17,1,0))&lt;4,8,999)</f>
        <v>999</v>
      </c>
      <c r="K109" s="176">
        <f ca="1">IF(TYPE(VLOOKUP(C109,'KO4'!$D$4:$D$9,1,0))&lt;4,4,999)</f>
        <v>999</v>
      </c>
      <c r="L109" s="176">
        <f ca="1">Start.listina!$K$7</f>
        <v>16</v>
      </c>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row>
    <row r="110" spans="1:34">
      <c r="A110" t="str">
        <f ca="1">IF(OR(Start.listina!H118&gt;Start.listina!$K$7,Start.listina!G118=1),"",Start.listina!H118)</f>
        <v/>
      </c>
      <c r="B110" s="176" t="str">
        <f ca="1">IF(A110&gt;Start.listina!$K$7,"",ADDRESS(INT((A110-1)/$M$2)+1,IF(MOD(A110,$M$2)=0,IF(MOD(INT((A110-1)/$M$2)+1,2)=1,$M$2,1),IF(MOD(INT((A110-1)/$M$2)+1,2)=1,MOD(A110,$M$2),$M$2-MOD(A110,$M$2)+1)),4,1))</f>
        <v/>
      </c>
      <c r="C110" s="178" t="str">
        <f ca="1">Start.listina!$AL118</f>
        <v/>
      </c>
      <c r="D110" s="176" t="str">
        <f ca="1">IF(A110&gt;Start.listina!$K$7,"",INT((A110-1)/$M$2)+1)</f>
        <v/>
      </c>
      <c r="E110" s="490" t="str">
        <f ca="1">IF(A110&gt;Start.listina!$K$7,"",MIN(F110:L110))</f>
        <v/>
      </c>
      <c r="F110" s="176">
        <f ca="1">IF(TYPE(VLOOKUP(C110,Konečné_pořadí_1_16!$B$2:$D$17,3,0))&lt;4,VLOOKUP(C110,Konečné_pořadí_1_16!$B$2:$D$17,3,0),999)</f>
        <v>999</v>
      </c>
      <c r="G110" s="176">
        <f ca="1">IF(TYPE(VLOOKUP(C110,'KO64'!$D$4:$D$129,1,0))&lt;4,64,999)</f>
        <v>999</v>
      </c>
      <c r="H110" s="176">
        <f ca="1">IF(TYPE(VLOOKUP(C110,'KO32'!$D$4:$D$65,1,0))&lt;4,32,999)</f>
        <v>999</v>
      </c>
      <c r="I110" s="176">
        <f ca="1">IF(TYPE(VLOOKUP(C110,'KO16'!$D$4:$D$33,1,0))&lt;4,16,999)</f>
        <v>999</v>
      </c>
      <c r="J110" s="176">
        <f ca="1">IF(TYPE(VLOOKUP(C110,'KO8'!$D$4:$D$17,1,0))&lt;4,8,999)</f>
        <v>999</v>
      </c>
      <c r="K110" s="176">
        <f ca="1">IF(TYPE(VLOOKUP(C110,'KO4'!$D$4:$D$9,1,0))&lt;4,4,999)</f>
        <v>999</v>
      </c>
      <c r="L110" s="176">
        <f ca="1">Start.listina!$K$7</f>
        <v>16</v>
      </c>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row>
    <row r="111" spans="1:34">
      <c r="A111" t="str">
        <f ca="1">IF(OR(Start.listina!H119&gt;Start.listina!$K$7,Start.listina!G119=1),"",Start.listina!H119)</f>
        <v/>
      </c>
      <c r="B111" s="176" t="str">
        <f ca="1">IF(A111&gt;Start.listina!$K$7,"",ADDRESS(INT((A111-1)/$M$2)+1,IF(MOD(A111,$M$2)=0,IF(MOD(INT((A111-1)/$M$2)+1,2)=1,$M$2,1),IF(MOD(INT((A111-1)/$M$2)+1,2)=1,MOD(A111,$M$2),$M$2-MOD(A111,$M$2)+1)),4,1))</f>
        <v/>
      </c>
      <c r="C111" s="178" t="str">
        <f ca="1">Start.listina!$AL119</f>
        <v/>
      </c>
      <c r="D111" s="176" t="str">
        <f ca="1">IF(A111&gt;Start.listina!$K$7,"",INT((A111-1)/$M$2)+1)</f>
        <v/>
      </c>
      <c r="E111" s="490" t="str">
        <f ca="1">IF(A111&gt;Start.listina!$K$7,"",MIN(F111:L111))</f>
        <v/>
      </c>
      <c r="F111" s="176">
        <f ca="1">IF(TYPE(VLOOKUP(C111,Konečné_pořadí_1_16!$B$2:$D$17,3,0))&lt;4,VLOOKUP(C111,Konečné_pořadí_1_16!$B$2:$D$17,3,0),999)</f>
        <v>999</v>
      </c>
      <c r="G111" s="176">
        <f ca="1">IF(TYPE(VLOOKUP(C111,'KO64'!$D$4:$D$129,1,0))&lt;4,64,999)</f>
        <v>999</v>
      </c>
      <c r="H111" s="176">
        <f ca="1">IF(TYPE(VLOOKUP(C111,'KO32'!$D$4:$D$65,1,0))&lt;4,32,999)</f>
        <v>999</v>
      </c>
      <c r="I111" s="176">
        <f ca="1">IF(TYPE(VLOOKUP(C111,'KO16'!$D$4:$D$33,1,0))&lt;4,16,999)</f>
        <v>999</v>
      </c>
      <c r="J111" s="176">
        <f ca="1">IF(TYPE(VLOOKUP(C111,'KO8'!$D$4:$D$17,1,0))&lt;4,8,999)</f>
        <v>999</v>
      </c>
      <c r="K111" s="176">
        <f ca="1">IF(TYPE(VLOOKUP(C111,'KO4'!$D$4:$D$9,1,0))&lt;4,4,999)</f>
        <v>999</v>
      </c>
      <c r="L111" s="176">
        <f ca="1">Start.listina!$K$7</f>
        <v>16</v>
      </c>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row>
    <row r="112" spans="1:34">
      <c r="A112" t="str">
        <f ca="1">IF(OR(Start.listina!H120&gt;Start.listina!$K$7,Start.listina!G120=1),"",Start.listina!H120)</f>
        <v/>
      </c>
      <c r="B112" s="176" t="str">
        <f ca="1">IF(A112&gt;Start.listina!$K$7,"",ADDRESS(INT((A112-1)/$M$2)+1,IF(MOD(A112,$M$2)=0,IF(MOD(INT((A112-1)/$M$2)+1,2)=1,$M$2,1),IF(MOD(INT((A112-1)/$M$2)+1,2)=1,MOD(A112,$M$2),$M$2-MOD(A112,$M$2)+1)),4,1))</f>
        <v/>
      </c>
      <c r="C112" s="178" t="str">
        <f ca="1">Start.listina!$AL120</f>
        <v/>
      </c>
      <c r="D112" s="176" t="str">
        <f ca="1">IF(A112&gt;Start.listina!$K$7,"",INT((A112-1)/$M$2)+1)</f>
        <v/>
      </c>
      <c r="E112" s="490" t="str">
        <f ca="1">IF(A112&gt;Start.listina!$K$7,"",MIN(F112:L112))</f>
        <v/>
      </c>
      <c r="F112" s="176">
        <f ca="1">IF(TYPE(VLOOKUP(C112,Konečné_pořadí_1_16!$B$2:$D$17,3,0))&lt;4,VLOOKUP(C112,Konečné_pořadí_1_16!$B$2:$D$17,3,0),999)</f>
        <v>999</v>
      </c>
      <c r="G112" s="176">
        <f ca="1">IF(TYPE(VLOOKUP(C112,'KO64'!$D$4:$D$129,1,0))&lt;4,64,999)</f>
        <v>999</v>
      </c>
      <c r="H112" s="176">
        <f ca="1">IF(TYPE(VLOOKUP(C112,'KO32'!$D$4:$D$65,1,0))&lt;4,32,999)</f>
        <v>999</v>
      </c>
      <c r="I112" s="176">
        <f ca="1">IF(TYPE(VLOOKUP(C112,'KO16'!$D$4:$D$33,1,0))&lt;4,16,999)</f>
        <v>999</v>
      </c>
      <c r="J112" s="176">
        <f ca="1">IF(TYPE(VLOOKUP(C112,'KO8'!$D$4:$D$17,1,0))&lt;4,8,999)</f>
        <v>999</v>
      </c>
      <c r="K112" s="176">
        <f ca="1">IF(TYPE(VLOOKUP(C112,'KO4'!$D$4:$D$9,1,0))&lt;4,4,999)</f>
        <v>999</v>
      </c>
      <c r="L112" s="176">
        <f ca="1">Start.listina!$K$7</f>
        <v>16</v>
      </c>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row>
    <row r="113" spans="1:34">
      <c r="A113" t="str">
        <f ca="1">IF(OR(Start.listina!H121&gt;Start.listina!$K$7,Start.listina!G121=1),"",Start.listina!H121)</f>
        <v/>
      </c>
      <c r="B113" s="176" t="str">
        <f ca="1">IF(A113&gt;Start.listina!$K$7,"",ADDRESS(INT((A113-1)/$M$2)+1,IF(MOD(A113,$M$2)=0,IF(MOD(INT((A113-1)/$M$2)+1,2)=1,$M$2,1),IF(MOD(INT((A113-1)/$M$2)+1,2)=1,MOD(A113,$M$2),$M$2-MOD(A113,$M$2)+1)),4,1))</f>
        <v/>
      </c>
      <c r="C113" s="178" t="str">
        <f ca="1">Start.listina!$AL121</f>
        <v/>
      </c>
      <c r="D113" s="176" t="str">
        <f ca="1">IF(A113&gt;Start.listina!$K$7,"",INT((A113-1)/$M$2)+1)</f>
        <v/>
      </c>
      <c r="E113" s="490" t="str">
        <f ca="1">IF(A113&gt;Start.listina!$K$7,"",MIN(F113:L113))</f>
        <v/>
      </c>
      <c r="F113" s="176">
        <f ca="1">IF(TYPE(VLOOKUP(C113,Konečné_pořadí_1_16!$B$2:$D$17,3,0))&lt;4,VLOOKUP(C113,Konečné_pořadí_1_16!$B$2:$D$17,3,0),999)</f>
        <v>999</v>
      </c>
      <c r="G113" s="176">
        <f ca="1">IF(TYPE(VLOOKUP(C113,'KO64'!$D$4:$D$129,1,0))&lt;4,64,999)</f>
        <v>999</v>
      </c>
      <c r="H113" s="176">
        <f ca="1">IF(TYPE(VLOOKUP(C113,'KO32'!$D$4:$D$65,1,0))&lt;4,32,999)</f>
        <v>999</v>
      </c>
      <c r="I113" s="176">
        <f ca="1">IF(TYPE(VLOOKUP(C113,'KO16'!$D$4:$D$33,1,0))&lt;4,16,999)</f>
        <v>999</v>
      </c>
      <c r="J113" s="176">
        <f ca="1">IF(TYPE(VLOOKUP(C113,'KO8'!$D$4:$D$17,1,0))&lt;4,8,999)</f>
        <v>999</v>
      </c>
      <c r="K113" s="176">
        <f ca="1">IF(TYPE(VLOOKUP(C113,'KO4'!$D$4:$D$9,1,0))&lt;4,4,999)</f>
        <v>999</v>
      </c>
      <c r="L113" s="176">
        <f ca="1">Start.listina!$K$7</f>
        <v>16</v>
      </c>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row>
    <row r="114" spans="1:34">
      <c r="A114" t="str">
        <f ca="1">IF(OR(Start.listina!H122&gt;Start.listina!$K$7,Start.listina!G122=1),"",Start.listina!H122)</f>
        <v/>
      </c>
      <c r="B114" s="176" t="str">
        <f ca="1">IF(A114&gt;Start.listina!$K$7,"",ADDRESS(INT((A114-1)/$M$2)+1,IF(MOD(A114,$M$2)=0,IF(MOD(INT((A114-1)/$M$2)+1,2)=1,$M$2,1),IF(MOD(INT((A114-1)/$M$2)+1,2)=1,MOD(A114,$M$2),$M$2-MOD(A114,$M$2)+1)),4,1))</f>
        <v/>
      </c>
      <c r="C114" s="178" t="str">
        <f ca="1">Start.listina!$AL122</f>
        <v/>
      </c>
      <c r="D114" s="176" t="str">
        <f ca="1">IF(A114&gt;Start.listina!$K$7,"",INT((A114-1)/$M$2)+1)</f>
        <v/>
      </c>
      <c r="E114" s="490" t="str">
        <f ca="1">IF(A114&gt;Start.listina!$K$7,"",MIN(F114:L114))</f>
        <v/>
      </c>
      <c r="F114" s="176">
        <f ca="1">IF(TYPE(VLOOKUP(C114,Konečné_pořadí_1_16!$B$2:$D$17,3,0))&lt;4,VLOOKUP(C114,Konečné_pořadí_1_16!$B$2:$D$17,3,0),999)</f>
        <v>999</v>
      </c>
      <c r="G114" s="176">
        <f ca="1">IF(TYPE(VLOOKUP(C114,'KO64'!$D$4:$D$129,1,0))&lt;4,64,999)</f>
        <v>999</v>
      </c>
      <c r="H114" s="176">
        <f ca="1">IF(TYPE(VLOOKUP(C114,'KO32'!$D$4:$D$65,1,0))&lt;4,32,999)</f>
        <v>999</v>
      </c>
      <c r="I114" s="176">
        <f ca="1">IF(TYPE(VLOOKUP(C114,'KO16'!$D$4:$D$33,1,0))&lt;4,16,999)</f>
        <v>999</v>
      </c>
      <c r="J114" s="176">
        <f ca="1">IF(TYPE(VLOOKUP(C114,'KO8'!$D$4:$D$17,1,0))&lt;4,8,999)</f>
        <v>999</v>
      </c>
      <c r="K114" s="176">
        <f ca="1">IF(TYPE(VLOOKUP(C114,'KO4'!$D$4:$D$9,1,0))&lt;4,4,999)</f>
        <v>999</v>
      </c>
      <c r="L114" s="176">
        <f ca="1">Start.listina!$K$7</f>
        <v>16</v>
      </c>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row>
    <row r="115" spans="1:34">
      <c r="A115" t="str">
        <f ca="1">IF(OR(Start.listina!H123&gt;Start.listina!$K$7,Start.listina!G123=1),"",Start.listina!H123)</f>
        <v/>
      </c>
      <c r="B115" s="176" t="str">
        <f ca="1">IF(A115&gt;Start.listina!$K$7,"",ADDRESS(INT((A115-1)/$M$2)+1,IF(MOD(A115,$M$2)=0,IF(MOD(INT((A115-1)/$M$2)+1,2)=1,$M$2,1),IF(MOD(INT((A115-1)/$M$2)+1,2)=1,MOD(A115,$M$2),$M$2-MOD(A115,$M$2)+1)),4,1))</f>
        <v/>
      </c>
      <c r="C115" s="178" t="str">
        <f ca="1">Start.listina!$AL123</f>
        <v/>
      </c>
      <c r="D115" s="176" t="str">
        <f ca="1">IF(A115&gt;Start.listina!$K$7,"",INT((A115-1)/$M$2)+1)</f>
        <v/>
      </c>
      <c r="E115" s="490" t="str">
        <f ca="1">IF(A115&gt;Start.listina!$K$7,"",MIN(F115:L115))</f>
        <v/>
      </c>
      <c r="F115" s="176">
        <f ca="1">IF(TYPE(VLOOKUP(C115,Konečné_pořadí_1_16!$B$2:$D$17,3,0))&lt;4,VLOOKUP(C115,Konečné_pořadí_1_16!$B$2:$D$17,3,0),999)</f>
        <v>999</v>
      </c>
      <c r="G115" s="176">
        <f ca="1">IF(TYPE(VLOOKUP(C115,'KO64'!$D$4:$D$129,1,0))&lt;4,64,999)</f>
        <v>999</v>
      </c>
      <c r="H115" s="176">
        <f ca="1">IF(TYPE(VLOOKUP(C115,'KO32'!$D$4:$D$65,1,0))&lt;4,32,999)</f>
        <v>999</v>
      </c>
      <c r="I115" s="176">
        <f ca="1">IF(TYPE(VLOOKUP(C115,'KO16'!$D$4:$D$33,1,0))&lt;4,16,999)</f>
        <v>999</v>
      </c>
      <c r="J115" s="176">
        <f ca="1">IF(TYPE(VLOOKUP(C115,'KO8'!$D$4:$D$17,1,0))&lt;4,8,999)</f>
        <v>999</v>
      </c>
      <c r="K115" s="176">
        <f ca="1">IF(TYPE(VLOOKUP(C115,'KO4'!$D$4:$D$9,1,0))&lt;4,4,999)</f>
        <v>999</v>
      </c>
      <c r="L115" s="176">
        <f ca="1">Start.listina!$K$7</f>
        <v>16</v>
      </c>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row>
    <row r="116" spans="1:34">
      <c r="A116" t="str">
        <f ca="1">IF(OR(Start.listina!H124&gt;Start.listina!$K$7,Start.listina!G124=1),"",Start.listina!H124)</f>
        <v/>
      </c>
      <c r="B116" s="176" t="str">
        <f ca="1">IF(A116&gt;Start.listina!$K$7,"",ADDRESS(INT((A116-1)/$M$2)+1,IF(MOD(A116,$M$2)=0,IF(MOD(INT((A116-1)/$M$2)+1,2)=1,$M$2,1),IF(MOD(INT((A116-1)/$M$2)+1,2)=1,MOD(A116,$M$2),$M$2-MOD(A116,$M$2)+1)),4,1))</f>
        <v/>
      </c>
      <c r="C116" s="178" t="str">
        <f ca="1">Start.listina!$AL124</f>
        <v/>
      </c>
      <c r="D116" s="176" t="str">
        <f ca="1">IF(A116&gt;Start.listina!$K$7,"",INT((A116-1)/$M$2)+1)</f>
        <v/>
      </c>
      <c r="E116" s="490" t="str">
        <f ca="1">IF(A116&gt;Start.listina!$K$7,"",MIN(F116:L116))</f>
        <v/>
      </c>
      <c r="F116" s="176">
        <f ca="1">IF(TYPE(VLOOKUP(C116,Konečné_pořadí_1_16!$B$2:$D$17,3,0))&lt;4,VLOOKUP(C116,Konečné_pořadí_1_16!$B$2:$D$17,3,0),999)</f>
        <v>999</v>
      </c>
      <c r="G116" s="176">
        <f ca="1">IF(TYPE(VLOOKUP(C116,'KO64'!$D$4:$D$129,1,0))&lt;4,64,999)</f>
        <v>999</v>
      </c>
      <c r="H116" s="176">
        <f ca="1">IF(TYPE(VLOOKUP(C116,'KO32'!$D$4:$D$65,1,0))&lt;4,32,999)</f>
        <v>999</v>
      </c>
      <c r="I116" s="176">
        <f ca="1">IF(TYPE(VLOOKUP(C116,'KO16'!$D$4:$D$33,1,0))&lt;4,16,999)</f>
        <v>999</v>
      </c>
      <c r="J116" s="176">
        <f ca="1">IF(TYPE(VLOOKUP(C116,'KO8'!$D$4:$D$17,1,0))&lt;4,8,999)</f>
        <v>999</v>
      </c>
      <c r="K116" s="176">
        <f ca="1">IF(TYPE(VLOOKUP(C116,'KO4'!$D$4:$D$9,1,0))&lt;4,4,999)</f>
        <v>999</v>
      </c>
      <c r="L116" s="176">
        <f ca="1">Start.listina!$K$7</f>
        <v>16</v>
      </c>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row>
    <row r="117" spans="1:34">
      <c r="A117" t="str">
        <f ca="1">IF(OR(Start.listina!H125&gt;Start.listina!$K$7,Start.listina!G125=1),"",Start.listina!H125)</f>
        <v/>
      </c>
      <c r="B117" s="176" t="str">
        <f ca="1">IF(A117&gt;Start.listina!$K$7,"",ADDRESS(INT((A117-1)/$M$2)+1,IF(MOD(A117,$M$2)=0,IF(MOD(INT((A117-1)/$M$2)+1,2)=1,$M$2,1),IF(MOD(INT((A117-1)/$M$2)+1,2)=1,MOD(A117,$M$2),$M$2-MOD(A117,$M$2)+1)),4,1))</f>
        <v/>
      </c>
      <c r="C117" s="178" t="str">
        <f ca="1">Start.listina!$AL125</f>
        <v/>
      </c>
      <c r="D117" s="176" t="str">
        <f ca="1">IF(A117&gt;Start.listina!$K$7,"",INT((A117-1)/$M$2)+1)</f>
        <v/>
      </c>
      <c r="E117" s="490" t="str">
        <f ca="1">IF(A117&gt;Start.listina!$K$7,"",MIN(F117:L117))</f>
        <v/>
      </c>
      <c r="F117" s="176">
        <f ca="1">IF(TYPE(VLOOKUP(C117,Konečné_pořadí_1_16!$B$2:$D$17,3,0))&lt;4,VLOOKUP(C117,Konečné_pořadí_1_16!$B$2:$D$17,3,0),999)</f>
        <v>999</v>
      </c>
      <c r="G117" s="176">
        <f ca="1">IF(TYPE(VLOOKUP(C117,'KO64'!$D$4:$D$129,1,0))&lt;4,64,999)</f>
        <v>999</v>
      </c>
      <c r="H117" s="176">
        <f ca="1">IF(TYPE(VLOOKUP(C117,'KO32'!$D$4:$D$65,1,0))&lt;4,32,999)</f>
        <v>999</v>
      </c>
      <c r="I117" s="176">
        <f ca="1">IF(TYPE(VLOOKUP(C117,'KO16'!$D$4:$D$33,1,0))&lt;4,16,999)</f>
        <v>999</v>
      </c>
      <c r="J117" s="176">
        <f ca="1">IF(TYPE(VLOOKUP(C117,'KO8'!$D$4:$D$17,1,0))&lt;4,8,999)</f>
        <v>999</v>
      </c>
      <c r="K117" s="176">
        <f ca="1">IF(TYPE(VLOOKUP(C117,'KO4'!$D$4:$D$9,1,0))&lt;4,4,999)</f>
        <v>999</v>
      </c>
      <c r="L117" s="176">
        <f ca="1">Start.listina!$K$7</f>
        <v>16</v>
      </c>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row>
    <row r="118" spans="1:34">
      <c r="A118" t="str">
        <f ca="1">IF(OR(Start.listina!H126&gt;Start.listina!$K$7,Start.listina!G126=1),"",Start.listina!H126)</f>
        <v/>
      </c>
      <c r="B118" s="176" t="str">
        <f ca="1">IF(A118&gt;Start.listina!$K$7,"",ADDRESS(INT((A118-1)/$M$2)+1,IF(MOD(A118,$M$2)=0,IF(MOD(INT((A118-1)/$M$2)+1,2)=1,$M$2,1),IF(MOD(INT((A118-1)/$M$2)+1,2)=1,MOD(A118,$M$2),$M$2-MOD(A118,$M$2)+1)),4,1))</f>
        <v/>
      </c>
      <c r="C118" s="178" t="str">
        <f ca="1">Start.listina!$AL126</f>
        <v/>
      </c>
      <c r="D118" s="176" t="str">
        <f ca="1">IF(A118&gt;Start.listina!$K$7,"",INT((A118-1)/$M$2)+1)</f>
        <v/>
      </c>
      <c r="E118" s="490" t="str">
        <f ca="1">IF(A118&gt;Start.listina!$K$7,"",MIN(F118:L118))</f>
        <v/>
      </c>
      <c r="F118" s="176">
        <f ca="1">IF(TYPE(VLOOKUP(C118,Konečné_pořadí_1_16!$B$2:$D$17,3,0))&lt;4,VLOOKUP(C118,Konečné_pořadí_1_16!$B$2:$D$17,3,0),999)</f>
        <v>999</v>
      </c>
      <c r="G118" s="176">
        <f ca="1">IF(TYPE(VLOOKUP(C118,'KO64'!$D$4:$D$129,1,0))&lt;4,64,999)</f>
        <v>999</v>
      </c>
      <c r="H118" s="176">
        <f ca="1">IF(TYPE(VLOOKUP(C118,'KO32'!$D$4:$D$65,1,0))&lt;4,32,999)</f>
        <v>999</v>
      </c>
      <c r="I118" s="176">
        <f ca="1">IF(TYPE(VLOOKUP(C118,'KO16'!$D$4:$D$33,1,0))&lt;4,16,999)</f>
        <v>999</v>
      </c>
      <c r="J118" s="176">
        <f ca="1">IF(TYPE(VLOOKUP(C118,'KO8'!$D$4:$D$17,1,0))&lt;4,8,999)</f>
        <v>999</v>
      </c>
      <c r="K118" s="176">
        <f ca="1">IF(TYPE(VLOOKUP(C118,'KO4'!$D$4:$D$9,1,0))&lt;4,4,999)</f>
        <v>999</v>
      </c>
      <c r="L118" s="176">
        <f ca="1">Start.listina!$K$7</f>
        <v>16</v>
      </c>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row>
    <row r="119" spans="1:34">
      <c r="A119" t="str">
        <f ca="1">IF(OR(Start.listina!H127&gt;Start.listina!$K$7,Start.listina!G127=1),"",Start.listina!H127)</f>
        <v/>
      </c>
      <c r="B119" s="176" t="str">
        <f ca="1">IF(A119&gt;Start.listina!$K$7,"",ADDRESS(INT((A119-1)/$M$2)+1,IF(MOD(A119,$M$2)=0,IF(MOD(INT((A119-1)/$M$2)+1,2)=1,$M$2,1),IF(MOD(INT((A119-1)/$M$2)+1,2)=1,MOD(A119,$M$2),$M$2-MOD(A119,$M$2)+1)),4,1))</f>
        <v/>
      </c>
      <c r="C119" s="178" t="str">
        <f ca="1">Start.listina!$AL127</f>
        <v/>
      </c>
      <c r="D119" s="176" t="str">
        <f ca="1">IF(A119&gt;Start.listina!$K$7,"",INT((A119-1)/$M$2)+1)</f>
        <v/>
      </c>
      <c r="E119" s="490" t="str">
        <f ca="1">IF(A119&gt;Start.listina!$K$7,"",MIN(F119:L119))</f>
        <v/>
      </c>
      <c r="F119" s="176">
        <f ca="1">IF(TYPE(VLOOKUP(C119,Konečné_pořadí_1_16!$B$2:$D$17,3,0))&lt;4,VLOOKUP(C119,Konečné_pořadí_1_16!$B$2:$D$17,3,0),999)</f>
        <v>999</v>
      </c>
      <c r="G119" s="176">
        <f ca="1">IF(TYPE(VLOOKUP(C119,'KO64'!$D$4:$D$129,1,0))&lt;4,64,999)</f>
        <v>999</v>
      </c>
      <c r="H119" s="176">
        <f ca="1">IF(TYPE(VLOOKUP(C119,'KO32'!$D$4:$D$65,1,0))&lt;4,32,999)</f>
        <v>999</v>
      </c>
      <c r="I119" s="176">
        <f ca="1">IF(TYPE(VLOOKUP(C119,'KO16'!$D$4:$D$33,1,0))&lt;4,16,999)</f>
        <v>999</v>
      </c>
      <c r="J119" s="176">
        <f ca="1">IF(TYPE(VLOOKUP(C119,'KO8'!$D$4:$D$17,1,0))&lt;4,8,999)</f>
        <v>999</v>
      </c>
      <c r="K119" s="176">
        <f ca="1">IF(TYPE(VLOOKUP(C119,'KO4'!$D$4:$D$9,1,0))&lt;4,4,999)</f>
        <v>999</v>
      </c>
      <c r="L119" s="176">
        <f ca="1">Start.listina!$K$7</f>
        <v>16</v>
      </c>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row>
    <row r="120" spans="1:34">
      <c r="A120" t="str">
        <f ca="1">IF(OR(Start.listina!H128&gt;Start.listina!$K$7,Start.listina!G128=1),"",Start.listina!H128)</f>
        <v/>
      </c>
      <c r="B120" s="176" t="str">
        <f ca="1">IF(A120&gt;Start.listina!$K$7,"",ADDRESS(INT((A120-1)/$M$2)+1,IF(MOD(A120,$M$2)=0,IF(MOD(INT((A120-1)/$M$2)+1,2)=1,$M$2,1),IF(MOD(INT((A120-1)/$M$2)+1,2)=1,MOD(A120,$M$2),$M$2-MOD(A120,$M$2)+1)),4,1))</f>
        <v/>
      </c>
      <c r="C120" s="178" t="str">
        <f ca="1">Start.listina!$AL128</f>
        <v/>
      </c>
      <c r="D120" s="176" t="str">
        <f ca="1">IF(A120&gt;Start.listina!$K$7,"",INT((A120-1)/$M$2)+1)</f>
        <v/>
      </c>
      <c r="E120" s="490" t="str">
        <f ca="1">IF(A120&gt;Start.listina!$K$7,"",MIN(F120:L120))</f>
        <v/>
      </c>
      <c r="F120" s="176">
        <f ca="1">IF(TYPE(VLOOKUP(C120,Konečné_pořadí_1_16!$B$2:$D$17,3,0))&lt;4,VLOOKUP(C120,Konečné_pořadí_1_16!$B$2:$D$17,3,0),999)</f>
        <v>999</v>
      </c>
      <c r="G120" s="176">
        <f ca="1">IF(TYPE(VLOOKUP(C120,'KO64'!$D$4:$D$129,1,0))&lt;4,64,999)</f>
        <v>999</v>
      </c>
      <c r="H120" s="176">
        <f ca="1">IF(TYPE(VLOOKUP(C120,'KO32'!$D$4:$D$65,1,0))&lt;4,32,999)</f>
        <v>999</v>
      </c>
      <c r="I120" s="176">
        <f ca="1">IF(TYPE(VLOOKUP(C120,'KO16'!$D$4:$D$33,1,0))&lt;4,16,999)</f>
        <v>999</v>
      </c>
      <c r="J120" s="176">
        <f ca="1">IF(TYPE(VLOOKUP(C120,'KO8'!$D$4:$D$17,1,0))&lt;4,8,999)</f>
        <v>999</v>
      </c>
      <c r="K120" s="176">
        <f ca="1">IF(TYPE(VLOOKUP(C120,'KO4'!$D$4:$D$9,1,0))&lt;4,4,999)</f>
        <v>999</v>
      </c>
      <c r="L120" s="176">
        <f ca="1">Start.listina!$K$7</f>
        <v>16</v>
      </c>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row>
    <row r="121" spans="1:34">
      <c r="A121" t="str">
        <f ca="1">IF(OR(Start.listina!H129&gt;Start.listina!$K$7,Start.listina!G129=1),"",Start.listina!H129)</f>
        <v/>
      </c>
      <c r="B121" s="176" t="str">
        <f ca="1">IF(A121&gt;Start.listina!$K$7,"",ADDRESS(INT((A121-1)/$M$2)+1,IF(MOD(A121,$M$2)=0,IF(MOD(INT((A121-1)/$M$2)+1,2)=1,$M$2,1),IF(MOD(INT((A121-1)/$M$2)+1,2)=1,MOD(A121,$M$2),$M$2-MOD(A121,$M$2)+1)),4,1))</f>
        <v/>
      </c>
      <c r="C121" s="178" t="str">
        <f ca="1">Start.listina!$AL129</f>
        <v/>
      </c>
      <c r="D121" s="176" t="str">
        <f ca="1">IF(A121&gt;Start.listina!$K$7,"",INT((A121-1)/$M$2)+1)</f>
        <v/>
      </c>
      <c r="E121" s="490" t="str">
        <f ca="1">IF(A121&gt;Start.listina!$K$7,"",MIN(F121:L121))</f>
        <v/>
      </c>
      <c r="F121" s="176">
        <f ca="1">IF(TYPE(VLOOKUP(C121,Konečné_pořadí_1_16!$B$2:$D$17,3,0))&lt;4,VLOOKUP(C121,Konečné_pořadí_1_16!$B$2:$D$17,3,0),999)</f>
        <v>999</v>
      </c>
      <c r="G121" s="176">
        <f ca="1">IF(TYPE(VLOOKUP(C121,'KO64'!$D$4:$D$129,1,0))&lt;4,64,999)</f>
        <v>999</v>
      </c>
      <c r="H121" s="176">
        <f ca="1">IF(TYPE(VLOOKUP(C121,'KO32'!$D$4:$D$65,1,0))&lt;4,32,999)</f>
        <v>999</v>
      </c>
      <c r="I121" s="176">
        <f ca="1">IF(TYPE(VLOOKUP(C121,'KO16'!$D$4:$D$33,1,0))&lt;4,16,999)</f>
        <v>999</v>
      </c>
      <c r="J121" s="176">
        <f ca="1">IF(TYPE(VLOOKUP(C121,'KO8'!$D$4:$D$17,1,0))&lt;4,8,999)</f>
        <v>999</v>
      </c>
      <c r="K121" s="176">
        <f ca="1">IF(TYPE(VLOOKUP(C121,'KO4'!$D$4:$D$9,1,0))&lt;4,4,999)</f>
        <v>999</v>
      </c>
      <c r="L121" s="176">
        <f ca="1">Start.listina!$K$7</f>
        <v>16</v>
      </c>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row>
    <row r="122" spans="1:34">
      <c r="A122" t="str">
        <f ca="1">IF(OR(Start.listina!H130&gt;Start.listina!$K$7,Start.listina!G130=1),"",Start.listina!H130)</f>
        <v/>
      </c>
      <c r="B122" s="176" t="str">
        <f ca="1">IF(A122&gt;Start.listina!$K$7,"",ADDRESS(INT((A122-1)/$M$2)+1,IF(MOD(A122,$M$2)=0,IF(MOD(INT((A122-1)/$M$2)+1,2)=1,$M$2,1),IF(MOD(INT((A122-1)/$M$2)+1,2)=1,MOD(A122,$M$2),$M$2-MOD(A122,$M$2)+1)),4,1))</f>
        <v/>
      </c>
      <c r="C122" s="178" t="str">
        <f ca="1">Start.listina!$AL130</f>
        <v/>
      </c>
      <c r="D122" s="176" t="str">
        <f ca="1">IF(A122&gt;Start.listina!$K$7,"",INT((A122-1)/$M$2)+1)</f>
        <v/>
      </c>
      <c r="E122" s="490" t="str">
        <f ca="1">IF(A122&gt;Start.listina!$K$7,"",MIN(F122:L122))</f>
        <v/>
      </c>
      <c r="F122" s="176">
        <f ca="1">IF(TYPE(VLOOKUP(C122,Konečné_pořadí_1_16!$B$2:$D$17,3,0))&lt;4,VLOOKUP(C122,Konečné_pořadí_1_16!$B$2:$D$17,3,0),999)</f>
        <v>999</v>
      </c>
      <c r="G122" s="176">
        <f ca="1">IF(TYPE(VLOOKUP(C122,'KO64'!$D$4:$D$129,1,0))&lt;4,64,999)</f>
        <v>999</v>
      </c>
      <c r="H122" s="176">
        <f ca="1">IF(TYPE(VLOOKUP(C122,'KO32'!$D$4:$D$65,1,0))&lt;4,32,999)</f>
        <v>999</v>
      </c>
      <c r="I122" s="176">
        <f ca="1">IF(TYPE(VLOOKUP(C122,'KO16'!$D$4:$D$33,1,0))&lt;4,16,999)</f>
        <v>999</v>
      </c>
      <c r="J122" s="176">
        <f ca="1">IF(TYPE(VLOOKUP(C122,'KO8'!$D$4:$D$17,1,0))&lt;4,8,999)</f>
        <v>999</v>
      </c>
      <c r="K122" s="176">
        <f ca="1">IF(TYPE(VLOOKUP(C122,'KO4'!$D$4:$D$9,1,0))&lt;4,4,999)</f>
        <v>999</v>
      </c>
      <c r="L122" s="176">
        <f ca="1">Start.listina!$K$7</f>
        <v>16</v>
      </c>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row>
    <row r="123" spans="1:34">
      <c r="A123" t="str">
        <f ca="1">IF(OR(Start.listina!H131&gt;Start.listina!$K$7,Start.listina!G131=1),"",Start.listina!H131)</f>
        <v/>
      </c>
      <c r="B123" s="176" t="str">
        <f ca="1">IF(A123&gt;Start.listina!$K$7,"",ADDRESS(INT((A123-1)/$M$2)+1,IF(MOD(A123,$M$2)=0,IF(MOD(INT((A123-1)/$M$2)+1,2)=1,$M$2,1),IF(MOD(INT((A123-1)/$M$2)+1,2)=1,MOD(A123,$M$2),$M$2-MOD(A123,$M$2)+1)),4,1))</f>
        <v/>
      </c>
      <c r="C123" s="178" t="str">
        <f ca="1">Start.listina!$AL131</f>
        <v/>
      </c>
      <c r="D123" s="176" t="str">
        <f ca="1">IF(A123&gt;Start.listina!$K$7,"",INT((A123-1)/$M$2)+1)</f>
        <v/>
      </c>
      <c r="E123" s="490" t="str">
        <f ca="1">IF(A123&gt;Start.listina!$K$7,"",MIN(F123:L123))</f>
        <v/>
      </c>
      <c r="F123" s="176">
        <f ca="1">IF(TYPE(VLOOKUP(C123,Konečné_pořadí_1_16!$B$2:$D$17,3,0))&lt;4,VLOOKUP(C123,Konečné_pořadí_1_16!$B$2:$D$17,3,0),999)</f>
        <v>999</v>
      </c>
      <c r="G123" s="176">
        <f ca="1">IF(TYPE(VLOOKUP(C123,'KO64'!$D$4:$D$129,1,0))&lt;4,64,999)</f>
        <v>999</v>
      </c>
      <c r="H123" s="176">
        <f ca="1">IF(TYPE(VLOOKUP(C123,'KO32'!$D$4:$D$65,1,0))&lt;4,32,999)</f>
        <v>999</v>
      </c>
      <c r="I123" s="176">
        <f ca="1">IF(TYPE(VLOOKUP(C123,'KO16'!$D$4:$D$33,1,0))&lt;4,16,999)</f>
        <v>999</v>
      </c>
      <c r="J123" s="176">
        <f ca="1">IF(TYPE(VLOOKUP(C123,'KO8'!$D$4:$D$17,1,0))&lt;4,8,999)</f>
        <v>999</v>
      </c>
      <c r="K123" s="176">
        <f ca="1">IF(TYPE(VLOOKUP(C123,'KO4'!$D$4:$D$9,1,0))&lt;4,4,999)</f>
        <v>999</v>
      </c>
      <c r="L123" s="176">
        <f ca="1">Start.listina!$K$7</f>
        <v>16</v>
      </c>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row>
    <row r="124" spans="1:34">
      <c r="A124" t="str">
        <f ca="1">IF(OR(Start.listina!H132&gt;Start.listina!$K$7,Start.listina!G132=1),"",Start.listina!H132)</f>
        <v/>
      </c>
      <c r="B124" s="176" t="str">
        <f ca="1">IF(A124&gt;Start.listina!$K$7,"",ADDRESS(INT((A124-1)/$M$2)+1,IF(MOD(A124,$M$2)=0,IF(MOD(INT((A124-1)/$M$2)+1,2)=1,$M$2,1),IF(MOD(INT((A124-1)/$M$2)+1,2)=1,MOD(A124,$M$2),$M$2-MOD(A124,$M$2)+1)),4,1))</f>
        <v/>
      </c>
      <c r="C124" s="178" t="str">
        <f ca="1">Start.listina!$AL132</f>
        <v/>
      </c>
      <c r="D124" s="176" t="str">
        <f ca="1">IF(A124&gt;Start.listina!$K$7,"",INT((A124-1)/$M$2)+1)</f>
        <v/>
      </c>
      <c r="E124" s="490" t="str">
        <f ca="1">IF(A124&gt;Start.listina!$K$7,"",MIN(F124:L124))</f>
        <v/>
      </c>
      <c r="F124" s="176">
        <f ca="1">IF(TYPE(VLOOKUP(C124,Konečné_pořadí_1_16!$B$2:$D$17,3,0))&lt;4,VLOOKUP(C124,Konečné_pořadí_1_16!$B$2:$D$17,3,0),999)</f>
        <v>999</v>
      </c>
      <c r="G124" s="176">
        <f ca="1">IF(TYPE(VLOOKUP(C124,'KO64'!$D$4:$D$129,1,0))&lt;4,64,999)</f>
        <v>999</v>
      </c>
      <c r="H124" s="176">
        <f ca="1">IF(TYPE(VLOOKUP(C124,'KO32'!$D$4:$D$65,1,0))&lt;4,32,999)</f>
        <v>999</v>
      </c>
      <c r="I124" s="176">
        <f ca="1">IF(TYPE(VLOOKUP(C124,'KO16'!$D$4:$D$33,1,0))&lt;4,16,999)</f>
        <v>999</v>
      </c>
      <c r="J124" s="176">
        <f ca="1">IF(TYPE(VLOOKUP(C124,'KO8'!$D$4:$D$17,1,0))&lt;4,8,999)</f>
        <v>999</v>
      </c>
      <c r="K124" s="176">
        <f ca="1">IF(TYPE(VLOOKUP(C124,'KO4'!$D$4:$D$9,1,0))&lt;4,4,999)</f>
        <v>999</v>
      </c>
      <c r="L124" s="176">
        <f ca="1">Start.listina!$K$7</f>
        <v>16</v>
      </c>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row>
    <row r="125" spans="1:34">
      <c r="A125" t="str">
        <f ca="1">IF(OR(Start.listina!H133&gt;Start.listina!$K$7,Start.listina!G133=1),"",Start.listina!H133)</f>
        <v/>
      </c>
      <c r="B125" s="176" t="str">
        <f ca="1">IF(A125&gt;Start.listina!$K$7,"",ADDRESS(INT((A125-1)/$M$2)+1,IF(MOD(A125,$M$2)=0,IF(MOD(INT((A125-1)/$M$2)+1,2)=1,$M$2,1),IF(MOD(INT((A125-1)/$M$2)+1,2)=1,MOD(A125,$M$2),$M$2-MOD(A125,$M$2)+1)),4,1))</f>
        <v/>
      </c>
      <c r="C125" s="178" t="str">
        <f ca="1">Start.listina!$AL133</f>
        <v/>
      </c>
      <c r="D125" s="176" t="str">
        <f ca="1">IF(A125&gt;Start.listina!$K$7,"",INT((A125-1)/$M$2)+1)</f>
        <v/>
      </c>
      <c r="E125" s="490" t="str">
        <f ca="1">IF(A125&gt;Start.listina!$K$7,"",MIN(F125:L125))</f>
        <v/>
      </c>
      <c r="F125" s="176">
        <f ca="1">IF(TYPE(VLOOKUP(C125,Konečné_pořadí_1_16!$B$2:$D$17,3,0))&lt;4,VLOOKUP(C125,Konečné_pořadí_1_16!$B$2:$D$17,3,0),999)</f>
        <v>999</v>
      </c>
      <c r="G125" s="176">
        <f ca="1">IF(TYPE(VLOOKUP(C125,'KO64'!$D$4:$D$129,1,0))&lt;4,64,999)</f>
        <v>999</v>
      </c>
      <c r="H125" s="176">
        <f ca="1">IF(TYPE(VLOOKUP(C125,'KO32'!$D$4:$D$65,1,0))&lt;4,32,999)</f>
        <v>999</v>
      </c>
      <c r="I125" s="176">
        <f ca="1">IF(TYPE(VLOOKUP(C125,'KO16'!$D$4:$D$33,1,0))&lt;4,16,999)</f>
        <v>999</v>
      </c>
      <c r="J125" s="176">
        <f ca="1">IF(TYPE(VLOOKUP(C125,'KO8'!$D$4:$D$17,1,0))&lt;4,8,999)</f>
        <v>999</v>
      </c>
      <c r="K125" s="176">
        <f ca="1">IF(TYPE(VLOOKUP(C125,'KO4'!$D$4:$D$9,1,0))&lt;4,4,999)</f>
        <v>999</v>
      </c>
      <c r="L125" s="176">
        <f ca="1">Start.listina!$K$7</f>
        <v>16</v>
      </c>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row>
    <row r="126" spans="1:34">
      <c r="A126" t="str">
        <f ca="1">IF(OR(Start.listina!H134&gt;Start.listina!$K$7,Start.listina!G134=1),"",Start.listina!H134)</f>
        <v/>
      </c>
      <c r="B126" s="176" t="str">
        <f ca="1">IF(A126&gt;Start.listina!$K$7,"",ADDRESS(INT((A126-1)/$M$2)+1,IF(MOD(A126,$M$2)=0,IF(MOD(INT((A126-1)/$M$2)+1,2)=1,$M$2,1),IF(MOD(INT((A126-1)/$M$2)+1,2)=1,MOD(A126,$M$2),$M$2-MOD(A126,$M$2)+1)),4,1))</f>
        <v/>
      </c>
      <c r="C126" s="178" t="str">
        <f ca="1">Start.listina!$AL134</f>
        <v/>
      </c>
      <c r="D126" s="176" t="str">
        <f ca="1">IF(A126&gt;Start.listina!$K$7,"",INT((A126-1)/$M$2)+1)</f>
        <v/>
      </c>
      <c r="E126" s="490" t="str">
        <f ca="1">IF(A126&gt;Start.listina!$K$7,"",MIN(F126:L126))</f>
        <v/>
      </c>
      <c r="F126" s="176">
        <f ca="1">IF(TYPE(VLOOKUP(C126,Konečné_pořadí_1_16!$B$2:$D$17,3,0))&lt;4,VLOOKUP(C126,Konečné_pořadí_1_16!$B$2:$D$17,3,0),999)</f>
        <v>999</v>
      </c>
      <c r="G126" s="176">
        <f ca="1">IF(TYPE(VLOOKUP(C126,'KO64'!$D$4:$D$129,1,0))&lt;4,64,999)</f>
        <v>999</v>
      </c>
      <c r="H126" s="176">
        <f ca="1">IF(TYPE(VLOOKUP(C126,'KO32'!$D$4:$D$65,1,0))&lt;4,32,999)</f>
        <v>999</v>
      </c>
      <c r="I126" s="176">
        <f ca="1">IF(TYPE(VLOOKUP(C126,'KO16'!$D$4:$D$33,1,0))&lt;4,16,999)</f>
        <v>999</v>
      </c>
      <c r="J126" s="176">
        <f ca="1">IF(TYPE(VLOOKUP(C126,'KO8'!$D$4:$D$17,1,0))&lt;4,8,999)</f>
        <v>999</v>
      </c>
      <c r="K126" s="176">
        <f ca="1">IF(TYPE(VLOOKUP(C126,'KO4'!$D$4:$D$9,1,0))&lt;4,4,999)</f>
        <v>999</v>
      </c>
      <c r="L126" s="176">
        <f ca="1">Start.listina!$K$7</f>
        <v>16</v>
      </c>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row>
    <row r="127" spans="1:34">
      <c r="A127" t="str">
        <f ca="1">IF(OR(Start.listina!H135&gt;Start.listina!$K$7,Start.listina!G135=1),"",Start.listina!H135)</f>
        <v/>
      </c>
      <c r="B127" s="176" t="str">
        <f ca="1">IF(A127&gt;Start.listina!$K$7,"",ADDRESS(INT((A127-1)/$M$2)+1,IF(MOD(A127,$M$2)=0,IF(MOD(INT((A127-1)/$M$2)+1,2)=1,$M$2,1),IF(MOD(INT((A127-1)/$M$2)+1,2)=1,MOD(A127,$M$2),$M$2-MOD(A127,$M$2)+1)),4,1))</f>
        <v/>
      </c>
      <c r="C127" s="178" t="str">
        <f ca="1">Start.listina!$AL135</f>
        <v/>
      </c>
      <c r="D127" s="176" t="str">
        <f ca="1">IF(A127&gt;Start.listina!$K$7,"",INT((A127-1)/$M$2)+1)</f>
        <v/>
      </c>
      <c r="E127" s="490" t="str">
        <f ca="1">IF(A127&gt;Start.listina!$K$7,"",MIN(F127:L127))</f>
        <v/>
      </c>
      <c r="F127" s="176">
        <f ca="1">IF(TYPE(VLOOKUP(C127,Konečné_pořadí_1_16!$B$2:$D$17,3,0))&lt;4,VLOOKUP(C127,Konečné_pořadí_1_16!$B$2:$D$17,3,0),999)</f>
        <v>999</v>
      </c>
      <c r="G127" s="176">
        <f ca="1">IF(TYPE(VLOOKUP(C127,'KO64'!$D$4:$D$129,1,0))&lt;4,64,999)</f>
        <v>999</v>
      </c>
      <c r="H127" s="176">
        <f ca="1">IF(TYPE(VLOOKUP(C127,'KO32'!$D$4:$D$65,1,0))&lt;4,32,999)</f>
        <v>999</v>
      </c>
      <c r="I127" s="176">
        <f ca="1">IF(TYPE(VLOOKUP(C127,'KO16'!$D$4:$D$33,1,0))&lt;4,16,999)</f>
        <v>999</v>
      </c>
      <c r="J127" s="176">
        <f ca="1">IF(TYPE(VLOOKUP(C127,'KO8'!$D$4:$D$17,1,0))&lt;4,8,999)</f>
        <v>999</v>
      </c>
      <c r="K127" s="176">
        <f ca="1">IF(TYPE(VLOOKUP(C127,'KO4'!$D$4:$D$9,1,0))&lt;4,4,999)</f>
        <v>999</v>
      </c>
      <c r="L127" s="176">
        <f ca="1">Start.listina!$K$7</f>
        <v>16</v>
      </c>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row>
    <row r="128" spans="1:34">
      <c r="A128" t="str">
        <f ca="1">IF(OR(Start.listina!H136&gt;Start.listina!$K$7,Start.listina!G136=1),"",Start.listina!H136)</f>
        <v/>
      </c>
      <c r="B128" s="176" t="str">
        <f ca="1">IF(A128&gt;Start.listina!$K$7,"",ADDRESS(INT((A128-1)/$M$2)+1,IF(MOD(A128,$M$2)=0,IF(MOD(INT((A128-1)/$M$2)+1,2)=1,$M$2,1),IF(MOD(INT((A128-1)/$M$2)+1,2)=1,MOD(A128,$M$2),$M$2-MOD(A128,$M$2)+1)),4,1))</f>
        <v/>
      </c>
      <c r="C128" s="178" t="str">
        <f ca="1">Start.listina!$AL136</f>
        <v/>
      </c>
      <c r="D128" s="176" t="str">
        <f ca="1">IF(A128&gt;Start.listina!$K$7,"",INT((A128-1)/$M$2)+1)</f>
        <v/>
      </c>
      <c r="E128" s="490" t="str">
        <f ca="1">IF(A128&gt;Start.listina!$K$7,"",MIN(F128:L128))</f>
        <v/>
      </c>
      <c r="F128" s="176">
        <f ca="1">IF(TYPE(VLOOKUP(C128,Konečné_pořadí_1_16!$B$2:$D$17,3,0))&lt;4,VLOOKUP(C128,Konečné_pořadí_1_16!$B$2:$D$17,3,0),999)</f>
        <v>999</v>
      </c>
      <c r="G128" s="176">
        <f ca="1">IF(TYPE(VLOOKUP(C128,'KO64'!$D$4:$D$129,1,0))&lt;4,64,999)</f>
        <v>999</v>
      </c>
      <c r="H128" s="176">
        <f ca="1">IF(TYPE(VLOOKUP(C128,'KO32'!$D$4:$D$65,1,0))&lt;4,32,999)</f>
        <v>999</v>
      </c>
      <c r="I128" s="176">
        <f ca="1">IF(TYPE(VLOOKUP(C128,'KO16'!$D$4:$D$33,1,0))&lt;4,16,999)</f>
        <v>999</v>
      </c>
      <c r="J128" s="176">
        <f ca="1">IF(TYPE(VLOOKUP(C128,'KO8'!$D$4:$D$17,1,0))&lt;4,8,999)</f>
        <v>999</v>
      </c>
      <c r="K128" s="176">
        <f ca="1">IF(TYPE(VLOOKUP(C128,'KO4'!$D$4:$D$9,1,0))&lt;4,4,999)</f>
        <v>999</v>
      </c>
      <c r="L128" s="176">
        <f ca="1">Start.listina!$K$7</f>
        <v>16</v>
      </c>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row>
    <row r="129" spans="1:34">
      <c r="A129" t="str">
        <f ca="1">IF(OR(Start.listina!H137&gt;Start.listina!$K$7,Start.listina!G137=1),"",Start.listina!H137)</f>
        <v/>
      </c>
      <c r="B129" s="176" t="str">
        <f ca="1">IF(A129&gt;Start.listina!$K$7,"",ADDRESS(INT((A129-1)/$M$2)+1,IF(MOD(A129,$M$2)=0,IF(MOD(INT((A129-1)/$M$2)+1,2)=1,$M$2,1),IF(MOD(INT((A129-1)/$M$2)+1,2)=1,MOD(A129,$M$2),$M$2-MOD(A129,$M$2)+1)),4,1))</f>
        <v/>
      </c>
      <c r="C129" s="178" t="str">
        <f ca="1">Start.listina!$AL137</f>
        <v/>
      </c>
      <c r="D129" s="176" t="str">
        <f ca="1">IF(A129&gt;Start.listina!$K$7,"",INT((A129-1)/$M$2)+1)</f>
        <v/>
      </c>
      <c r="E129" s="490" t="str">
        <f ca="1">IF(A129&gt;Start.listina!$K$7,"",MIN(F129:L129))</f>
        <v/>
      </c>
      <c r="F129" s="176">
        <f ca="1">IF(TYPE(VLOOKUP(C129,Konečné_pořadí_1_16!$B$2:$D$17,3,0))&lt;4,VLOOKUP(C129,Konečné_pořadí_1_16!$B$2:$D$17,3,0),999)</f>
        <v>999</v>
      </c>
      <c r="G129" s="176">
        <f ca="1">IF(TYPE(VLOOKUP(C129,'KO64'!$D$4:$D$129,1,0))&lt;4,64,999)</f>
        <v>999</v>
      </c>
      <c r="H129" s="176">
        <f ca="1">IF(TYPE(VLOOKUP(C129,'KO32'!$D$4:$D$65,1,0))&lt;4,32,999)</f>
        <v>999</v>
      </c>
      <c r="I129" s="176">
        <f ca="1">IF(TYPE(VLOOKUP(C129,'KO16'!$D$4:$D$33,1,0))&lt;4,16,999)</f>
        <v>999</v>
      </c>
      <c r="J129" s="176">
        <f ca="1">IF(TYPE(VLOOKUP(C129,'KO8'!$D$4:$D$17,1,0))&lt;4,8,999)</f>
        <v>999</v>
      </c>
      <c r="K129" s="176">
        <f ca="1">IF(TYPE(VLOOKUP(C129,'KO4'!$D$4:$D$9,1,0))&lt;4,4,999)</f>
        <v>999</v>
      </c>
      <c r="L129" s="176">
        <f ca="1">Start.listina!$K$7</f>
        <v>16</v>
      </c>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row>
    <row r="130" spans="1:34">
      <c r="A130" t="str">
        <f ca="1">IF(OR(Start.listina!H138&gt;Start.listina!$K$7,Start.listina!G138=1),"",Start.listina!H138)</f>
        <v/>
      </c>
      <c r="B130" s="176" t="str">
        <f ca="1">IF(A130&gt;Start.listina!$K$7,"",ADDRESS(INT((A130-1)/$M$2)+1,IF(MOD(A130,$M$2)=0,IF(MOD(INT((A130-1)/$M$2)+1,2)=1,$M$2,1),IF(MOD(INT((A130-1)/$M$2)+1,2)=1,MOD(A130,$M$2),$M$2-MOD(A130,$M$2)+1)),4,1))</f>
        <v/>
      </c>
      <c r="C130" s="178" t="str">
        <f ca="1">Start.listina!$AL138</f>
        <v/>
      </c>
      <c r="D130" s="176" t="str">
        <f ca="1">IF(A130&gt;Start.listina!$K$7,"",INT((A130-1)/$M$2)+1)</f>
        <v/>
      </c>
      <c r="E130" s="490" t="str">
        <f ca="1">IF(A130&gt;Start.listina!$K$7,"",MIN(F130:L130))</f>
        <v/>
      </c>
      <c r="F130" s="176">
        <f ca="1">IF(TYPE(VLOOKUP(C130,Konečné_pořadí_1_16!$B$2:$D$17,3,0))&lt;4,VLOOKUP(C130,Konečné_pořadí_1_16!$B$2:$D$17,3,0),999)</f>
        <v>999</v>
      </c>
      <c r="G130" s="176">
        <f ca="1">IF(TYPE(VLOOKUP(C130,'KO64'!$D$4:$D$129,1,0))&lt;4,64,999)</f>
        <v>999</v>
      </c>
      <c r="H130" s="176">
        <f ca="1">IF(TYPE(VLOOKUP(C130,'KO32'!$D$4:$D$65,1,0))&lt;4,32,999)</f>
        <v>999</v>
      </c>
      <c r="I130" s="176">
        <f ca="1">IF(TYPE(VLOOKUP(C130,'KO16'!$D$4:$D$33,1,0))&lt;4,16,999)</f>
        <v>999</v>
      </c>
      <c r="J130" s="176">
        <f ca="1">IF(TYPE(VLOOKUP(C130,'KO8'!$D$4:$D$17,1,0))&lt;4,8,999)</f>
        <v>999</v>
      </c>
      <c r="K130" s="176">
        <f ca="1">IF(TYPE(VLOOKUP(C130,'KO4'!$D$4:$D$9,1,0))&lt;4,4,999)</f>
        <v>999</v>
      </c>
      <c r="L130" s="176">
        <f ca="1">Start.listina!$K$7</f>
        <v>16</v>
      </c>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row>
    <row r="131" spans="1:34">
      <c r="A131" t="str">
        <f ca="1">IF(OR(Start.listina!H139&gt;Start.listina!$K$7,Start.listina!G139=1),"",Start.listina!H139)</f>
        <v/>
      </c>
      <c r="B131" s="176" t="str">
        <f ca="1">IF(A131&gt;Start.listina!$K$7,"",ADDRESS(INT((A131-1)/$M$2)+1,IF(MOD(A131,$M$2)=0,IF(MOD(INT((A131-1)/$M$2)+1,2)=1,$M$2,1),IF(MOD(INT((A131-1)/$M$2)+1,2)=1,MOD(A131,$M$2),$M$2-MOD(A131,$M$2)+1)),4,1))</f>
        <v/>
      </c>
      <c r="C131" s="178" t="str">
        <f ca="1">Start.listina!$AL139</f>
        <v/>
      </c>
      <c r="D131" s="176" t="str">
        <f ca="1">IF(A131&gt;Start.listina!$K$7,"",INT((A131-1)/$M$2)+1)</f>
        <v/>
      </c>
      <c r="E131" s="490" t="str">
        <f ca="1">IF(A131&gt;Start.listina!$K$7,"",MIN(F131:L131))</f>
        <v/>
      </c>
      <c r="F131" s="176">
        <f ca="1">IF(TYPE(VLOOKUP(C131,Konečné_pořadí_1_16!$B$2:$D$17,3,0))&lt;4,VLOOKUP(C131,Konečné_pořadí_1_16!$B$2:$D$17,3,0),999)</f>
        <v>999</v>
      </c>
      <c r="G131" s="176">
        <f ca="1">IF(TYPE(VLOOKUP(C131,'KO64'!$D$4:$D$129,1,0))&lt;4,64,999)</f>
        <v>999</v>
      </c>
      <c r="H131" s="176">
        <f ca="1">IF(TYPE(VLOOKUP(C131,'KO32'!$D$4:$D$65,1,0))&lt;4,32,999)</f>
        <v>999</v>
      </c>
      <c r="I131" s="176">
        <f ca="1">IF(TYPE(VLOOKUP(C131,'KO16'!$D$4:$D$33,1,0))&lt;4,16,999)</f>
        <v>999</v>
      </c>
      <c r="J131" s="176">
        <f ca="1">IF(TYPE(VLOOKUP(C131,'KO8'!$D$4:$D$17,1,0))&lt;4,8,999)</f>
        <v>999</v>
      </c>
      <c r="K131" s="176">
        <f ca="1">IF(TYPE(VLOOKUP(C131,'KO4'!$D$4:$D$9,1,0))&lt;4,4,999)</f>
        <v>999</v>
      </c>
      <c r="L131" s="176">
        <f ca="1">Start.listina!$K$7</f>
        <v>16</v>
      </c>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row>
    <row r="132" spans="1:34">
      <c r="A132" t="str">
        <f ca="1">IF(OR(Start.listina!H140&gt;Start.listina!$K$7,Start.listina!G140=1),"",Start.listina!H140)</f>
        <v/>
      </c>
      <c r="B132" s="176" t="str">
        <f ca="1">IF(A132&gt;Start.listina!$K$7,"",ADDRESS(INT((A132-1)/$M$2)+1,IF(MOD(A132,$M$2)=0,IF(MOD(INT((A132-1)/$M$2)+1,2)=1,$M$2,1),IF(MOD(INT((A132-1)/$M$2)+1,2)=1,MOD(A132,$M$2),$M$2-MOD(A132,$M$2)+1)),4,1))</f>
        <v/>
      </c>
      <c r="C132" s="178" t="str">
        <f ca="1">Start.listina!$AL140</f>
        <v/>
      </c>
      <c r="D132" s="176" t="str">
        <f ca="1">IF(A132&gt;Start.listina!$K$7,"",INT((A132-1)/$M$2)+1)</f>
        <v/>
      </c>
      <c r="E132" s="490" t="str">
        <f ca="1">IF(A132&gt;Start.listina!$K$7,"",MIN(F132:L132))</f>
        <v/>
      </c>
      <c r="F132" s="176">
        <f ca="1">IF(TYPE(VLOOKUP(C132,Konečné_pořadí_1_16!$B$2:$D$17,3,0))&lt;4,VLOOKUP(C132,Konečné_pořadí_1_16!$B$2:$D$17,3,0),999)</f>
        <v>999</v>
      </c>
      <c r="G132" s="176">
        <f ca="1">IF(TYPE(VLOOKUP(C132,'KO64'!$D$4:$D$129,1,0))&lt;4,64,999)</f>
        <v>999</v>
      </c>
      <c r="H132" s="176">
        <f ca="1">IF(TYPE(VLOOKUP(C132,'KO32'!$D$4:$D$65,1,0))&lt;4,32,999)</f>
        <v>999</v>
      </c>
      <c r="I132" s="176">
        <f ca="1">IF(TYPE(VLOOKUP(C132,'KO16'!$D$4:$D$33,1,0))&lt;4,16,999)</f>
        <v>999</v>
      </c>
      <c r="J132" s="176">
        <f ca="1">IF(TYPE(VLOOKUP(C132,'KO8'!$D$4:$D$17,1,0))&lt;4,8,999)</f>
        <v>999</v>
      </c>
      <c r="K132" s="176">
        <f ca="1">IF(TYPE(VLOOKUP(C132,'KO4'!$D$4:$D$9,1,0))&lt;4,4,999)</f>
        <v>999</v>
      </c>
      <c r="L132" s="176">
        <f ca="1">Start.listina!$K$7</f>
        <v>16</v>
      </c>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row>
    <row r="133" spans="1:34">
      <c r="A133" t="str">
        <f ca="1">IF(OR(Start.listina!H141&gt;Start.listina!$K$7,Start.listina!G141=1),"",Start.listina!H141)</f>
        <v/>
      </c>
      <c r="B133" s="176" t="str">
        <f ca="1">IF(A133&gt;Start.listina!$K$7,"",ADDRESS(INT((A133-1)/$M$2)+1,IF(MOD(A133,$M$2)=0,IF(MOD(INT((A133-1)/$M$2)+1,2)=1,$M$2,1),IF(MOD(INT((A133-1)/$M$2)+1,2)=1,MOD(A133,$M$2),$M$2-MOD(A133,$M$2)+1)),4,1))</f>
        <v/>
      </c>
      <c r="C133" s="178" t="str">
        <f ca="1">Start.listina!$AL141</f>
        <v/>
      </c>
      <c r="D133" s="176" t="str">
        <f ca="1">IF(A133&gt;Start.listina!$K$7,"",INT((A133-1)/$M$2)+1)</f>
        <v/>
      </c>
      <c r="E133" s="490" t="str">
        <f ca="1">IF(A133&gt;Start.listina!$K$7,"",MIN(F133:L133))</f>
        <v/>
      </c>
      <c r="F133" s="176">
        <f ca="1">IF(TYPE(VLOOKUP(C133,Konečné_pořadí_1_16!$B$2:$D$17,3,0))&lt;4,VLOOKUP(C133,Konečné_pořadí_1_16!$B$2:$D$17,3,0),999)</f>
        <v>999</v>
      </c>
      <c r="G133" s="176">
        <f ca="1">IF(TYPE(VLOOKUP(C133,'KO64'!$D$4:$D$129,1,0))&lt;4,64,999)</f>
        <v>999</v>
      </c>
      <c r="H133" s="176">
        <f ca="1">IF(TYPE(VLOOKUP(C133,'KO32'!$D$4:$D$65,1,0))&lt;4,32,999)</f>
        <v>999</v>
      </c>
      <c r="I133" s="176">
        <f ca="1">IF(TYPE(VLOOKUP(C133,'KO16'!$D$4:$D$33,1,0))&lt;4,16,999)</f>
        <v>999</v>
      </c>
      <c r="J133" s="176">
        <f ca="1">IF(TYPE(VLOOKUP(C133,'KO8'!$D$4:$D$17,1,0))&lt;4,8,999)</f>
        <v>999</v>
      </c>
      <c r="K133" s="176">
        <f ca="1">IF(TYPE(VLOOKUP(C133,'KO4'!$D$4:$D$9,1,0))&lt;4,4,999)</f>
        <v>999</v>
      </c>
      <c r="L133" s="176">
        <f ca="1">Start.listina!$K$7</f>
        <v>16</v>
      </c>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row>
    <row r="134" spans="1:34">
      <c r="A134" t="str">
        <f ca="1">IF(OR(Start.listina!H142&gt;Start.listina!$K$7,Start.listina!G142=1),"",Start.listina!H142)</f>
        <v/>
      </c>
      <c r="B134" s="176" t="str">
        <f ca="1">IF(A134&gt;Start.listina!$K$7,"",ADDRESS(INT((A134-1)/$M$2)+1,IF(MOD(A134,$M$2)=0,IF(MOD(INT((A134-1)/$M$2)+1,2)=1,$M$2,1),IF(MOD(INT((A134-1)/$M$2)+1,2)=1,MOD(A134,$M$2),$M$2-MOD(A134,$M$2)+1)),4,1))</f>
        <v/>
      </c>
      <c r="C134" s="178" t="str">
        <f ca="1">Start.listina!$AL142</f>
        <v/>
      </c>
      <c r="D134" s="176" t="str">
        <f ca="1">IF(A134&gt;Start.listina!$K$7,"",INT((A134-1)/$M$2)+1)</f>
        <v/>
      </c>
      <c r="E134" s="490" t="str">
        <f ca="1">IF(A134&gt;Start.listina!$K$7,"",MIN(F134:L134))</f>
        <v/>
      </c>
      <c r="F134" s="176">
        <f ca="1">IF(TYPE(VLOOKUP(C134,Konečné_pořadí_1_16!$B$2:$D$17,3,0))&lt;4,VLOOKUP(C134,Konečné_pořadí_1_16!$B$2:$D$17,3,0),999)</f>
        <v>999</v>
      </c>
      <c r="G134" s="176">
        <f ca="1">IF(TYPE(VLOOKUP(C134,'KO64'!$D$4:$D$129,1,0))&lt;4,64,999)</f>
        <v>999</v>
      </c>
      <c r="H134" s="176">
        <f ca="1">IF(TYPE(VLOOKUP(C134,'KO32'!$D$4:$D$65,1,0))&lt;4,32,999)</f>
        <v>999</v>
      </c>
      <c r="I134" s="176">
        <f ca="1">IF(TYPE(VLOOKUP(C134,'KO16'!$D$4:$D$33,1,0))&lt;4,16,999)</f>
        <v>999</v>
      </c>
      <c r="J134" s="176">
        <f ca="1">IF(TYPE(VLOOKUP(C134,'KO8'!$D$4:$D$17,1,0))&lt;4,8,999)</f>
        <v>999</v>
      </c>
      <c r="K134" s="176">
        <f ca="1">IF(TYPE(VLOOKUP(C134,'KO4'!$D$4:$D$9,1,0))&lt;4,4,999)</f>
        <v>999</v>
      </c>
      <c r="L134" s="176">
        <f ca="1">Start.listina!$K$7</f>
        <v>16</v>
      </c>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row>
    <row r="135" spans="1:34">
      <c r="A135" t="str">
        <f ca="1">IF(OR(Start.listina!H143&gt;Start.listina!$K$7,Start.listina!G143=1),"",Start.listina!H143)</f>
        <v/>
      </c>
      <c r="B135" s="176" t="str">
        <f ca="1">IF(A135&gt;Start.listina!$K$7,"",ADDRESS(INT((A135-1)/$M$2)+1,IF(MOD(A135,$M$2)=0,IF(MOD(INT((A135-1)/$M$2)+1,2)=1,$M$2,1),IF(MOD(INT((A135-1)/$M$2)+1,2)=1,MOD(A135,$M$2),$M$2-MOD(A135,$M$2)+1)),4,1))</f>
        <v/>
      </c>
      <c r="C135" s="178" t="str">
        <f ca="1">Start.listina!$AL143</f>
        <v/>
      </c>
      <c r="D135" s="176" t="str">
        <f ca="1">IF(A135&gt;Start.listina!$K$7,"",INT((A135-1)/$M$2)+1)</f>
        <v/>
      </c>
      <c r="E135" s="490" t="str">
        <f ca="1">IF(A135&gt;Start.listina!$K$7,"",MIN(F135:L135))</f>
        <v/>
      </c>
      <c r="F135" s="176">
        <f ca="1">IF(TYPE(VLOOKUP(C135,Konečné_pořadí_1_16!$B$2:$D$17,3,0))&lt;4,VLOOKUP(C135,Konečné_pořadí_1_16!$B$2:$D$17,3,0),999)</f>
        <v>999</v>
      </c>
      <c r="G135" s="176">
        <f ca="1">IF(TYPE(VLOOKUP(C135,'KO64'!$D$4:$D$129,1,0))&lt;4,64,999)</f>
        <v>999</v>
      </c>
      <c r="H135" s="176">
        <f ca="1">IF(TYPE(VLOOKUP(C135,'KO32'!$D$4:$D$65,1,0))&lt;4,32,999)</f>
        <v>999</v>
      </c>
      <c r="I135" s="176">
        <f ca="1">IF(TYPE(VLOOKUP(C135,'KO16'!$D$4:$D$33,1,0))&lt;4,16,999)</f>
        <v>999</v>
      </c>
      <c r="J135" s="176">
        <f ca="1">IF(TYPE(VLOOKUP(C135,'KO8'!$D$4:$D$17,1,0))&lt;4,8,999)</f>
        <v>999</v>
      </c>
      <c r="K135" s="176">
        <f ca="1">IF(TYPE(VLOOKUP(C135,'KO4'!$D$4:$D$9,1,0))&lt;4,4,999)</f>
        <v>999</v>
      </c>
      <c r="L135" s="176">
        <f ca="1">Start.listina!$K$7</f>
        <v>16</v>
      </c>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row>
    <row r="136" spans="1:34">
      <c r="A136" t="str">
        <f ca="1">IF(OR(Start.listina!H144&gt;Start.listina!$K$7,Start.listina!G144=1),"",Start.listina!H144)</f>
        <v/>
      </c>
      <c r="B136" s="176" t="str">
        <f ca="1">IF(A136&gt;Start.listina!$K$7,"",ADDRESS(INT((A136-1)/$M$2)+1,IF(MOD(A136,$M$2)=0,IF(MOD(INT((A136-1)/$M$2)+1,2)=1,$M$2,1),IF(MOD(INT((A136-1)/$M$2)+1,2)=1,MOD(A136,$M$2),$M$2-MOD(A136,$M$2)+1)),4,1))</f>
        <v/>
      </c>
      <c r="C136" s="178" t="str">
        <f ca="1">Start.listina!$AL144</f>
        <v/>
      </c>
      <c r="D136" s="176" t="str">
        <f ca="1">IF(A136&gt;Start.listina!$K$7,"",INT((A136-1)/$M$2)+1)</f>
        <v/>
      </c>
      <c r="E136" s="490" t="str">
        <f ca="1">IF(A136&gt;Start.listina!$K$7,"",MIN(F136:L136))</f>
        <v/>
      </c>
      <c r="F136" s="176">
        <f ca="1">IF(TYPE(VLOOKUP(C136,Konečné_pořadí_1_16!$B$2:$D$17,3,0))&lt;4,VLOOKUP(C136,Konečné_pořadí_1_16!$B$2:$D$17,3,0),999)</f>
        <v>999</v>
      </c>
      <c r="G136" s="176">
        <f ca="1">IF(TYPE(VLOOKUP(C136,'KO64'!$D$4:$D$129,1,0))&lt;4,64,999)</f>
        <v>999</v>
      </c>
      <c r="H136" s="176">
        <f ca="1">IF(TYPE(VLOOKUP(C136,'KO32'!$D$4:$D$65,1,0))&lt;4,32,999)</f>
        <v>999</v>
      </c>
      <c r="I136" s="176">
        <f ca="1">IF(TYPE(VLOOKUP(C136,'KO16'!$D$4:$D$33,1,0))&lt;4,16,999)</f>
        <v>999</v>
      </c>
      <c r="J136" s="176">
        <f ca="1">IF(TYPE(VLOOKUP(C136,'KO8'!$D$4:$D$17,1,0))&lt;4,8,999)</f>
        <v>999</v>
      </c>
      <c r="K136" s="176">
        <f ca="1">IF(TYPE(VLOOKUP(C136,'KO4'!$D$4:$D$9,1,0))&lt;4,4,999)</f>
        <v>999</v>
      </c>
      <c r="L136" s="176">
        <f ca="1">Start.listina!$K$7</f>
        <v>16</v>
      </c>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row>
    <row r="137" spans="1:34">
      <c r="A137" t="str">
        <f ca="1">IF(OR(Start.listina!H145&gt;Start.listina!$K$7,Start.listina!G145=1),"",Start.listina!H145)</f>
        <v/>
      </c>
      <c r="B137" s="176" t="str">
        <f ca="1">IF(A137&gt;Start.listina!$K$7,"",ADDRESS(INT((A137-1)/$M$2)+1,IF(MOD(A137,$M$2)=0,IF(MOD(INT((A137-1)/$M$2)+1,2)=1,$M$2,1),IF(MOD(INT((A137-1)/$M$2)+1,2)=1,MOD(A137,$M$2),$M$2-MOD(A137,$M$2)+1)),4,1))</f>
        <v/>
      </c>
      <c r="C137" s="178" t="str">
        <f ca="1">Start.listina!$AL145</f>
        <v/>
      </c>
      <c r="D137" s="176" t="str">
        <f ca="1">IF(A137&gt;Start.listina!$K$7,"",INT((A137-1)/$M$2)+1)</f>
        <v/>
      </c>
      <c r="E137" s="490" t="str">
        <f ca="1">IF(A137&gt;Start.listina!$K$7,"",MIN(F137:L137))</f>
        <v/>
      </c>
      <c r="F137" s="176">
        <f ca="1">IF(TYPE(VLOOKUP(C137,Konečné_pořadí_1_16!$B$2:$D$17,3,0))&lt;4,VLOOKUP(C137,Konečné_pořadí_1_16!$B$2:$D$17,3,0),999)</f>
        <v>999</v>
      </c>
      <c r="G137" s="176">
        <f ca="1">IF(TYPE(VLOOKUP(C137,'KO64'!$D$4:$D$129,1,0))&lt;4,64,999)</f>
        <v>999</v>
      </c>
      <c r="H137" s="176">
        <f ca="1">IF(TYPE(VLOOKUP(C137,'KO32'!$D$4:$D$65,1,0))&lt;4,32,999)</f>
        <v>999</v>
      </c>
      <c r="I137" s="176">
        <f ca="1">IF(TYPE(VLOOKUP(C137,'KO16'!$D$4:$D$33,1,0))&lt;4,16,999)</f>
        <v>999</v>
      </c>
      <c r="J137" s="176">
        <f ca="1">IF(TYPE(VLOOKUP(C137,'KO8'!$D$4:$D$17,1,0))&lt;4,8,999)</f>
        <v>999</v>
      </c>
      <c r="K137" s="176">
        <f ca="1">IF(TYPE(VLOOKUP(C137,'KO4'!$D$4:$D$9,1,0))&lt;4,4,999)</f>
        <v>999</v>
      </c>
      <c r="L137" s="176">
        <f ca="1">Start.listina!$K$7</f>
        <v>16</v>
      </c>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row>
    <row r="138" spans="1:34">
      <c r="A138" t="str">
        <f ca="1">IF(OR(Start.listina!H146&gt;Start.listina!$K$7,Start.listina!G146=1),"",Start.listina!H146)</f>
        <v/>
      </c>
      <c r="B138" s="176" t="str">
        <f ca="1">IF(A138&gt;Start.listina!$K$7,"",ADDRESS(INT((A138-1)/$M$2)+1,IF(MOD(A138,$M$2)=0,IF(MOD(INT((A138-1)/$M$2)+1,2)=1,$M$2,1),IF(MOD(INT((A138-1)/$M$2)+1,2)=1,MOD(A138,$M$2),$M$2-MOD(A138,$M$2)+1)),4,1))</f>
        <v/>
      </c>
      <c r="C138" s="178" t="str">
        <f ca="1">Start.listina!$AL146</f>
        <v/>
      </c>
      <c r="D138" s="176" t="str">
        <f ca="1">IF(A138&gt;Start.listina!$K$7,"",INT((A138-1)/$M$2)+1)</f>
        <v/>
      </c>
      <c r="E138" s="490" t="str">
        <f ca="1">IF(A138&gt;Start.listina!$K$7,"",MIN(F138:L138))</f>
        <v/>
      </c>
      <c r="F138" s="176">
        <f ca="1">IF(TYPE(VLOOKUP(C138,Konečné_pořadí_1_16!$B$2:$D$17,3,0))&lt;4,VLOOKUP(C138,Konečné_pořadí_1_16!$B$2:$D$17,3,0),999)</f>
        <v>999</v>
      </c>
      <c r="G138" s="176">
        <f ca="1">IF(TYPE(VLOOKUP(C138,'KO64'!$D$4:$D$129,1,0))&lt;4,64,999)</f>
        <v>999</v>
      </c>
      <c r="H138" s="176">
        <f ca="1">IF(TYPE(VLOOKUP(C138,'KO32'!$D$4:$D$65,1,0))&lt;4,32,999)</f>
        <v>999</v>
      </c>
      <c r="I138" s="176">
        <f ca="1">IF(TYPE(VLOOKUP(C138,'KO16'!$D$4:$D$33,1,0))&lt;4,16,999)</f>
        <v>999</v>
      </c>
      <c r="J138" s="176">
        <f ca="1">IF(TYPE(VLOOKUP(C138,'KO8'!$D$4:$D$17,1,0))&lt;4,8,999)</f>
        <v>999</v>
      </c>
      <c r="K138" s="176">
        <f ca="1">IF(TYPE(VLOOKUP(C138,'KO4'!$D$4:$D$9,1,0))&lt;4,4,999)</f>
        <v>999</v>
      </c>
      <c r="L138" s="176">
        <f ca="1">Start.listina!$K$7</f>
        <v>16</v>
      </c>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row>
    <row r="139" spans="1:34">
      <c r="A139" t="str">
        <f ca="1">IF(OR(Start.listina!H147&gt;Start.listina!$K$7,Start.listina!G147=1),"",Start.listina!H147)</f>
        <v/>
      </c>
      <c r="B139" s="176" t="str">
        <f ca="1">IF(A139&gt;Start.listina!$K$7,"",ADDRESS(INT((A139-1)/$M$2)+1,IF(MOD(A139,$M$2)=0,IF(MOD(INT((A139-1)/$M$2)+1,2)=1,$M$2,1),IF(MOD(INT((A139-1)/$M$2)+1,2)=1,MOD(A139,$M$2),$M$2-MOD(A139,$M$2)+1)),4,1))</f>
        <v/>
      </c>
      <c r="C139" s="178" t="str">
        <f ca="1">Start.listina!$AL147</f>
        <v/>
      </c>
      <c r="D139" s="176" t="str">
        <f ca="1">IF(A139&gt;Start.listina!$K$7,"",INT((A139-1)/$M$2)+1)</f>
        <v/>
      </c>
      <c r="E139" s="490" t="str">
        <f ca="1">IF(A139&gt;Start.listina!$K$7,"",MIN(F139:L139))</f>
        <v/>
      </c>
      <c r="F139" s="176">
        <f ca="1">IF(TYPE(VLOOKUP(C139,Konečné_pořadí_1_16!$B$2:$D$17,3,0))&lt;4,VLOOKUP(C139,Konečné_pořadí_1_16!$B$2:$D$17,3,0),999)</f>
        <v>999</v>
      </c>
      <c r="G139" s="176">
        <f ca="1">IF(TYPE(VLOOKUP(C139,'KO64'!$D$4:$D$129,1,0))&lt;4,64,999)</f>
        <v>999</v>
      </c>
      <c r="H139" s="176">
        <f ca="1">IF(TYPE(VLOOKUP(C139,'KO32'!$D$4:$D$65,1,0))&lt;4,32,999)</f>
        <v>999</v>
      </c>
      <c r="I139" s="176">
        <f ca="1">IF(TYPE(VLOOKUP(C139,'KO16'!$D$4:$D$33,1,0))&lt;4,16,999)</f>
        <v>999</v>
      </c>
      <c r="J139" s="176">
        <f ca="1">IF(TYPE(VLOOKUP(C139,'KO8'!$D$4:$D$17,1,0))&lt;4,8,999)</f>
        <v>999</v>
      </c>
      <c r="K139" s="176">
        <f ca="1">IF(TYPE(VLOOKUP(C139,'KO4'!$D$4:$D$9,1,0))&lt;4,4,999)</f>
        <v>999</v>
      </c>
      <c r="L139" s="176">
        <f ca="1">Start.listina!$K$7</f>
        <v>16</v>
      </c>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row>
    <row r="140" spans="1:34">
      <c r="A140" t="str">
        <f ca="1">IF(OR(Start.listina!H148&gt;Start.listina!$K$7,Start.listina!G148=1),"",Start.listina!H148)</f>
        <v/>
      </c>
      <c r="B140" s="176" t="str">
        <f ca="1">IF(A140&gt;Start.listina!$K$7,"",ADDRESS(INT((A140-1)/$M$2)+1,IF(MOD(A140,$M$2)=0,IF(MOD(INT((A140-1)/$M$2)+1,2)=1,$M$2,1),IF(MOD(INT((A140-1)/$M$2)+1,2)=1,MOD(A140,$M$2),$M$2-MOD(A140,$M$2)+1)),4,1))</f>
        <v/>
      </c>
      <c r="C140" s="178" t="str">
        <f ca="1">Start.listina!$AL148</f>
        <v/>
      </c>
      <c r="D140" s="176" t="str">
        <f ca="1">IF(A140&gt;Start.listina!$K$7,"",INT((A140-1)/$M$2)+1)</f>
        <v/>
      </c>
      <c r="E140" s="490" t="str">
        <f ca="1">IF(A140&gt;Start.listina!$K$7,"",MIN(F140:L140))</f>
        <v/>
      </c>
      <c r="F140" s="176">
        <f ca="1">IF(TYPE(VLOOKUP(C140,Konečné_pořadí_1_16!$B$2:$D$17,3,0))&lt;4,VLOOKUP(C140,Konečné_pořadí_1_16!$B$2:$D$17,3,0),999)</f>
        <v>999</v>
      </c>
      <c r="G140" s="176">
        <f ca="1">IF(TYPE(VLOOKUP(C140,'KO64'!$D$4:$D$129,1,0))&lt;4,64,999)</f>
        <v>999</v>
      </c>
      <c r="H140" s="176">
        <f ca="1">IF(TYPE(VLOOKUP(C140,'KO32'!$D$4:$D$65,1,0))&lt;4,32,999)</f>
        <v>999</v>
      </c>
      <c r="I140" s="176">
        <f ca="1">IF(TYPE(VLOOKUP(C140,'KO16'!$D$4:$D$33,1,0))&lt;4,16,999)</f>
        <v>999</v>
      </c>
      <c r="J140" s="176">
        <f ca="1">IF(TYPE(VLOOKUP(C140,'KO8'!$D$4:$D$17,1,0))&lt;4,8,999)</f>
        <v>999</v>
      </c>
      <c r="K140" s="176">
        <f ca="1">IF(TYPE(VLOOKUP(C140,'KO4'!$D$4:$D$9,1,0))&lt;4,4,999)</f>
        <v>999</v>
      </c>
      <c r="L140" s="176">
        <f ca="1">Start.listina!$K$7</f>
        <v>16</v>
      </c>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row>
    <row r="141" spans="1:34">
      <c r="A141" t="str">
        <f ca="1">IF(OR(Start.listina!H149&gt;Start.listina!$K$7,Start.listina!G149=1),"",Start.listina!H149)</f>
        <v/>
      </c>
      <c r="B141" s="176" t="str">
        <f ca="1">IF(A141&gt;Start.listina!$K$7,"",ADDRESS(INT((A141-1)/$M$2)+1,IF(MOD(A141,$M$2)=0,IF(MOD(INT((A141-1)/$M$2)+1,2)=1,$M$2,1),IF(MOD(INT((A141-1)/$M$2)+1,2)=1,MOD(A141,$M$2),$M$2-MOD(A141,$M$2)+1)),4,1))</f>
        <v/>
      </c>
      <c r="C141" s="178" t="str">
        <f ca="1">Start.listina!$AL149</f>
        <v/>
      </c>
      <c r="D141" s="176" t="str">
        <f ca="1">IF(A141&gt;Start.listina!$K$7,"",INT((A141-1)/$M$2)+1)</f>
        <v/>
      </c>
      <c r="E141" s="490" t="str">
        <f ca="1">IF(A141&gt;Start.listina!$K$7,"",MIN(F141:L141))</f>
        <v/>
      </c>
      <c r="F141" s="176">
        <f ca="1">IF(TYPE(VLOOKUP(C141,Konečné_pořadí_1_16!$B$2:$D$17,3,0))&lt;4,VLOOKUP(C141,Konečné_pořadí_1_16!$B$2:$D$17,3,0),999)</f>
        <v>999</v>
      </c>
      <c r="G141" s="176">
        <f ca="1">IF(TYPE(VLOOKUP(C141,'KO64'!$D$4:$D$129,1,0))&lt;4,64,999)</f>
        <v>999</v>
      </c>
      <c r="H141" s="176">
        <f ca="1">IF(TYPE(VLOOKUP(C141,'KO32'!$D$4:$D$65,1,0))&lt;4,32,999)</f>
        <v>999</v>
      </c>
      <c r="I141" s="176">
        <f ca="1">IF(TYPE(VLOOKUP(C141,'KO16'!$D$4:$D$33,1,0))&lt;4,16,999)</f>
        <v>999</v>
      </c>
      <c r="J141" s="176">
        <f ca="1">IF(TYPE(VLOOKUP(C141,'KO8'!$D$4:$D$17,1,0))&lt;4,8,999)</f>
        <v>999</v>
      </c>
      <c r="K141" s="176">
        <f ca="1">IF(TYPE(VLOOKUP(C141,'KO4'!$D$4:$D$9,1,0))&lt;4,4,999)</f>
        <v>999</v>
      </c>
      <c r="L141" s="176">
        <f ca="1">Start.listina!$K$7</f>
        <v>16</v>
      </c>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row>
    <row r="142" spans="1:34">
      <c r="A142" t="str">
        <f ca="1">IF(OR(Start.listina!H150&gt;Start.listina!$K$7,Start.listina!G150=1),"",Start.listina!H150)</f>
        <v/>
      </c>
      <c r="B142" s="176" t="str">
        <f ca="1">IF(A142&gt;Start.listina!$K$7,"",ADDRESS(INT((A142-1)/$M$2)+1,IF(MOD(A142,$M$2)=0,IF(MOD(INT((A142-1)/$M$2)+1,2)=1,$M$2,1),IF(MOD(INT((A142-1)/$M$2)+1,2)=1,MOD(A142,$M$2),$M$2-MOD(A142,$M$2)+1)),4,1))</f>
        <v/>
      </c>
      <c r="C142" s="178" t="str">
        <f ca="1">Start.listina!$AL150</f>
        <v/>
      </c>
      <c r="D142" s="176" t="str">
        <f ca="1">IF(A142&gt;Start.listina!$K$7,"",INT((A142-1)/$M$2)+1)</f>
        <v/>
      </c>
      <c r="E142" s="490" t="str">
        <f ca="1">IF(A142&gt;Start.listina!$K$7,"",MIN(F142:L142))</f>
        <v/>
      </c>
      <c r="F142" s="176">
        <f ca="1">IF(TYPE(VLOOKUP(C142,Konečné_pořadí_1_16!$B$2:$D$17,3,0))&lt;4,VLOOKUP(C142,Konečné_pořadí_1_16!$B$2:$D$17,3,0),999)</f>
        <v>999</v>
      </c>
      <c r="G142" s="176">
        <f ca="1">IF(TYPE(VLOOKUP(C142,'KO64'!$D$4:$D$129,1,0))&lt;4,64,999)</f>
        <v>999</v>
      </c>
      <c r="H142" s="176">
        <f ca="1">IF(TYPE(VLOOKUP(C142,'KO32'!$D$4:$D$65,1,0))&lt;4,32,999)</f>
        <v>999</v>
      </c>
      <c r="I142" s="176">
        <f ca="1">IF(TYPE(VLOOKUP(C142,'KO16'!$D$4:$D$33,1,0))&lt;4,16,999)</f>
        <v>999</v>
      </c>
      <c r="J142" s="176">
        <f ca="1">IF(TYPE(VLOOKUP(C142,'KO8'!$D$4:$D$17,1,0))&lt;4,8,999)</f>
        <v>999</v>
      </c>
      <c r="K142" s="176">
        <f ca="1">IF(TYPE(VLOOKUP(C142,'KO4'!$D$4:$D$9,1,0))&lt;4,4,999)</f>
        <v>999</v>
      </c>
      <c r="L142" s="176">
        <f ca="1">Start.listina!$K$7</f>
        <v>16</v>
      </c>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row>
    <row r="143" spans="1:34">
      <c r="A143" t="str">
        <f ca="1">IF(OR(Start.listina!H151&gt;Start.listina!$K$7,Start.listina!G151=1),"",Start.listina!H151)</f>
        <v/>
      </c>
      <c r="B143" s="176" t="str">
        <f ca="1">IF(A143&gt;Start.listina!$K$7,"",ADDRESS(INT((A143-1)/$M$2)+1,IF(MOD(A143,$M$2)=0,IF(MOD(INT((A143-1)/$M$2)+1,2)=1,$M$2,1),IF(MOD(INT((A143-1)/$M$2)+1,2)=1,MOD(A143,$M$2),$M$2-MOD(A143,$M$2)+1)),4,1))</f>
        <v/>
      </c>
      <c r="C143" s="178" t="str">
        <f ca="1">Start.listina!$AL151</f>
        <v/>
      </c>
      <c r="D143" s="176" t="str">
        <f ca="1">IF(A143&gt;Start.listina!$K$7,"",INT((A143-1)/$M$2)+1)</f>
        <v/>
      </c>
      <c r="E143" s="490" t="str">
        <f ca="1">IF(A143&gt;Start.listina!$K$7,"",MIN(F143:L143))</f>
        <v/>
      </c>
      <c r="F143" s="176">
        <f ca="1">IF(TYPE(VLOOKUP(C143,Konečné_pořadí_1_16!$B$2:$D$17,3,0))&lt;4,VLOOKUP(C143,Konečné_pořadí_1_16!$B$2:$D$17,3,0),999)</f>
        <v>999</v>
      </c>
      <c r="G143" s="176">
        <f ca="1">IF(TYPE(VLOOKUP(C143,'KO64'!$D$4:$D$129,1,0))&lt;4,64,999)</f>
        <v>999</v>
      </c>
      <c r="H143" s="176">
        <f ca="1">IF(TYPE(VLOOKUP(C143,'KO32'!$D$4:$D$65,1,0))&lt;4,32,999)</f>
        <v>999</v>
      </c>
      <c r="I143" s="176">
        <f ca="1">IF(TYPE(VLOOKUP(C143,'KO16'!$D$4:$D$33,1,0))&lt;4,16,999)</f>
        <v>999</v>
      </c>
      <c r="J143" s="176">
        <f ca="1">IF(TYPE(VLOOKUP(C143,'KO8'!$D$4:$D$17,1,0))&lt;4,8,999)</f>
        <v>999</v>
      </c>
      <c r="K143" s="176">
        <f ca="1">IF(TYPE(VLOOKUP(C143,'KO4'!$D$4:$D$9,1,0))&lt;4,4,999)</f>
        <v>999</v>
      </c>
      <c r="L143" s="176">
        <f ca="1">Start.listina!$K$7</f>
        <v>16</v>
      </c>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row>
    <row r="144" spans="1:34">
      <c r="A144" t="str">
        <f ca="1">IF(OR(Start.listina!H152&gt;Start.listina!$K$7,Start.listina!G152=1),"",Start.listina!H152)</f>
        <v/>
      </c>
      <c r="B144" s="176" t="str">
        <f ca="1">IF(A144&gt;Start.listina!$K$7,"",ADDRESS(INT((A144-1)/$M$2)+1,IF(MOD(A144,$M$2)=0,IF(MOD(INT((A144-1)/$M$2)+1,2)=1,$M$2,1),IF(MOD(INT((A144-1)/$M$2)+1,2)=1,MOD(A144,$M$2),$M$2-MOD(A144,$M$2)+1)),4,1))</f>
        <v/>
      </c>
      <c r="C144" s="178" t="str">
        <f ca="1">Start.listina!$AL152</f>
        <v/>
      </c>
      <c r="D144" s="176" t="str">
        <f ca="1">IF(A144&gt;Start.listina!$K$7,"",INT((A144-1)/$M$2)+1)</f>
        <v/>
      </c>
      <c r="E144" s="490" t="str">
        <f ca="1">IF(A144&gt;Start.listina!$K$7,"",MIN(F144:L144))</f>
        <v/>
      </c>
      <c r="F144" s="176">
        <f ca="1">IF(TYPE(VLOOKUP(C144,Konečné_pořadí_1_16!$B$2:$D$17,3,0))&lt;4,VLOOKUP(C144,Konečné_pořadí_1_16!$B$2:$D$17,3,0),999)</f>
        <v>999</v>
      </c>
      <c r="G144" s="176">
        <f ca="1">IF(TYPE(VLOOKUP(C144,'KO64'!$D$4:$D$129,1,0))&lt;4,64,999)</f>
        <v>999</v>
      </c>
      <c r="H144" s="176">
        <f ca="1">IF(TYPE(VLOOKUP(C144,'KO32'!$D$4:$D$65,1,0))&lt;4,32,999)</f>
        <v>999</v>
      </c>
      <c r="I144" s="176">
        <f ca="1">IF(TYPE(VLOOKUP(C144,'KO16'!$D$4:$D$33,1,0))&lt;4,16,999)</f>
        <v>999</v>
      </c>
      <c r="J144" s="176">
        <f ca="1">IF(TYPE(VLOOKUP(C144,'KO8'!$D$4:$D$17,1,0))&lt;4,8,999)</f>
        <v>999</v>
      </c>
      <c r="K144" s="176">
        <f ca="1">IF(TYPE(VLOOKUP(C144,'KO4'!$D$4:$D$9,1,0))&lt;4,4,999)</f>
        <v>999</v>
      </c>
      <c r="L144" s="176">
        <f ca="1">Start.listina!$K$7</f>
        <v>16</v>
      </c>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row>
    <row r="145" spans="1:34">
      <c r="A145" t="str">
        <f ca="1">IF(OR(Start.listina!H153&gt;Start.listina!$K$7,Start.listina!G153=1),"",Start.listina!H153)</f>
        <v/>
      </c>
      <c r="B145" s="176" t="str">
        <f ca="1">IF(A145&gt;Start.listina!$K$7,"",ADDRESS(INT((A145-1)/$M$2)+1,IF(MOD(A145,$M$2)=0,IF(MOD(INT((A145-1)/$M$2)+1,2)=1,$M$2,1),IF(MOD(INT((A145-1)/$M$2)+1,2)=1,MOD(A145,$M$2),$M$2-MOD(A145,$M$2)+1)),4,1))</f>
        <v/>
      </c>
      <c r="C145" s="178" t="str">
        <f ca="1">Start.listina!$AL153</f>
        <v/>
      </c>
      <c r="D145" s="176" t="str">
        <f ca="1">IF(A145&gt;Start.listina!$K$7,"",INT((A145-1)/$M$2)+1)</f>
        <v/>
      </c>
      <c r="E145" s="490" t="str">
        <f ca="1">IF(A145&gt;Start.listina!$K$7,"",MIN(F145:L145))</f>
        <v/>
      </c>
      <c r="F145" s="176">
        <f ca="1">IF(TYPE(VLOOKUP(C145,Konečné_pořadí_1_16!$B$2:$D$17,3,0))&lt;4,VLOOKUP(C145,Konečné_pořadí_1_16!$B$2:$D$17,3,0),999)</f>
        <v>999</v>
      </c>
      <c r="G145" s="176">
        <f ca="1">IF(TYPE(VLOOKUP(C145,'KO64'!$D$4:$D$129,1,0))&lt;4,64,999)</f>
        <v>999</v>
      </c>
      <c r="H145" s="176">
        <f ca="1">IF(TYPE(VLOOKUP(C145,'KO32'!$D$4:$D$65,1,0))&lt;4,32,999)</f>
        <v>999</v>
      </c>
      <c r="I145" s="176">
        <f ca="1">IF(TYPE(VLOOKUP(C145,'KO16'!$D$4:$D$33,1,0))&lt;4,16,999)</f>
        <v>999</v>
      </c>
      <c r="J145" s="176">
        <f ca="1">IF(TYPE(VLOOKUP(C145,'KO8'!$D$4:$D$17,1,0))&lt;4,8,999)</f>
        <v>999</v>
      </c>
      <c r="K145" s="176">
        <f ca="1">IF(TYPE(VLOOKUP(C145,'KO4'!$D$4:$D$9,1,0))&lt;4,4,999)</f>
        <v>999</v>
      </c>
      <c r="L145" s="176">
        <f ca="1">Start.listina!$K$7</f>
        <v>16</v>
      </c>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row>
    <row r="146" spans="1:34">
      <c r="A146" t="str">
        <f ca="1">IF(OR(Start.listina!H154&gt;Start.listina!$K$7,Start.listina!G154=1),"",Start.listina!H154)</f>
        <v/>
      </c>
      <c r="B146" s="176" t="str">
        <f ca="1">IF(A146&gt;Start.listina!$K$7,"",ADDRESS(INT((A146-1)/$M$2)+1,IF(MOD(A146,$M$2)=0,IF(MOD(INT((A146-1)/$M$2)+1,2)=1,$M$2,1),IF(MOD(INT((A146-1)/$M$2)+1,2)=1,MOD(A146,$M$2),$M$2-MOD(A146,$M$2)+1)),4,1))</f>
        <v/>
      </c>
      <c r="C146" s="178" t="str">
        <f ca="1">Start.listina!$AL154</f>
        <v/>
      </c>
      <c r="D146" s="176" t="str">
        <f ca="1">IF(A146&gt;Start.listina!$K$7,"",INT((A146-1)/$M$2)+1)</f>
        <v/>
      </c>
      <c r="E146" s="490" t="str">
        <f ca="1">IF(A146&gt;Start.listina!$K$7,"",MIN(F146:L146))</f>
        <v/>
      </c>
      <c r="F146" s="176">
        <f ca="1">IF(TYPE(VLOOKUP(C146,Konečné_pořadí_1_16!$B$2:$D$17,3,0))&lt;4,VLOOKUP(C146,Konečné_pořadí_1_16!$B$2:$D$17,3,0),999)</f>
        <v>999</v>
      </c>
      <c r="G146" s="176">
        <f ca="1">IF(TYPE(VLOOKUP(C146,'KO64'!$D$4:$D$129,1,0))&lt;4,64,999)</f>
        <v>999</v>
      </c>
      <c r="H146" s="176">
        <f ca="1">IF(TYPE(VLOOKUP(C146,'KO32'!$D$4:$D$65,1,0))&lt;4,32,999)</f>
        <v>999</v>
      </c>
      <c r="I146" s="176">
        <f ca="1">IF(TYPE(VLOOKUP(C146,'KO16'!$D$4:$D$33,1,0))&lt;4,16,999)</f>
        <v>999</v>
      </c>
      <c r="J146" s="176">
        <f ca="1">IF(TYPE(VLOOKUP(C146,'KO8'!$D$4:$D$17,1,0))&lt;4,8,999)</f>
        <v>999</v>
      </c>
      <c r="K146" s="176">
        <f ca="1">IF(TYPE(VLOOKUP(C146,'KO4'!$D$4:$D$9,1,0))&lt;4,4,999)</f>
        <v>999</v>
      </c>
      <c r="L146" s="176">
        <f ca="1">Start.listina!$K$7</f>
        <v>16</v>
      </c>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row>
    <row r="147" spans="1:34">
      <c r="A147" t="str">
        <f ca="1">IF(OR(Start.listina!H155&gt;Start.listina!$K$7,Start.listina!G155=1),"",Start.listina!H155)</f>
        <v/>
      </c>
      <c r="B147" s="176" t="str">
        <f ca="1">IF(A147&gt;Start.listina!$K$7,"",ADDRESS(INT((A147-1)/$M$2)+1,IF(MOD(A147,$M$2)=0,IF(MOD(INT((A147-1)/$M$2)+1,2)=1,$M$2,1),IF(MOD(INT((A147-1)/$M$2)+1,2)=1,MOD(A147,$M$2),$M$2-MOD(A147,$M$2)+1)),4,1))</f>
        <v/>
      </c>
      <c r="C147" s="178" t="str">
        <f ca="1">Start.listina!$AL155</f>
        <v/>
      </c>
      <c r="D147" s="176" t="str">
        <f ca="1">IF(A147&gt;Start.listina!$K$7,"",INT((A147-1)/$M$2)+1)</f>
        <v/>
      </c>
      <c r="E147" s="490" t="str">
        <f ca="1">IF(A147&gt;Start.listina!$K$7,"",MIN(F147:L147))</f>
        <v/>
      </c>
      <c r="F147" s="176">
        <f ca="1">IF(TYPE(VLOOKUP(C147,Konečné_pořadí_1_16!$B$2:$D$17,3,0))&lt;4,VLOOKUP(C147,Konečné_pořadí_1_16!$B$2:$D$17,3,0),999)</f>
        <v>999</v>
      </c>
      <c r="G147" s="176">
        <f ca="1">IF(TYPE(VLOOKUP(C147,'KO64'!$D$4:$D$129,1,0))&lt;4,64,999)</f>
        <v>999</v>
      </c>
      <c r="H147" s="176">
        <f ca="1">IF(TYPE(VLOOKUP(C147,'KO32'!$D$4:$D$65,1,0))&lt;4,32,999)</f>
        <v>999</v>
      </c>
      <c r="I147" s="176">
        <f ca="1">IF(TYPE(VLOOKUP(C147,'KO16'!$D$4:$D$33,1,0))&lt;4,16,999)</f>
        <v>999</v>
      </c>
      <c r="J147" s="176">
        <f ca="1">IF(TYPE(VLOOKUP(C147,'KO8'!$D$4:$D$17,1,0))&lt;4,8,999)</f>
        <v>999</v>
      </c>
      <c r="K147" s="176">
        <f ca="1">IF(TYPE(VLOOKUP(C147,'KO4'!$D$4:$D$9,1,0))&lt;4,4,999)</f>
        <v>999</v>
      </c>
      <c r="L147" s="176">
        <f ca="1">Start.listina!$K$7</f>
        <v>16</v>
      </c>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row>
    <row r="148" spans="1:34">
      <c r="A148" t="str">
        <f ca="1">IF(OR(Start.listina!H156&gt;Start.listina!$K$7,Start.listina!G156=1),"",Start.listina!H156)</f>
        <v/>
      </c>
      <c r="B148" s="176" t="str">
        <f ca="1">IF(A148&gt;Start.listina!$K$7,"",ADDRESS(INT((A148-1)/$M$2)+1,IF(MOD(A148,$M$2)=0,IF(MOD(INT((A148-1)/$M$2)+1,2)=1,$M$2,1),IF(MOD(INT((A148-1)/$M$2)+1,2)=1,MOD(A148,$M$2),$M$2-MOD(A148,$M$2)+1)),4,1))</f>
        <v/>
      </c>
      <c r="C148" s="178" t="str">
        <f ca="1">Start.listina!$AL156</f>
        <v/>
      </c>
      <c r="D148" s="176" t="str">
        <f ca="1">IF(A148&gt;Start.listina!$K$7,"",INT((A148-1)/$M$2)+1)</f>
        <v/>
      </c>
      <c r="E148" s="490" t="str">
        <f ca="1">IF(A148&gt;Start.listina!$K$7,"",MIN(F148:L148))</f>
        <v/>
      </c>
      <c r="F148" s="176">
        <f ca="1">IF(TYPE(VLOOKUP(C148,Konečné_pořadí_1_16!$B$2:$D$17,3,0))&lt;4,VLOOKUP(C148,Konečné_pořadí_1_16!$B$2:$D$17,3,0),999)</f>
        <v>999</v>
      </c>
      <c r="G148" s="176">
        <f ca="1">IF(TYPE(VLOOKUP(C148,'KO64'!$D$4:$D$129,1,0))&lt;4,64,999)</f>
        <v>999</v>
      </c>
      <c r="H148" s="176">
        <f ca="1">IF(TYPE(VLOOKUP(C148,'KO32'!$D$4:$D$65,1,0))&lt;4,32,999)</f>
        <v>999</v>
      </c>
      <c r="I148" s="176">
        <f ca="1">IF(TYPE(VLOOKUP(C148,'KO16'!$D$4:$D$33,1,0))&lt;4,16,999)</f>
        <v>999</v>
      </c>
      <c r="J148" s="176">
        <f ca="1">IF(TYPE(VLOOKUP(C148,'KO8'!$D$4:$D$17,1,0))&lt;4,8,999)</f>
        <v>999</v>
      </c>
      <c r="K148" s="176">
        <f ca="1">IF(TYPE(VLOOKUP(C148,'KO4'!$D$4:$D$9,1,0))&lt;4,4,999)</f>
        <v>999</v>
      </c>
      <c r="L148" s="176">
        <f ca="1">Start.listina!$K$7</f>
        <v>16</v>
      </c>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row>
    <row r="149" spans="1:34">
      <c r="A149" t="str">
        <f ca="1">IF(OR(Start.listina!H157&gt;Start.listina!$K$7,Start.listina!G157=1),"",Start.listina!H157)</f>
        <v/>
      </c>
      <c r="B149" s="176" t="str">
        <f ca="1">IF(A149&gt;Start.listina!$K$7,"",ADDRESS(INT((A149-1)/$M$2)+1,IF(MOD(A149,$M$2)=0,IF(MOD(INT((A149-1)/$M$2)+1,2)=1,$M$2,1),IF(MOD(INT((A149-1)/$M$2)+1,2)=1,MOD(A149,$M$2),$M$2-MOD(A149,$M$2)+1)),4,1))</f>
        <v/>
      </c>
      <c r="C149" s="178" t="str">
        <f ca="1">Start.listina!$AL157</f>
        <v/>
      </c>
      <c r="D149" s="176" t="str">
        <f ca="1">IF(A149&gt;Start.listina!$K$7,"",INT((A149-1)/$M$2)+1)</f>
        <v/>
      </c>
      <c r="E149" s="490" t="str">
        <f ca="1">IF(A149&gt;Start.listina!$K$7,"",MIN(F149:L149))</f>
        <v/>
      </c>
      <c r="F149" s="176">
        <f ca="1">IF(TYPE(VLOOKUP(C149,Konečné_pořadí_1_16!$B$2:$D$17,3,0))&lt;4,VLOOKUP(C149,Konečné_pořadí_1_16!$B$2:$D$17,3,0),999)</f>
        <v>999</v>
      </c>
      <c r="G149" s="176">
        <f ca="1">IF(TYPE(VLOOKUP(C149,'KO64'!$D$4:$D$129,1,0))&lt;4,64,999)</f>
        <v>999</v>
      </c>
      <c r="H149" s="176">
        <f ca="1">IF(TYPE(VLOOKUP(C149,'KO32'!$D$4:$D$65,1,0))&lt;4,32,999)</f>
        <v>999</v>
      </c>
      <c r="I149" s="176">
        <f ca="1">IF(TYPE(VLOOKUP(C149,'KO16'!$D$4:$D$33,1,0))&lt;4,16,999)</f>
        <v>999</v>
      </c>
      <c r="J149" s="176">
        <f ca="1">IF(TYPE(VLOOKUP(C149,'KO8'!$D$4:$D$17,1,0))&lt;4,8,999)</f>
        <v>999</v>
      </c>
      <c r="K149" s="176">
        <f ca="1">IF(TYPE(VLOOKUP(C149,'KO4'!$D$4:$D$9,1,0))&lt;4,4,999)</f>
        <v>999</v>
      </c>
      <c r="L149" s="176">
        <f ca="1">Start.listina!$K$7</f>
        <v>16</v>
      </c>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row>
    <row r="150" spans="1:34">
      <c r="A150" t="str">
        <f ca="1">IF(OR(Start.listina!H158&gt;Start.listina!$K$7,Start.listina!G158=1),"",Start.listina!H158)</f>
        <v/>
      </c>
      <c r="B150" s="176" t="str">
        <f ca="1">IF(A150&gt;Start.listina!$K$7,"",ADDRESS(INT((A150-1)/$M$2)+1,IF(MOD(A150,$M$2)=0,IF(MOD(INT((A150-1)/$M$2)+1,2)=1,$M$2,1),IF(MOD(INT((A150-1)/$M$2)+1,2)=1,MOD(A150,$M$2),$M$2-MOD(A150,$M$2)+1)),4,1))</f>
        <v/>
      </c>
      <c r="C150" s="178" t="str">
        <f ca="1">Start.listina!$AL158</f>
        <v/>
      </c>
      <c r="D150" s="176" t="str">
        <f ca="1">IF(A150&gt;Start.listina!$K$7,"",INT((A150-1)/$M$2)+1)</f>
        <v/>
      </c>
      <c r="E150" s="490" t="str">
        <f ca="1">IF(A150&gt;Start.listina!$K$7,"",MIN(F150:L150))</f>
        <v/>
      </c>
      <c r="F150" s="176">
        <f ca="1">IF(TYPE(VLOOKUP(C150,Konečné_pořadí_1_16!$B$2:$D$17,3,0))&lt;4,VLOOKUP(C150,Konečné_pořadí_1_16!$B$2:$D$17,3,0),999)</f>
        <v>999</v>
      </c>
      <c r="G150" s="176">
        <f ca="1">IF(TYPE(VLOOKUP(C150,'KO64'!$D$4:$D$129,1,0))&lt;4,64,999)</f>
        <v>999</v>
      </c>
      <c r="H150" s="176">
        <f ca="1">IF(TYPE(VLOOKUP(C150,'KO32'!$D$4:$D$65,1,0))&lt;4,32,999)</f>
        <v>999</v>
      </c>
      <c r="I150" s="176">
        <f ca="1">IF(TYPE(VLOOKUP(C150,'KO16'!$D$4:$D$33,1,0))&lt;4,16,999)</f>
        <v>999</v>
      </c>
      <c r="J150" s="176">
        <f ca="1">IF(TYPE(VLOOKUP(C150,'KO8'!$D$4:$D$17,1,0))&lt;4,8,999)</f>
        <v>999</v>
      </c>
      <c r="K150" s="176">
        <f ca="1">IF(TYPE(VLOOKUP(C150,'KO4'!$D$4:$D$9,1,0))&lt;4,4,999)</f>
        <v>999</v>
      </c>
      <c r="L150" s="176">
        <f ca="1">Start.listina!$K$7</f>
        <v>16</v>
      </c>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row>
    <row r="151" spans="1:34">
      <c r="A151" t="str">
        <f ca="1">IF(OR(Start.listina!H159&gt;Start.listina!$K$7,Start.listina!G159=1),"",Start.listina!H159)</f>
        <v/>
      </c>
      <c r="B151" s="176" t="str">
        <f ca="1">IF(A151&gt;Start.listina!$K$7,"",ADDRESS(INT((A151-1)/$M$2)+1,IF(MOD(A151,$M$2)=0,IF(MOD(INT((A151-1)/$M$2)+1,2)=1,$M$2,1),IF(MOD(INT((A151-1)/$M$2)+1,2)=1,MOD(A151,$M$2),$M$2-MOD(A151,$M$2)+1)),4,1))</f>
        <v/>
      </c>
      <c r="C151" s="178" t="str">
        <f ca="1">Start.listina!$AL159</f>
        <v/>
      </c>
      <c r="D151" s="176" t="str">
        <f ca="1">IF(A151&gt;Start.listina!$K$7,"",INT((A151-1)/$M$2)+1)</f>
        <v/>
      </c>
      <c r="E151" s="490" t="str">
        <f ca="1">IF(A151&gt;Start.listina!$K$7,"",MIN(F151:L151))</f>
        <v/>
      </c>
      <c r="F151" s="176">
        <f ca="1">IF(TYPE(VLOOKUP(C151,Konečné_pořadí_1_16!$B$2:$D$17,3,0))&lt;4,VLOOKUP(C151,Konečné_pořadí_1_16!$B$2:$D$17,3,0),999)</f>
        <v>999</v>
      </c>
      <c r="G151" s="176">
        <f ca="1">IF(TYPE(VLOOKUP(C151,'KO64'!$D$4:$D$129,1,0))&lt;4,64,999)</f>
        <v>999</v>
      </c>
      <c r="H151" s="176">
        <f ca="1">IF(TYPE(VLOOKUP(C151,'KO32'!$D$4:$D$65,1,0))&lt;4,32,999)</f>
        <v>999</v>
      </c>
      <c r="I151" s="176">
        <f ca="1">IF(TYPE(VLOOKUP(C151,'KO16'!$D$4:$D$33,1,0))&lt;4,16,999)</f>
        <v>999</v>
      </c>
      <c r="J151" s="176">
        <f ca="1">IF(TYPE(VLOOKUP(C151,'KO8'!$D$4:$D$17,1,0))&lt;4,8,999)</f>
        <v>999</v>
      </c>
      <c r="K151" s="176">
        <f ca="1">IF(TYPE(VLOOKUP(C151,'KO4'!$D$4:$D$9,1,0))&lt;4,4,999)</f>
        <v>999</v>
      </c>
      <c r="L151" s="176">
        <f ca="1">Start.listina!$K$7</f>
        <v>16</v>
      </c>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row>
    <row r="152" spans="1:34">
      <c r="A152" t="str">
        <f ca="1">IF(OR(Start.listina!H160&gt;Start.listina!$K$7,Start.listina!G160=1),"",Start.listina!H160)</f>
        <v/>
      </c>
      <c r="B152" s="176" t="str">
        <f ca="1">IF(A152&gt;Start.listina!$K$7,"",ADDRESS(INT((A152-1)/$M$2)+1,IF(MOD(A152,$M$2)=0,IF(MOD(INT((A152-1)/$M$2)+1,2)=1,$M$2,1),IF(MOD(INT((A152-1)/$M$2)+1,2)=1,MOD(A152,$M$2),$M$2-MOD(A152,$M$2)+1)),4,1))</f>
        <v/>
      </c>
      <c r="C152" s="178" t="str">
        <f ca="1">Start.listina!$AL160</f>
        <v/>
      </c>
      <c r="D152" s="176" t="str">
        <f ca="1">IF(A152&gt;Start.listina!$K$7,"",INT((A152-1)/$M$2)+1)</f>
        <v/>
      </c>
      <c r="E152" s="490" t="str">
        <f ca="1">IF(A152&gt;Start.listina!$K$7,"",MIN(F152:L152))</f>
        <v/>
      </c>
      <c r="F152" s="176">
        <f ca="1">IF(TYPE(VLOOKUP(C152,Konečné_pořadí_1_16!$B$2:$D$17,3,0))&lt;4,VLOOKUP(C152,Konečné_pořadí_1_16!$B$2:$D$17,3,0),999)</f>
        <v>999</v>
      </c>
      <c r="G152" s="176">
        <f ca="1">IF(TYPE(VLOOKUP(C152,'KO64'!$D$4:$D$129,1,0))&lt;4,64,999)</f>
        <v>999</v>
      </c>
      <c r="H152" s="176">
        <f ca="1">IF(TYPE(VLOOKUP(C152,'KO32'!$D$4:$D$65,1,0))&lt;4,32,999)</f>
        <v>999</v>
      </c>
      <c r="I152" s="176">
        <f ca="1">IF(TYPE(VLOOKUP(C152,'KO16'!$D$4:$D$33,1,0))&lt;4,16,999)</f>
        <v>999</v>
      </c>
      <c r="J152" s="176">
        <f ca="1">IF(TYPE(VLOOKUP(C152,'KO8'!$D$4:$D$17,1,0))&lt;4,8,999)</f>
        <v>999</v>
      </c>
      <c r="K152" s="176">
        <f ca="1">IF(TYPE(VLOOKUP(C152,'KO4'!$D$4:$D$9,1,0))&lt;4,4,999)</f>
        <v>999</v>
      </c>
      <c r="L152" s="176">
        <f ca="1">Start.listina!$K$7</f>
        <v>16</v>
      </c>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row>
    <row r="153" spans="1:34">
      <c r="A153" t="str">
        <f ca="1">IF(OR(Start.listina!H161&gt;Start.listina!$K$7,Start.listina!G161=1),"",Start.listina!H161)</f>
        <v/>
      </c>
      <c r="B153" s="176" t="str">
        <f ca="1">IF(A153&gt;Start.listina!$K$7,"",ADDRESS(INT((A153-1)/$M$2)+1,IF(MOD(A153,$M$2)=0,IF(MOD(INT((A153-1)/$M$2)+1,2)=1,$M$2,1),IF(MOD(INT((A153-1)/$M$2)+1,2)=1,MOD(A153,$M$2),$M$2-MOD(A153,$M$2)+1)),4,1))</f>
        <v/>
      </c>
      <c r="C153" s="178" t="str">
        <f ca="1">Start.listina!$AL161</f>
        <v/>
      </c>
      <c r="D153" s="176" t="str">
        <f ca="1">IF(A153&gt;Start.listina!$K$7,"",INT((A153-1)/$M$2)+1)</f>
        <v/>
      </c>
      <c r="E153" s="490" t="str">
        <f ca="1">IF(A153&gt;Start.listina!$K$7,"",MIN(F153:L153))</f>
        <v/>
      </c>
      <c r="F153" s="176">
        <f ca="1">IF(TYPE(VLOOKUP(C153,Konečné_pořadí_1_16!$B$2:$D$17,3,0))&lt;4,VLOOKUP(C153,Konečné_pořadí_1_16!$B$2:$D$17,3,0),999)</f>
        <v>999</v>
      </c>
      <c r="G153" s="176">
        <f ca="1">IF(TYPE(VLOOKUP(C153,'KO64'!$D$4:$D$129,1,0))&lt;4,64,999)</f>
        <v>999</v>
      </c>
      <c r="H153" s="176">
        <f ca="1">IF(TYPE(VLOOKUP(C153,'KO32'!$D$4:$D$65,1,0))&lt;4,32,999)</f>
        <v>999</v>
      </c>
      <c r="I153" s="176">
        <f ca="1">IF(TYPE(VLOOKUP(C153,'KO16'!$D$4:$D$33,1,0))&lt;4,16,999)</f>
        <v>999</v>
      </c>
      <c r="J153" s="176">
        <f ca="1">IF(TYPE(VLOOKUP(C153,'KO8'!$D$4:$D$17,1,0))&lt;4,8,999)</f>
        <v>999</v>
      </c>
      <c r="K153" s="176">
        <f ca="1">IF(TYPE(VLOOKUP(C153,'KO4'!$D$4:$D$9,1,0))&lt;4,4,999)</f>
        <v>999</v>
      </c>
      <c r="L153" s="176">
        <f ca="1">Start.listina!$K$7</f>
        <v>16</v>
      </c>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row>
    <row r="154" spans="1:34">
      <c r="A154" t="str">
        <f ca="1">IF(OR(Start.listina!H162&gt;Start.listina!$K$7,Start.listina!G162=1),"",Start.listina!H162)</f>
        <v/>
      </c>
      <c r="B154" s="176" t="str">
        <f ca="1">IF(A154&gt;Start.listina!$K$7,"",ADDRESS(INT((A154-1)/$M$2)+1,IF(MOD(A154,$M$2)=0,IF(MOD(INT((A154-1)/$M$2)+1,2)=1,$M$2,1),IF(MOD(INT((A154-1)/$M$2)+1,2)=1,MOD(A154,$M$2),$M$2-MOD(A154,$M$2)+1)),4,1))</f>
        <v/>
      </c>
      <c r="C154" s="178" t="str">
        <f ca="1">Start.listina!$AL162</f>
        <v/>
      </c>
      <c r="D154" s="176" t="str">
        <f ca="1">IF(A154&gt;Start.listina!$K$7,"",INT((A154-1)/$M$2)+1)</f>
        <v/>
      </c>
      <c r="E154" s="490" t="str">
        <f ca="1">IF(A154&gt;Start.listina!$K$7,"",MIN(F154:L154))</f>
        <v/>
      </c>
      <c r="F154" s="176">
        <f ca="1">IF(TYPE(VLOOKUP(C154,Konečné_pořadí_1_16!$B$2:$D$17,3,0))&lt;4,VLOOKUP(C154,Konečné_pořadí_1_16!$B$2:$D$17,3,0),999)</f>
        <v>999</v>
      </c>
      <c r="G154" s="176">
        <f ca="1">IF(TYPE(VLOOKUP(C154,'KO64'!$D$4:$D$129,1,0))&lt;4,64,999)</f>
        <v>999</v>
      </c>
      <c r="H154" s="176">
        <f ca="1">IF(TYPE(VLOOKUP(C154,'KO32'!$D$4:$D$65,1,0))&lt;4,32,999)</f>
        <v>999</v>
      </c>
      <c r="I154" s="176">
        <f ca="1">IF(TYPE(VLOOKUP(C154,'KO16'!$D$4:$D$33,1,0))&lt;4,16,999)</f>
        <v>999</v>
      </c>
      <c r="J154" s="176">
        <f ca="1">IF(TYPE(VLOOKUP(C154,'KO8'!$D$4:$D$17,1,0))&lt;4,8,999)</f>
        <v>999</v>
      </c>
      <c r="K154" s="176">
        <f ca="1">IF(TYPE(VLOOKUP(C154,'KO4'!$D$4:$D$9,1,0))&lt;4,4,999)</f>
        <v>999</v>
      </c>
      <c r="L154" s="176">
        <f ca="1">Start.listina!$K$7</f>
        <v>16</v>
      </c>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row>
    <row r="155" spans="1:34">
      <c r="A155" t="str">
        <f ca="1">IF(OR(Start.listina!H163&gt;Start.listina!$K$7,Start.listina!G163=1),"",Start.listina!H163)</f>
        <v/>
      </c>
      <c r="B155" s="176" t="str">
        <f ca="1">IF(A155&gt;Start.listina!$K$7,"",ADDRESS(INT((A155-1)/$M$2)+1,IF(MOD(A155,$M$2)=0,IF(MOD(INT((A155-1)/$M$2)+1,2)=1,$M$2,1),IF(MOD(INT((A155-1)/$M$2)+1,2)=1,MOD(A155,$M$2),$M$2-MOD(A155,$M$2)+1)),4,1))</f>
        <v/>
      </c>
      <c r="C155" s="178" t="str">
        <f ca="1">Start.listina!$AL163</f>
        <v/>
      </c>
      <c r="D155" s="176" t="str">
        <f ca="1">IF(A155&gt;Start.listina!$K$7,"",INT((A155-1)/$M$2)+1)</f>
        <v/>
      </c>
      <c r="E155" s="490" t="str">
        <f ca="1">IF(A155&gt;Start.listina!$K$7,"",MIN(F155:L155))</f>
        <v/>
      </c>
      <c r="F155" s="176">
        <f ca="1">IF(TYPE(VLOOKUP(C155,Konečné_pořadí_1_16!$B$2:$D$17,3,0))&lt;4,VLOOKUP(C155,Konečné_pořadí_1_16!$B$2:$D$17,3,0),999)</f>
        <v>999</v>
      </c>
      <c r="G155" s="176">
        <f ca="1">IF(TYPE(VLOOKUP(C155,'KO64'!$D$4:$D$129,1,0))&lt;4,64,999)</f>
        <v>999</v>
      </c>
      <c r="H155" s="176">
        <f ca="1">IF(TYPE(VLOOKUP(C155,'KO32'!$D$4:$D$65,1,0))&lt;4,32,999)</f>
        <v>999</v>
      </c>
      <c r="I155" s="176">
        <f ca="1">IF(TYPE(VLOOKUP(C155,'KO16'!$D$4:$D$33,1,0))&lt;4,16,999)</f>
        <v>999</v>
      </c>
      <c r="J155" s="176">
        <f ca="1">IF(TYPE(VLOOKUP(C155,'KO8'!$D$4:$D$17,1,0))&lt;4,8,999)</f>
        <v>999</v>
      </c>
      <c r="K155" s="176">
        <f ca="1">IF(TYPE(VLOOKUP(C155,'KO4'!$D$4:$D$9,1,0))&lt;4,4,999)</f>
        <v>999</v>
      </c>
      <c r="L155" s="176">
        <f ca="1">Start.listina!$K$7</f>
        <v>16</v>
      </c>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row>
    <row r="156" spans="1:34">
      <c r="A156" t="str">
        <f ca="1">IF(OR(Start.listina!H164&gt;Start.listina!$K$7,Start.listina!G164=1),"",Start.listina!H164)</f>
        <v/>
      </c>
      <c r="B156" s="176" t="str">
        <f ca="1">IF(A156&gt;Start.listina!$K$7,"",ADDRESS(INT((A156-1)/$M$2)+1,IF(MOD(A156,$M$2)=0,IF(MOD(INT((A156-1)/$M$2)+1,2)=1,$M$2,1),IF(MOD(INT((A156-1)/$M$2)+1,2)=1,MOD(A156,$M$2),$M$2-MOD(A156,$M$2)+1)),4,1))</f>
        <v/>
      </c>
      <c r="C156" s="178" t="str">
        <f ca="1">Start.listina!$AL164</f>
        <v/>
      </c>
      <c r="D156" s="176" t="str">
        <f ca="1">IF(A156&gt;Start.listina!$K$7,"",INT((A156-1)/$M$2)+1)</f>
        <v/>
      </c>
      <c r="E156" s="490" t="str">
        <f ca="1">IF(A156&gt;Start.listina!$K$7,"",MIN(F156:L156))</f>
        <v/>
      </c>
      <c r="F156" s="176">
        <f ca="1">IF(TYPE(VLOOKUP(C156,Konečné_pořadí_1_16!$B$2:$D$17,3,0))&lt;4,VLOOKUP(C156,Konečné_pořadí_1_16!$B$2:$D$17,3,0),999)</f>
        <v>999</v>
      </c>
      <c r="G156" s="176">
        <f ca="1">IF(TYPE(VLOOKUP(C156,'KO64'!$D$4:$D$129,1,0))&lt;4,64,999)</f>
        <v>999</v>
      </c>
      <c r="H156" s="176">
        <f ca="1">IF(TYPE(VLOOKUP(C156,'KO32'!$D$4:$D$65,1,0))&lt;4,32,999)</f>
        <v>999</v>
      </c>
      <c r="I156" s="176">
        <f ca="1">IF(TYPE(VLOOKUP(C156,'KO16'!$D$4:$D$33,1,0))&lt;4,16,999)</f>
        <v>999</v>
      </c>
      <c r="J156" s="176">
        <f ca="1">IF(TYPE(VLOOKUP(C156,'KO8'!$D$4:$D$17,1,0))&lt;4,8,999)</f>
        <v>999</v>
      </c>
      <c r="K156" s="176">
        <f ca="1">IF(TYPE(VLOOKUP(C156,'KO4'!$D$4:$D$9,1,0))&lt;4,4,999)</f>
        <v>999</v>
      </c>
      <c r="L156" s="176">
        <f ca="1">Start.listina!$K$7</f>
        <v>16</v>
      </c>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row>
    <row r="157" spans="1:34">
      <c r="A157" t="str">
        <f ca="1">IF(OR(Start.listina!H165&gt;Start.listina!$K$7,Start.listina!G165=1),"",Start.listina!H165)</f>
        <v/>
      </c>
      <c r="B157" s="176" t="str">
        <f ca="1">IF(A157&gt;Start.listina!$K$7,"",ADDRESS(INT((A157-1)/$M$2)+1,IF(MOD(A157,$M$2)=0,IF(MOD(INT((A157-1)/$M$2)+1,2)=1,$M$2,1),IF(MOD(INT((A157-1)/$M$2)+1,2)=1,MOD(A157,$M$2),$M$2-MOD(A157,$M$2)+1)),4,1))</f>
        <v/>
      </c>
      <c r="C157" s="178" t="str">
        <f ca="1">Start.listina!$AL165</f>
        <v/>
      </c>
      <c r="D157" s="176" t="str">
        <f ca="1">IF(A157&gt;Start.listina!$K$7,"",INT((A157-1)/$M$2)+1)</f>
        <v/>
      </c>
      <c r="E157" s="490" t="str">
        <f ca="1">IF(A157&gt;Start.listina!$K$7,"",MIN(F157:L157))</f>
        <v/>
      </c>
      <c r="F157" s="176">
        <f ca="1">IF(TYPE(VLOOKUP(C157,Konečné_pořadí_1_16!$B$2:$D$17,3,0))&lt;4,VLOOKUP(C157,Konečné_pořadí_1_16!$B$2:$D$17,3,0),999)</f>
        <v>999</v>
      </c>
      <c r="G157" s="176">
        <f ca="1">IF(TYPE(VLOOKUP(C157,'KO64'!$D$4:$D$129,1,0))&lt;4,64,999)</f>
        <v>999</v>
      </c>
      <c r="H157" s="176">
        <f ca="1">IF(TYPE(VLOOKUP(C157,'KO32'!$D$4:$D$65,1,0))&lt;4,32,999)</f>
        <v>999</v>
      </c>
      <c r="I157" s="176">
        <f ca="1">IF(TYPE(VLOOKUP(C157,'KO16'!$D$4:$D$33,1,0))&lt;4,16,999)</f>
        <v>999</v>
      </c>
      <c r="J157" s="176">
        <f ca="1">IF(TYPE(VLOOKUP(C157,'KO8'!$D$4:$D$17,1,0))&lt;4,8,999)</f>
        <v>999</v>
      </c>
      <c r="K157" s="176">
        <f ca="1">IF(TYPE(VLOOKUP(C157,'KO4'!$D$4:$D$9,1,0))&lt;4,4,999)</f>
        <v>999</v>
      </c>
      <c r="L157" s="176">
        <f ca="1">Start.listina!$K$7</f>
        <v>16</v>
      </c>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row>
    <row r="158" spans="1:34">
      <c r="A158" t="str">
        <f ca="1">IF(OR(Start.listina!H166&gt;Start.listina!$K$7,Start.listina!G166=1),"",Start.listina!H166)</f>
        <v/>
      </c>
      <c r="B158" s="176" t="str">
        <f ca="1">IF(A158&gt;Start.listina!$K$7,"",ADDRESS(INT((A158-1)/$M$2)+1,IF(MOD(A158,$M$2)=0,IF(MOD(INT((A158-1)/$M$2)+1,2)=1,$M$2,1),IF(MOD(INT((A158-1)/$M$2)+1,2)=1,MOD(A158,$M$2),$M$2-MOD(A158,$M$2)+1)),4,1))</f>
        <v/>
      </c>
      <c r="C158" s="178" t="str">
        <f ca="1">Start.listina!$AL166</f>
        <v/>
      </c>
      <c r="D158" s="176" t="str">
        <f ca="1">IF(A158&gt;Start.listina!$K$7,"",INT((A158-1)/$M$2)+1)</f>
        <v/>
      </c>
      <c r="E158" s="490" t="str">
        <f ca="1">IF(A158&gt;Start.listina!$K$7,"",MIN(F158:L158))</f>
        <v/>
      </c>
      <c r="F158" s="176">
        <f ca="1">IF(TYPE(VLOOKUP(C158,Konečné_pořadí_1_16!$B$2:$D$17,3,0))&lt;4,VLOOKUP(C158,Konečné_pořadí_1_16!$B$2:$D$17,3,0),999)</f>
        <v>999</v>
      </c>
      <c r="G158" s="176">
        <f ca="1">IF(TYPE(VLOOKUP(C158,'KO64'!$D$4:$D$129,1,0))&lt;4,64,999)</f>
        <v>999</v>
      </c>
      <c r="H158" s="176">
        <f ca="1">IF(TYPE(VLOOKUP(C158,'KO32'!$D$4:$D$65,1,0))&lt;4,32,999)</f>
        <v>999</v>
      </c>
      <c r="I158" s="176">
        <f ca="1">IF(TYPE(VLOOKUP(C158,'KO16'!$D$4:$D$33,1,0))&lt;4,16,999)</f>
        <v>999</v>
      </c>
      <c r="J158" s="176">
        <f ca="1">IF(TYPE(VLOOKUP(C158,'KO8'!$D$4:$D$17,1,0))&lt;4,8,999)</f>
        <v>999</v>
      </c>
      <c r="K158" s="176">
        <f ca="1">IF(TYPE(VLOOKUP(C158,'KO4'!$D$4:$D$9,1,0))&lt;4,4,999)</f>
        <v>999</v>
      </c>
      <c r="L158" s="176">
        <f ca="1">Start.listina!$K$7</f>
        <v>16</v>
      </c>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row>
    <row r="159" spans="1:34">
      <c r="A159" t="str">
        <f ca="1">IF(OR(Start.listina!H167&gt;Start.listina!$K$7,Start.listina!G167=1),"",Start.listina!H167)</f>
        <v/>
      </c>
      <c r="B159" s="176" t="str">
        <f ca="1">IF(A159&gt;Start.listina!$K$7,"",ADDRESS(INT((A159-1)/$M$2)+1,IF(MOD(A159,$M$2)=0,IF(MOD(INT((A159-1)/$M$2)+1,2)=1,$M$2,1),IF(MOD(INT((A159-1)/$M$2)+1,2)=1,MOD(A159,$M$2),$M$2-MOD(A159,$M$2)+1)),4,1))</f>
        <v/>
      </c>
      <c r="C159" s="178" t="str">
        <f ca="1">Start.listina!$AL167</f>
        <v/>
      </c>
      <c r="D159" s="176" t="str">
        <f ca="1">IF(A159&gt;Start.listina!$K$7,"",INT((A159-1)/$M$2)+1)</f>
        <v/>
      </c>
      <c r="E159" s="490" t="str">
        <f ca="1">IF(A159&gt;Start.listina!$K$7,"",MIN(F159:L159))</f>
        <v/>
      </c>
      <c r="F159" s="176">
        <f ca="1">IF(TYPE(VLOOKUP(C159,Konečné_pořadí_1_16!$B$2:$D$17,3,0))&lt;4,VLOOKUP(C159,Konečné_pořadí_1_16!$B$2:$D$17,3,0),999)</f>
        <v>999</v>
      </c>
      <c r="G159" s="176">
        <f ca="1">IF(TYPE(VLOOKUP(C159,'KO64'!$D$4:$D$129,1,0))&lt;4,64,999)</f>
        <v>999</v>
      </c>
      <c r="H159" s="176">
        <f ca="1">IF(TYPE(VLOOKUP(C159,'KO32'!$D$4:$D$65,1,0))&lt;4,32,999)</f>
        <v>999</v>
      </c>
      <c r="I159" s="176">
        <f ca="1">IF(TYPE(VLOOKUP(C159,'KO16'!$D$4:$D$33,1,0))&lt;4,16,999)</f>
        <v>999</v>
      </c>
      <c r="J159" s="176">
        <f ca="1">IF(TYPE(VLOOKUP(C159,'KO8'!$D$4:$D$17,1,0))&lt;4,8,999)</f>
        <v>999</v>
      </c>
      <c r="K159" s="176">
        <f ca="1">IF(TYPE(VLOOKUP(C159,'KO4'!$D$4:$D$9,1,0))&lt;4,4,999)</f>
        <v>999</v>
      </c>
      <c r="L159" s="176">
        <f ca="1">Start.listina!$K$7</f>
        <v>16</v>
      </c>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row>
    <row r="160" spans="1:34">
      <c r="A160" t="str">
        <f ca="1">IF(OR(Start.listina!H168&gt;Start.listina!$K$7,Start.listina!G168=1),"",Start.listina!H168)</f>
        <v/>
      </c>
      <c r="B160" s="176" t="str">
        <f ca="1">IF(A160&gt;Start.listina!$K$7,"",ADDRESS(INT((A160-1)/$M$2)+1,IF(MOD(A160,$M$2)=0,IF(MOD(INT((A160-1)/$M$2)+1,2)=1,$M$2,1),IF(MOD(INT((A160-1)/$M$2)+1,2)=1,MOD(A160,$M$2),$M$2-MOD(A160,$M$2)+1)),4,1))</f>
        <v/>
      </c>
      <c r="C160" s="178" t="str">
        <f ca="1">Start.listina!$AL168</f>
        <v/>
      </c>
      <c r="D160" s="176" t="str">
        <f ca="1">IF(A160&gt;Start.listina!$K$7,"",INT((A160-1)/$M$2)+1)</f>
        <v/>
      </c>
      <c r="E160" s="490" t="str">
        <f ca="1">IF(A160&gt;Start.listina!$K$7,"",MIN(F160:L160))</f>
        <v/>
      </c>
      <c r="F160" s="176">
        <f ca="1">IF(TYPE(VLOOKUP(C160,Konečné_pořadí_1_16!$B$2:$D$17,3,0))&lt;4,VLOOKUP(C160,Konečné_pořadí_1_16!$B$2:$D$17,3,0),999)</f>
        <v>999</v>
      </c>
      <c r="G160" s="176">
        <f ca="1">IF(TYPE(VLOOKUP(C160,'KO64'!$D$4:$D$129,1,0))&lt;4,64,999)</f>
        <v>999</v>
      </c>
      <c r="H160" s="176">
        <f ca="1">IF(TYPE(VLOOKUP(C160,'KO32'!$D$4:$D$65,1,0))&lt;4,32,999)</f>
        <v>999</v>
      </c>
      <c r="I160" s="176">
        <f ca="1">IF(TYPE(VLOOKUP(C160,'KO16'!$D$4:$D$33,1,0))&lt;4,16,999)</f>
        <v>999</v>
      </c>
      <c r="J160" s="176">
        <f ca="1">IF(TYPE(VLOOKUP(C160,'KO8'!$D$4:$D$17,1,0))&lt;4,8,999)</f>
        <v>999</v>
      </c>
      <c r="K160" s="176">
        <f ca="1">IF(TYPE(VLOOKUP(C160,'KO4'!$D$4:$D$9,1,0))&lt;4,4,999)</f>
        <v>999</v>
      </c>
      <c r="L160" s="176">
        <f ca="1">Start.listina!$K$7</f>
        <v>16</v>
      </c>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row>
    <row r="161" spans="1:34">
      <c r="A161" t="str">
        <f ca="1">IF(OR(Start.listina!H169&gt;Start.listina!$K$7,Start.listina!G169=1),"",Start.listina!H169)</f>
        <v/>
      </c>
      <c r="B161" s="176" t="str">
        <f ca="1">IF(A161&gt;Start.listina!$K$7,"",ADDRESS(INT((A161-1)/$M$2)+1,IF(MOD(A161,$M$2)=0,IF(MOD(INT((A161-1)/$M$2)+1,2)=1,$M$2,1),IF(MOD(INT((A161-1)/$M$2)+1,2)=1,MOD(A161,$M$2),$M$2-MOD(A161,$M$2)+1)),4,1))</f>
        <v/>
      </c>
      <c r="C161" s="178" t="str">
        <f ca="1">Start.listina!$AL169</f>
        <v/>
      </c>
      <c r="D161" s="176" t="str">
        <f ca="1">IF(A161&gt;Start.listina!$K$7,"",INT((A161-1)/$M$2)+1)</f>
        <v/>
      </c>
      <c r="E161" s="490" t="str">
        <f ca="1">IF(A161&gt;Start.listina!$K$7,"",MIN(F161:L161))</f>
        <v/>
      </c>
      <c r="F161" s="176">
        <f ca="1">IF(TYPE(VLOOKUP(C161,Konečné_pořadí_1_16!$B$2:$D$17,3,0))&lt;4,VLOOKUP(C161,Konečné_pořadí_1_16!$B$2:$D$17,3,0),999)</f>
        <v>999</v>
      </c>
      <c r="G161" s="176">
        <f ca="1">IF(TYPE(VLOOKUP(C161,'KO64'!$D$4:$D$129,1,0))&lt;4,64,999)</f>
        <v>999</v>
      </c>
      <c r="H161" s="176">
        <f ca="1">IF(TYPE(VLOOKUP(C161,'KO32'!$D$4:$D$65,1,0))&lt;4,32,999)</f>
        <v>999</v>
      </c>
      <c r="I161" s="176">
        <f ca="1">IF(TYPE(VLOOKUP(C161,'KO16'!$D$4:$D$33,1,0))&lt;4,16,999)</f>
        <v>999</v>
      </c>
      <c r="J161" s="176">
        <f ca="1">IF(TYPE(VLOOKUP(C161,'KO8'!$D$4:$D$17,1,0))&lt;4,8,999)</f>
        <v>999</v>
      </c>
      <c r="K161" s="176">
        <f ca="1">IF(TYPE(VLOOKUP(C161,'KO4'!$D$4:$D$9,1,0))&lt;4,4,999)</f>
        <v>999</v>
      </c>
      <c r="L161" s="176">
        <f ca="1">Start.listina!$K$7</f>
        <v>16</v>
      </c>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row>
    <row r="162" spans="1:34">
      <c r="A162" t="str">
        <f ca="1">IF(OR(Start.listina!H170&gt;Start.listina!$K$7,Start.listina!G170=1),"",Start.listina!H170)</f>
        <v/>
      </c>
      <c r="B162" s="176" t="str">
        <f ca="1">IF(A162&gt;Start.listina!$K$7,"",ADDRESS(INT((A162-1)/$M$2)+1,IF(MOD(A162,$M$2)=0,IF(MOD(INT((A162-1)/$M$2)+1,2)=1,$M$2,1),IF(MOD(INT((A162-1)/$M$2)+1,2)=1,MOD(A162,$M$2),$M$2-MOD(A162,$M$2)+1)),4,1))</f>
        <v/>
      </c>
      <c r="C162" s="178" t="str">
        <f ca="1">Start.listina!$AL170</f>
        <v/>
      </c>
      <c r="D162" s="176" t="str">
        <f ca="1">IF(A162&gt;Start.listina!$K$7,"",INT((A162-1)/$M$2)+1)</f>
        <v/>
      </c>
      <c r="E162" s="490" t="str">
        <f ca="1">IF(A162&gt;Start.listina!$K$7,"",MIN(F162:L162))</f>
        <v/>
      </c>
      <c r="F162" s="176">
        <f ca="1">IF(TYPE(VLOOKUP(C162,Konečné_pořadí_1_16!$B$2:$D$17,3,0))&lt;4,VLOOKUP(C162,Konečné_pořadí_1_16!$B$2:$D$17,3,0),999)</f>
        <v>999</v>
      </c>
      <c r="G162" s="176">
        <f ca="1">IF(TYPE(VLOOKUP(C162,'KO64'!$D$4:$D$129,1,0))&lt;4,64,999)</f>
        <v>999</v>
      </c>
      <c r="H162" s="176">
        <f ca="1">IF(TYPE(VLOOKUP(C162,'KO32'!$D$4:$D$65,1,0))&lt;4,32,999)</f>
        <v>999</v>
      </c>
      <c r="I162" s="176">
        <f ca="1">IF(TYPE(VLOOKUP(C162,'KO16'!$D$4:$D$33,1,0))&lt;4,16,999)</f>
        <v>999</v>
      </c>
      <c r="J162" s="176">
        <f ca="1">IF(TYPE(VLOOKUP(C162,'KO8'!$D$4:$D$17,1,0))&lt;4,8,999)</f>
        <v>999</v>
      </c>
      <c r="K162" s="176">
        <f ca="1">IF(TYPE(VLOOKUP(C162,'KO4'!$D$4:$D$9,1,0))&lt;4,4,999)</f>
        <v>999</v>
      </c>
      <c r="L162" s="176">
        <f ca="1">Start.listina!$K$7</f>
        <v>16</v>
      </c>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row>
    <row r="163" spans="1:34">
      <c r="A163" t="str">
        <f ca="1">IF(OR(Start.listina!H171&gt;Start.listina!$K$7,Start.listina!G171=1),"",Start.listina!H171)</f>
        <v/>
      </c>
      <c r="B163" s="176" t="str">
        <f ca="1">IF(A163&gt;Start.listina!$K$7,"",ADDRESS(INT((A163-1)/$M$2)+1,IF(MOD(A163,$M$2)=0,IF(MOD(INT((A163-1)/$M$2)+1,2)=1,$M$2,1),IF(MOD(INT((A163-1)/$M$2)+1,2)=1,MOD(A163,$M$2),$M$2-MOD(A163,$M$2)+1)),4,1))</f>
        <v/>
      </c>
      <c r="C163" s="178" t="str">
        <f ca="1">Start.listina!$AL171</f>
        <v/>
      </c>
      <c r="D163" s="176" t="str">
        <f ca="1">IF(A163&gt;Start.listina!$K$7,"",INT((A163-1)/$M$2)+1)</f>
        <v/>
      </c>
      <c r="E163" s="490" t="str">
        <f ca="1">IF(A163&gt;Start.listina!$K$7,"",MIN(F163:L163))</f>
        <v/>
      </c>
      <c r="F163" s="176">
        <f ca="1">IF(TYPE(VLOOKUP(C163,Konečné_pořadí_1_16!$B$2:$D$17,3,0))&lt;4,VLOOKUP(C163,Konečné_pořadí_1_16!$B$2:$D$17,3,0),999)</f>
        <v>999</v>
      </c>
      <c r="G163" s="176">
        <f ca="1">IF(TYPE(VLOOKUP(C163,'KO64'!$D$4:$D$129,1,0))&lt;4,64,999)</f>
        <v>999</v>
      </c>
      <c r="H163" s="176">
        <f ca="1">IF(TYPE(VLOOKUP(C163,'KO32'!$D$4:$D$65,1,0))&lt;4,32,999)</f>
        <v>999</v>
      </c>
      <c r="I163" s="176">
        <f ca="1">IF(TYPE(VLOOKUP(C163,'KO16'!$D$4:$D$33,1,0))&lt;4,16,999)</f>
        <v>999</v>
      </c>
      <c r="J163" s="176">
        <f ca="1">IF(TYPE(VLOOKUP(C163,'KO8'!$D$4:$D$17,1,0))&lt;4,8,999)</f>
        <v>999</v>
      </c>
      <c r="K163" s="176">
        <f ca="1">IF(TYPE(VLOOKUP(C163,'KO4'!$D$4:$D$9,1,0))&lt;4,4,999)</f>
        <v>999</v>
      </c>
      <c r="L163" s="176">
        <f ca="1">Start.listina!$K$7</f>
        <v>16</v>
      </c>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row>
    <row r="164" spans="1:34">
      <c r="A164" t="str">
        <f ca="1">IF(OR(Start.listina!H172&gt;Start.listina!$K$7,Start.listina!G172=1),"",Start.listina!H172)</f>
        <v/>
      </c>
      <c r="B164" s="176" t="str">
        <f ca="1">IF(A164&gt;Start.listina!$K$7,"",ADDRESS(INT((A164-1)/$M$2)+1,IF(MOD(A164,$M$2)=0,IF(MOD(INT((A164-1)/$M$2)+1,2)=1,$M$2,1),IF(MOD(INT((A164-1)/$M$2)+1,2)=1,MOD(A164,$M$2),$M$2-MOD(A164,$M$2)+1)),4,1))</f>
        <v/>
      </c>
      <c r="C164" s="178" t="str">
        <f ca="1">Start.listina!$AL172</f>
        <v/>
      </c>
      <c r="D164" s="176" t="str">
        <f ca="1">IF(A164&gt;Start.listina!$K$7,"",INT((A164-1)/$M$2)+1)</f>
        <v/>
      </c>
      <c r="E164" s="490" t="str">
        <f ca="1">IF(A164&gt;Start.listina!$K$7,"",MIN(F164:L164))</f>
        <v/>
      </c>
      <c r="F164" s="176">
        <f ca="1">IF(TYPE(VLOOKUP(C164,Konečné_pořadí_1_16!$B$2:$D$17,3,0))&lt;4,VLOOKUP(C164,Konečné_pořadí_1_16!$B$2:$D$17,3,0),999)</f>
        <v>999</v>
      </c>
      <c r="G164" s="176">
        <f ca="1">IF(TYPE(VLOOKUP(C164,'KO64'!$D$4:$D$129,1,0))&lt;4,64,999)</f>
        <v>999</v>
      </c>
      <c r="H164" s="176">
        <f ca="1">IF(TYPE(VLOOKUP(C164,'KO32'!$D$4:$D$65,1,0))&lt;4,32,999)</f>
        <v>999</v>
      </c>
      <c r="I164" s="176">
        <f ca="1">IF(TYPE(VLOOKUP(C164,'KO16'!$D$4:$D$33,1,0))&lt;4,16,999)</f>
        <v>999</v>
      </c>
      <c r="J164" s="176">
        <f ca="1">IF(TYPE(VLOOKUP(C164,'KO8'!$D$4:$D$17,1,0))&lt;4,8,999)</f>
        <v>999</v>
      </c>
      <c r="K164" s="176">
        <f ca="1">IF(TYPE(VLOOKUP(C164,'KO4'!$D$4:$D$9,1,0))&lt;4,4,999)</f>
        <v>999</v>
      </c>
      <c r="L164" s="176">
        <f ca="1">Start.listina!$K$7</f>
        <v>16</v>
      </c>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row>
    <row r="165" spans="1:34">
      <c r="A165" t="str">
        <f ca="1">IF(OR(Start.listina!H173&gt;Start.listina!$K$7,Start.listina!G173=1),"",Start.listina!H173)</f>
        <v/>
      </c>
      <c r="B165" s="176" t="str">
        <f ca="1">IF(A165&gt;Start.listina!$K$7,"",ADDRESS(INT((A165-1)/$M$2)+1,IF(MOD(A165,$M$2)=0,IF(MOD(INT((A165-1)/$M$2)+1,2)=1,$M$2,1),IF(MOD(INT((A165-1)/$M$2)+1,2)=1,MOD(A165,$M$2),$M$2-MOD(A165,$M$2)+1)),4,1))</f>
        <v/>
      </c>
      <c r="C165" s="178" t="str">
        <f ca="1">Start.listina!$AL173</f>
        <v/>
      </c>
      <c r="D165" s="176" t="str">
        <f ca="1">IF(A165&gt;Start.listina!$K$7,"",INT((A165-1)/$M$2)+1)</f>
        <v/>
      </c>
      <c r="E165" s="490" t="str">
        <f ca="1">IF(A165&gt;Start.listina!$K$7,"",MIN(F165:L165))</f>
        <v/>
      </c>
      <c r="F165" s="176">
        <f ca="1">IF(TYPE(VLOOKUP(C165,Konečné_pořadí_1_16!$B$2:$D$17,3,0))&lt;4,VLOOKUP(C165,Konečné_pořadí_1_16!$B$2:$D$17,3,0),999)</f>
        <v>999</v>
      </c>
      <c r="G165" s="176">
        <f ca="1">IF(TYPE(VLOOKUP(C165,'KO64'!$D$4:$D$129,1,0))&lt;4,64,999)</f>
        <v>999</v>
      </c>
      <c r="H165" s="176">
        <f ca="1">IF(TYPE(VLOOKUP(C165,'KO32'!$D$4:$D$65,1,0))&lt;4,32,999)</f>
        <v>999</v>
      </c>
      <c r="I165" s="176">
        <f ca="1">IF(TYPE(VLOOKUP(C165,'KO16'!$D$4:$D$33,1,0))&lt;4,16,999)</f>
        <v>999</v>
      </c>
      <c r="J165" s="176">
        <f ca="1">IF(TYPE(VLOOKUP(C165,'KO8'!$D$4:$D$17,1,0))&lt;4,8,999)</f>
        <v>999</v>
      </c>
      <c r="K165" s="176">
        <f ca="1">IF(TYPE(VLOOKUP(C165,'KO4'!$D$4:$D$9,1,0))&lt;4,4,999)</f>
        <v>999</v>
      </c>
      <c r="L165" s="176">
        <f ca="1">Start.listina!$K$7</f>
        <v>16</v>
      </c>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row>
    <row r="166" spans="1:34">
      <c r="A166" t="str">
        <f ca="1">IF(OR(Start.listina!H174&gt;Start.listina!$K$7,Start.listina!G174=1),"",Start.listina!H174)</f>
        <v/>
      </c>
      <c r="B166" s="176" t="str">
        <f ca="1">IF(A166&gt;Start.listina!$K$7,"",ADDRESS(INT((A166-1)/$M$2)+1,IF(MOD(A166,$M$2)=0,IF(MOD(INT((A166-1)/$M$2)+1,2)=1,$M$2,1),IF(MOD(INT((A166-1)/$M$2)+1,2)=1,MOD(A166,$M$2),$M$2-MOD(A166,$M$2)+1)),4,1))</f>
        <v/>
      </c>
      <c r="C166" s="178" t="str">
        <f ca="1">Start.listina!$AL174</f>
        <v/>
      </c>
      <c r="D166" s="176" t="str">
        <f ca="1">IF(A166&gt;Start.listina!$K$7,"",INT((A166-1)/$M$2)+1)</f>
        <v/>
      </c>
      <c r="E166" s="490" t="str">
        <f ca="1">IF(A166&gt;Start.listina!$K$7,"",MIN(F166:L166))</f>
        <v/>
      </c>
      <c r="F166" s="176">
        <f ca="1">IF(TYPE(VLOOKUP(C166,Konečné_pořadí_1_16!$B$2:$D$17,3,0))&lt;4,VLOOKUP(C166,Konečné_pořadí_1_16!$B$2:$D$17,3,0),999)</f>
        <v>999</v>
      </c>
      <c r="G166" s="176">
        <f ca="1">IF(TYPE(VLOOKUP(C166,'KO64'!$D$4:$D$129,1,0))&lt;4,64,999)</f>
        <v>999</v>
      </c>
      <c r="H166" s="176">
        <f ca="1">IF(TYPE(VLOOKUP(C166,'KO32'!$D$4:$D$65,1,0))&lt;4,32,999)</f>
        <v>999</v>
      </c>
      <c r="I166" s="176">
        <f ca="1">IF(TYPE(VLOOKUP(C166,'KO16'!$D$4:$D$33,1,0))&lt;4,16,999)</f>
        <v>999</v>
      </c>
      <c r="J166" s="176">
        <f ca="1">IF(TYPE(VLOOKUP(C166,'KO8'!$D$4:$D$17,1,0))&lt;4,8,999)</f>
        <v>999</v>
      </c>
      <c r="K166" s="176">
        <f ca="1">IF(TYPE(VLOOKUP(C166,'KO4'!$D$4:$D$9,1,0))&lt;4,4,999)</f>
        <v>999</v>
      </c>
      <c r="L166" s="176">
        <f ca="1">Start.listina!$K$7</f>
        <v>16</v>
      </c>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row>
    <row r="167" spans="1:34">
      <c r="A167" t="str">
        <f ca="1">IF(OR(Start.listina!H175&gt;Start.listina!$K$7,Start.listina!G175=1),"",Start.listina!H175)</f>
        <v/>
      </c>
      <c r="B167" s="176" t="str">
        <f ca="1">IF(A167&gt;Start.listina!$K$7,"",ADDRESS(INT((A167-1)/$M$2)+1,IF(MOD(A167,$M$2)=0,IF(MOD(INT((A167-1)/$M$2)+1,2)=1,$M$2,1),IF(MOD(INT((A167-1)/$M$2)+1,2)=1,MOD(A167,$M$2),$M$2-MOD(A167,$M$2)+1)),4,1))</f>
        <v/>
      </c>
      <c r="C167" s="178" t="str">
        <f ca="1">Start.listina!$AL175</f>
        <v/>
      </c>
      <c r="D167" s="176" t="str">
        <f ca="1">IF(A167&gt;Start.listina!$K$7,"",INT((A167-1)/$M$2)+1)</f>
        <v/>
      </c>
      <c r="E167" s="490" t="str">
        <f ca="1">IF(A167&gt;Start.listina!$K$7,"",MIN(F167:L167))</f>
        <v/>
      </c>
      <c r="F167" s="176">
        <f ca="1">IF(TYPE(VLOOKUP(C167,Konečné_pořadí_1_16!$B$2:$D$17,3,0))&lt;4,VLOOKUP(C167,Konečné_pořadí_1_16!$B$2:$D$17,3,0),999)</f>
        <v>999</v>
      </c>
      <c r="G167" s="176">
        <f ca="1">IF(TYPE(VLOOKUP(C167,'KO64'!$D$4:$D$129,1,0))&lt;4,64,999)</f>
        <v>999</v>
      </c>
      <c r="H167" s="176">
        <f ca="1">IF(TYPE(VLOOKUP(C167,'KO32'!$D$4:$D$65,1,0))&lt;4,32,999)</f>
        <v>999</v>
      </c>
      <c r="I167" s="176">
        <f ca="1">IF(TYPE(VLOOKUP(C167,'KO16'!$D$4:$D$33,1,0))&lt;4,16,999)</f>
        <v>999</v>
      </c>
      <c r="J167" s="176">
        <f ca="1">IF(TYPE(VLOOKUP(C167,'KO8'!$D$4:$D$17,1,0))&lt;4,8,999)</f>
        <v>999</v>
      </c>
      <c r="K167" s="176">
        <f ca="1">IF(TYPE(VLOOKUP(C167,'KO4'!$D$4:$D$9,1,0))&lt;4,4,999)</f>
        <v>999</v>
      </c>
      <c r="L167" s="176">
        <f ca="1">Start.listina!$K$7</f>
        <v>16</v>
      </c>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row>
    <row r="168" spans="1:34">
      <c r="A168" t="str">
        <f ca="1">IF(OR(Start.listina!H176&gt;Start.listina!$K$7,Start.listina!G176=1),"",Start.listina!H176)</f>
        <v/>
      </c>
      <c r="B168" s="176" t="str">
        <f ca="1">IF(A168&gt;Start.listina!$K$7,"",ADDRESS(INT((A168-1)/$M$2)+1,IF(MOD(A168,$M$2)=0,IF(MOD(INT((A168-1)/$M$2)+1,2)=1,$M$2,1),IF(MOD(INT((A168-1)/$M$2)+1,2)=1,MOD(A168,$M$2),$M$2-MOD(A168,$M$2)+1)),4,1))</f>
        <v/>
      </c>
      <c r="C168" s="178" t="str">
        <f ca="1">Start.listina!$AL176</f>
        <v/>
      </c>
      <c r="D168" s="176" t="str">
        <f ca="1">IF(A168&gt;Start.listina!$K$7,"",INT((A168-1)/$M$2)+1)</f>
        <v/>
      </c>
      <c r="E168" s="490" t="str">
        <f ca="1">IF(A168&gt;Start.listina!$K$7,"",MIN(F168:L168))</f>
        <v/>
      </c>
      <c r="F168" s="176">
        <f ca="1">IF(TYPE(VLOOKUP(C168,Konečné_pořadí_1_16!$B$2:$D$17,3,0))&lt;4,VLOOKUP(C168,Konečné_pořadí_1_16!$B$2:$D$17,3,0),999)</f>
        <v>999</v>
      </c>
      <c r="G168" s="176">
        <f ca="1">IF(TYPE(VLOOKUP(C168,'KO64'!$D$4:$D$129,1,0))&lt;4,64,999)</f>
        <v>999</v>
      </c>
      <c r="H168" s="176">
        <f ca="1">IF(TYPE(VLOOKUP(C168,'KO32'!$D$4:$D$65,1,0))&lt;4,32,999)</f>
        <v>999</v>
      </c>
      <c r="I168" s="176">
        <f ca="1">IF(TYPE(VLOOKUP(C168,'KO16'!$D$4:$D$33,1,0))&lt;4,16,999)</f>
        <v>999</v>
      </c>
      <c r="J168" s="176">
        <f ca="1">IF(TYPE(VLOOKUP(C168,'KO8'!$D$4:$D$17,1,0))&lt;4,8,999)</f>
        <v>999</v>
      </c>
      <c r="K168" s="176">
        <f ca="1">IF(TYPE(VLOOKUP(C168,'KO4'!$D$4:$D$9,1,0))&lt;4,4,999)</f>
        <v>999</v>
      </c>
      <c r="L168" s="176">
        <f ca="1">Start.listina!$K$7</f>
        <v>16</v>
      </c>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row>
    <row r="169" spans="1:34">
      <c r="A169" t="str">
        <f ca="1">IF(OR(Start.listina!H177&gt;Start.listina!$K$7,Start.listina!G177=1),"",Start.listina!H177)</f>
        <v/>
      </c>
      <c r="B169" s="176" t="str">
        <f ca="1">IF(A169&gt;Start.listina!$K$7,"",ADDRESS(INT((A169-1)/$M$2)+1,IF(MOD(A169,$M$2)=0,IF(MOD(INT((A169-1)/$M$2)+1,2)=1,$M$2,1),IF(MOD(INT((A169-1)/$M$2)+1,2)=1,MOD(A169,$M$2),$M$2-MOD(A169,$M$2)+1)),4,1))</f>
        <v/>
      </c>
      <c r="C169" s="178" t="str">
        <f ca="1">Start.listina!$AL177</f>
        <v/>
      </c>
      <c r="D169" s="176" t="str">
        <f ca="1">IF(A169&gt;Start.listina!$K$7,"",INT((A169-1)/$M$2)+1)</f>
        <v/>
      </c>
      <c r="E169" s="490" t="str">
        <f ca="1">IF(A169&gt;Start.listina!$K$7,"",MIN(F169:L169))</f>
        <v/>
      </c>
      <c r="F169" s="176">
        <f ca="1">IF(TYPE(VLOOKUP(C169,Konečné_pořadí_1_16!$B$2:$D$17,3,0))&lt;4,VLOOKUP(C169,Konečné_pořadí_1_16!$B$2:$D$17,3,0),999)</f>
        <v>999</v>
      </c>
      <c r="G169" s="176">
        <f ca="1">IF(TYPE(VLOOKUP(C169,'KO64'!$D$4:$D$129,1,0))&lt;4,64,999)</f>
        <v>999</v>
      </c>
      <c r="H169" s="176">
        <f ca="1">IF(TYPE(VLOOKUP(C169,'KO32'!$D$4:$D$65,1,0))&lt;4,32,999)</f>
        <v>999</v>
      </c>
      <c r="I169" s="176">
        <f ca="1">IF(TYPE(VLOOKUP(C169,'KO16'!$D$4:$D$33,1,0))&lt;4,16,999)</f>
        <v>999</v>
      </c>
      <c r="J169" s="176">
        <f ca="1">IF(TYPE(VLOOKUP(C169,'KO8'!$D$4:$D$17,1,0))&lt;4,8,999)</f>
        <v>999</v>
      </c>
      <c r="K169" s="176">
        <f ca="1">IF(TYPE(VLOOKUP(C169,'KO4'!$D$4:$D$9,1,0))&lt;4,4,999)</f>
        <v>999</v>
      </c>
      <c r="L169" s="176">
        <f ca="1">Start.listina!$K$7</f>
        <v>16</v>
      </c>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row>
    <row r="170" spans="1:34">
      <c r="A170" t="str">
        <f ca="1">IF(OR(Start.listina!H178&gt;Start.listina!$K$7,Start.listina!G178=1),"",Start.listina!H178)</f>
        <v/>
      </c>
      <c r="B170" s="176" t="str">
        <f ca="1">IF(A170&gt;Start.listina!$K$7,"",ADDRESS(INT((A170-1)/$M$2)+1,IF(MOD(A170,$M$2)=0,IF(MOD(INT((A170-1)/$M$2)+1,2)=1,$M$2,1),IF(MOD(INT((A170-1)/$M$2)+1,2)=1,MOD(A170,$M$2),$M$2-MOD(A170,$M$2)+1)),4,1))</f>
        <v/>
      </c>
      <c r="C170" s="178" t="str">
        <f ca="1">Start.listina!$AL178</f>
        <v/>
      </c>
      <c r="D170" s="176" t="str">
        <f ca="1">IF(A170&gt;Start.listina!$K$7,"",INT((A170-1)/$M$2)+1)</f>
        <v/>
      </c>
      <c r="E170" s="490" t="str">
        <f ca="1">IF(A170&gt;Start.listina!$K$7,"",MIN(F170:L170))</f>
        <v/>
      </c>
      <c r="F170" s="176">
        <f ca="1">IF(TYPE(VLOOKUP(C170,Konečné_pořadí_1_16!$B$2:$D$17,3,0))&lt;4,VLOOKUP(C170,Konečné_pořadí_1_16!$B$2:$D$17,3,0),999)</f>
        <v>999</v>
      </c>
      <c r="G170" s="176">
        <f ca="1">IF(TYPE(VLOOKUP(C170,'KO64'!$D$4:$D$129,1,0))&lt;4,64,999)</f>
        <v>999</v>
      </c>
      <c r="H170" s="176">
        <f ca="1">IF(TYPE(VLOOKUP(C170,'KO32'!$D$4:$D$65,1,0))&lt;4,32,999)</f>
        <v>999</v>
      </c>
      <c r="I170" s="176">
        <f ca="1">IF(TYPE(VLOOKUP(C170,'KO16'!$D$4:$D$33,1,0))&lt;4,16,999)</f>
        <v>999</v>
      </c>
      <c r="J170" s="176">
        <f ca="1">IF(TYPE(VLOOKUP(C170,'KO8'!$D$4:$D$17,1,0))&lt;4,8,999)</f>
        <v>999</v>
      </c>
      <c r="K170" s="176">
        <f ca="1">IF(TYPE(VLOOKUP(C170,'KO4'!$D$4:$D$9,1,0))&lt;4,4,999)</f>
        <v>999</v>
      </c>
      <c r="L170" s="176">
        <f ca="1">Start.listina!$K$7</f>
        <v>16</v>
      </c>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row>
    <row r="171" spans="1:34">
      <c r="A171" t="str">
        <f ca="1">IF(OR(Start.listina!H179&gt;Start.listina!$K$7,Start.listina!G179=1),"",Start.listina!H179)</f>
        <v/>
      </c>
      <c r="B171" s="176" t="str">
        <f ca="1">IF(A171&gt;Start.listina!$K$7,"",ADDRESS(INT((A171-1)/$M$2)+1,IF(MOD(A171,$M$2)=0,IF(MOD(INT((A171-1)/$M$2)+1,2)=1,$M$2,1),IF(MOD(INT((A171-1)/$M$2)+1,2)=1,MOD(A171,$M$2),$M$2-MOD(A171,$M$2)+1)),4,1))</f>
        <v/>
      </c>
      <c r="C171" s="178" t="str">
        <f ca="1">Start.listina!$AL179</f>
        <v/>
      </c>
      <c r="D171" s="176" t="str">
        <f ca="1">IF(A171&gt;Start.listina!$K$7,"",INT((A171-1)/$M$2)+1)</f>
        <v/>
      </c>
      <c r="E171" s="490" t="str">
        <f ca="1">IF(A171&gt;Start.listina!$K$7,"",MIN(F171:L171))</f>
        <v/>
      </c>
      <c r="F171" s="176">
        <f ca="1">IF(TYPE(VLOOKUP(C171,Konečné_pořadí_1_16!$B$2:$D$17,3,0))&lt;4,VLOOKUP(C171,Konečné_pořadí_1_16!$B$2:$D$17,3,0),999)</f>
        <v>999</v>
      </c>
      <c r="G171" s="176">
        <f ca="1">IF(TYPE(VLOOKUP(C171,'KO64'!$D$4:$D$129,1,0))&lt;4,64,999)</f>
        <v>999</v>
      </c>
      <c r="H171" s="176">
        <f ca="1">IF(TYPE(VLOOKUP(C171,'KO32'!$D$4:$D$65,1,0))&lt;4,32,999)</f>
        <v>999</v>
      </c>
      <c r="I171" s="176">
        <f ca="1">IF(TYPE(VLOOKUP(C171,'KO16'!$D$4:$D$33,1,0))&lt;4,16,999)</f>
        <v>999</v>
      </c>
      <c r="J171" s="176">
        <f ca="1">IF(TYPE(VLOOKUP(C171,'KO8'!$D$4:$D$17,1,0))&lt;4,8,999)</f>
        <v>999</v>
      </c>
      <c r="K171" s="176">
        <f ca="1">IF(TYPE(VLOOKUP(C171,'KO4'!$D$4:$D$9,1,0))&lt;4,4,999)</f>
        <v>999</v>
      </c>
      <c r="L171" s="176">
        <f ca="1">Start.listina!$K$7</f>
        <v>16</v>
      </c>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row>
    <row r="172" spans="1:34">
      <c r="A172" t="str">
        <f ca="1">IF(OR(Start.listina!H180&gt;Start.listina!$K$7,Start.listina!G180=1),"",Start.listina!H180)</f>
        <v/>
      </c>
      <c r="B172" s="176" t="str">
        <f ca="1">IF(A172&gt;Start.listina!$K$7,"",ADDRESS(INT((A172-1)/$M$2)+1,IF(MOD(A172,$M$2)=0,IF(MOD(INT((A172-1)/$M$2)+1,2)=1,$M$2,1),IF(MOD(INT((A172-1)/$M$2)+1,2)=1,MOD(A172,$M$2),$M$2-MOD(A172,$M$2)+1)),4,1))</f>
        <v/>
      </c>
      <c r="C172" s="178" t="str">
        <f ca="1">Start.listina!$AL180</f>
        <v/>
      </c>
      <c r="D172" s="176" t="str">
        <f ca="1">IF(A172&gt;Start.listina!$K$7,"",INT((A172-1)/$M$2)+1)</f>
        <v/>
      </c>
      <c r="E172" s="490" t="str">
        <f ca="1">IF(A172&gt;Start.listina!$K$7,"",MIN(F172:L172))</f>
        <v/>
      </c>
      <c r="F172" s="176">
        <f ca="1">IF(TYPE(VLOOKUP(C172,Konečné_pořadí_1_16!$B$2:$D$17,3,0))&lt;4,VLOOKUP(C172,Konečné_pořadí_1_16!$B$2:$D$17,3,0),999)</f>
        <v>999</v>
      </c>
      <c r="G172" s="176">
        <f ca="1">IF(TYPE(VLOOKUP(C172,'KO64'!$D$4:$D$129,1,0))&lt;4,64,999)</f>
        <v>999</v>
      </c>
      <c r="H172" s="176">
        <f ca="1">IF(TYPE(VLOOKUP(C172,'KO32'!$D$4:$D$65,1,0))&lt;4,32,999)</f>
        <v>999</v>
      </c>
      <c r="I172" s="176">
        <f ca="1">IF(TYPE(VLOOKUP(C172,'KO16'!$D$4:$D$33,1,0))&lt;4,16,999)</f>
        <v>999</v>
      </c>
      <c r="J172" s="176">
        <f ca="1">IF(TYPE(VLOOKUP(C172,'KO8'!$D$4:$D$17,1,0))&lt;4,8,999)</f>
        <v>999</v>
      </c>
      <c r="K172" s="176">
        <f ca="1">IF(TYPE(VLOOKUP(C172,'KO4'!$D$4:$D$9,1,0))&lt;4,4,999)</f>
        <v>999</v>
      </c>
      <c r="L172" s="176">
        <f ca="1">Start.listina!$K$7</f>
        <v>16</v>
      </c>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row>
    <row r="173" spans="1:34">
      <c r="A173" t="str">
        <f ca="1">IF(OR(Start.listina!H181&gt;Start.listina!$K$7,Start.listina!G181=1),"",Start.listina!H181)</f>
        <v/>
      </c>
      <c r="B173" s="176" t="str">
        <f ca="1">IF(A173&gt;Start.listina!$K$7,"",ADDRESS(INT((A173-1)/$M$2)+1,IF(MOD(A173,$M$2)=0,IF(MOD(INT((A173-1)/$M$2)+1,2)=1,$M$2,1),IF(MOD(INT((A173-1)/$M$2)+1,2)=1,MOD(A173,$M$2),$M$2-MOD(A173,$M$2)+1)),4,1))</f>
        <v/>
      </c>
      <c r="C173" s="178" t="str">
        <f ca="1">Start.listina!$AL181</f>
        <v/>
      </c>
      <c r="D173" s="176" t="str">
        <f ca="1">IF(A173&gt;Start.listina!$K$7,"",INT((A173-1)/$M$2)+1)</f>
        <v/>
      </c>
      <c r="E173" s="490" t="str">
        <f ca="1">IF(A173&gt;Start.listina!$K$7,"",MIN(F173:L173))</f>
        <v/>
      </c>
      <c r="F173" s="176">
        <f ca="1">IF(TYPE(VLOOKUP(C173,Konečné_pořadí_1_16!$B$2:$D$17,3,0))&lt;4,VLOOKUP(C173,Konečné_pořadí_1_16!$B$2:$D$17,3,0),999)</f>
        <v>999</v>
      </c>
      <c r="G173" s="176">
        <f ca="1">IF(TYPE(VLOOKUP(C173,'KO64'!$D$4:$D$129,1,0))&lt;4,64,999)</f>
        <v>999</v>
      </c>
      <c r="H173" s="176">
        <f ca="1">IF(TYPE(VLOOKUP(C173,'KO32'!$D$4:$D$65,1,0))&lt;4,32,999)</f>
        <v>999</v>
      </c>
      <c r="I173" s="176">
        <f ca="1">IF(TYPE(VLOOKUP(C173,'KO16'!$D$4:$D$33,1,0))&lt;4,16,999)</f>
        <v>999</v>
      </c>
      <c r="J173" s="176">
        <f ca="1">IF(TYPE(VLOOKUP(C173,'KO8'!$D$4:$D$17,1,0))&lt;4,8,999)</f>
        <v>999</v>
      </c>
      <c r="K173" s="176">
        <f ca="1">IF(TYPE(VLOOKUP(C173,'KO4'!$D$4:$D$9,1,0))&lt;4,4,999)</f>
        <v>999</v>
      </c>
      <c r="L173" s="176">
        <f ca="1">Start.listina!$K$7</f>
        <v>16</v>
      </c>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row>
    <row r="174" spans="1:34">
      <c r="A174" t="str">
        <f ca="1">IF(OR(Start.listina!H182&gt;Start.listina!$K$7,Start.listina!G182=1),"",Start.listina!H182)</f>
        <v/>
      </c>
      <c r="B174" s="176" t="str">
        <f ca="1">IF(A174&gt;Start.listina!$K$7,"",ADDRESS(INT((A174-1)/$M$2)+1,IF(MOD(A174,$M$2)=0,IF(MOD(INT((A174-1)/$M$2)+1,2)=1,$M$2,1),IF(MOD(INT((A174-1)/$M$2)+1,2)=1,MOD(A174,$M$2),$M$2-MOD(A174,$M$2)+1)),4,1))</f>
        <v/>
      </c>
      <c r="C174" s="178" t="str">
        <f ca="1">Start.listina!$AL182</f>
        <v/>
      </c>
      <c r="D174" s="176" t="str">
        <f ca="1">IF(A174&gt;Start.listina!$K$7,"",INT((A174-1)/$M$2)+1)</f>
        <v/>
      </c>
      <c r="E174" s="490" t="str">
        <f ca="1">IF(A174&gt;Start.listina!$K$7,"",MIN(F174:L174))</f>
        <v/>
      </c>
      <c r="F174" s="176">
        <f ca="1">IF(TYPE(VLOOKUP(C174,Konečné_pořadí_1_16!$B$2:$D$17,3,0))&lt;4,VLOOKUP(C174,Konečné_pořadí_1_16!$B$2:$D$17,3,0),999)</f>
        <v>999</v>
      </c>
      <c r="G174" s="176">
        <f ca="1">IF(TYPE(VLOOKUP(C174,'KO64'!$D$4:$D$129,1,0))&lt;4,64,999)</f>
        <v>999</v>
      </c>
      <c r="H174" s="176">
        <f ca="1">IF(TYPE(VLOOKUP(C174,'KO32'!$D$4:$D$65,1,0))&lt;4,32,999)</f>
        <v>999</v>
      </c>
      <c r="I174" s="176">
        <f ca="1">IF(TYPE(VLOOKUP(C174,'KO16'!$D$4:$D$33,1,0))&lt;4,16,999)</f>
        <v>999</v>
      </c>
      <c r="J174" s="176">
        <f ca="1">IF(TYPE(VLOOKUP(C174,'KO8'!$D$4:$D$17,1,0))&lt;4,8,999)</f>
        <v>999</v>
      </c>
      <c r="K174" s="176">
        <f ca="1">IF(TYPE(VLOOKUP(C174,'KO4'!$D$4:$D$9,1,0))&lt;4,4,999)</f>
        <v>999</v>
      </c>
      <c r="L174" s="176">
        <f ca="1">Start.listina!$K$7</f>
        <v>16</v>
      </c>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row>
    <row r="175" spans="1:34">
      <c r="A175" t="str">
        <f ca="1">IF(OR(Start.listina!H183&gt;Start.listina!$K$7,Start.listina!G183=1),"",Start.listina!H183)</f>
        <v/>
      </c>
      <c r="B175" s="176" t="str">
        <f ca="1">IF(A175&gt;Start.listina!$K$7,"",ADDRESS(INT((A175-1)/$M$2)+1,IF(MOD(A175,$M$2)=0,IF(MOD(INT((A175-1)/$M$2)+1,2)=1,$M$2,1),IF(MOD(INT((A175-1)/$M$2)+1,2)=1,MOD(A175,$M$2),$M$2-MOD(A175,$M$2)+1)),4,1))</f>
        <v/>
      </c>
      <c r="C175" s="178" t="str">
        <f ca="1">Start.listina!$AL183</f>
        <v/>
      </c>
      <c r="D175" s="176" t="str">
        <f ca="1">IF(A175&gt;Start.listina!$K$7,"",INT((A175-1)/$M$2)+1)</f>
        <v/>
      </c>
      <c r="E175" s="490" t="str">
        <f ca="1">IF(A175&gt;Start.listina!$K$7,"",MIN(F175:L175))</f>
        <v/>
      </c>
      <c r="F175" s="176">
        <f ca="1">IF(TYPE(VLOOKUP(C175,Konečné_pořadí_1_16!$B$2:$D$17,3,0))&lt;4,VLOOKUP(C175,Konečné_pořadí_1_16!$B$2:$D$17,3,0),999)</f>
        <v>999</v>
      </c>
      <c r="G175" s="176">
        <f ca="1">IF(TYPE(VLOOKUP(C175,'KO64'!$D$4:$D$129,1,0))&lt;4,64,999)</f>
        <v>999</v>
      </c>
      <c r="H175" s="176">
        <f ca="1">IF(TYPE(VLOOKUP(C175,'KO32'!$D$4:$D$65,1,0))&lt;4,32,999)</f>
        <v>999</v>
      </c>
      <c r="I175" s="176">
        <f ca="1">IF(TYPE(VLOOKUP(C175,'KO16'!$D$4:$D$33,1,0))&lt;4,16,999)</f>
        <v>999</v>
      </c>
      <c r="J175" s="176">
        <f ca="1">IF(TYPE(VLOOKUP(C175,'KO8'!$D$4:$D$17,1,0))&lt;4,8,999)</f>
        <v>999</v>
      </c>
      <c r="K175" s="176">
        <f ca="1">IF(TYPE(VLOOKUP(C175,'KO4'!$D$4:$D$9,1,0))&lt;4,4,999)</f>
        <v>999</v>
      </c>
      <c r="L175" s="176">
        <f ca="1">Start.listina!$K$7</f>
        <v>16</v>
      </c>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row>
    <row r="176" spans="1:34">
      <c r="A176" t="str">
        <f ca="1">IF(OR(Start.listina!H184&gt;Start.listina!$K$7,Start.listina!G184=1),"",Start.listina!H184)</f>
        <v/>
      </c>
      <c r="B176" s="176" t="str">
        <f ca="1">IF(A176&gt;Start.listina!$K$7,"",ADDRESS(INT((A176-1)/$M$2)+1,IF(MOD(A176,$M$2)=0,IF(MOD(INT((A176-1)/$M$2)+1,2)=1,$M$2,1),IF(MOD(INT((A176-1)/$M$2)+1,2)=1,MOD(A176,$M$2),$M$2-MOD(A176,$M$2)+1)),4,1))</f>
        <v/>
      </c>
      <c r="C176" s="178" t="str">
        <f ca="1">Start.listina!$AL184</f>
        <v/>
      </c>
      <c r="D176" s="176" t="str">
        <f ca="1">IF(A176&gt;Start.listina!$K$7,"",INT((A176-1)/$M$2)+1)</f>
        <v/>
      </c>
      <c r="E176" s="490" t="str">
        <f ca="1">IF(A176&gt;Start.listina!$K$7,"",MIN(F176:L176))</f>
        <v/>
      </c>
      <c r="F176" s="176">
        <f ca="1">IF(TYPE(VLOOKUP(C176,Konečné_pořadí_1_16!$B$2:$D$17,3,0))&lt;4,VLOOKUP(C176,Konečné_pořadí_1_16!$B$2:$D$17,3,0),999)</f>
        <v>999</v>
      </c>
      <c r="G176" s="176">
        <f ca="1">IF(TYPE(VLOOKUP(C176,'KO64'!$D$4:$D$129,1,0))&lt;4,64,999)</f>
        <v>999</v>
      </c>
      <c r="H176" s="176">
        <f ca="1">IF(TYPE(VLOOKUP(C176,'KO32'!$D$4:$D$65,1,0))&lt;4,32,999)</f>
        <v>999</v>
      </c>
      <c r="I176" s="176">
        <f ca="1">IF(TYPE(VLOOKUP(C176,'KO16'!$D$4:$D$33,1,0))&lt;4,16,999)</f>
        <v>999</v>
      </c>
      <c r="J176" s="176">
        <f ca="1">IF(TYPE(VLOOKUP(C176,'KO8'!$D$4:$D$17,1,0))&lt;4,8,999)</f>
        <v>999</v>
      </c>
      <c r="K176" s="176">
        <f ca="1">IF(TYPE(VLOOKUP(C176,'KO4'!$D$4:$D$9,1,0))&lt;4,4,999)</f>
        <v>999</v>
      </c>
      <c r="L176" s="176">
        <f ca="1">Start.listina!$K$7</f>
        <v>16</v>
      </c>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row>
    <row r="177" spans="1:34">
      <c r="A177" t="str">
        <f ca="1">IF(OR(Start.listina!H185&gt;Start.listina!$K$7,Start.listina!G185=1),"",Start.listina!H185)</f>
        <v/>
      </c>
      <c r="B177" s="176" t="str">
        <f ca="1">IF(A177&gt;Start.listina!$K$7,"",ADDRESS(INT((A177-1)/$M$2)+1,IF(MOD(A177,$M$2)=0,IF(MOD(INT((A177-1)/$M$2)+1,2)=1,$M$2,1),IF(MOD(INT((A177-1)/$M$2)+1,2)=1,MOD(A177,$M$2),$M$2-MOD(A177,$M$2)+1)),4,1))</f>
        <v/>
      </c>
      <c r="C177" s="178" t="str">
        <f ca="1">Start.listina!$AL185</f>
        <v/>
      </c>
      <c r="D177" s="176" t="str">
        <f ca="1">IF(A177&gt;Start.listina!$K$7,"",INT((A177-1)/$M$2)+1)</f>
        <v/>
      </c>
      <c r="E177" s="490" t="str">
        <f ca="1">IF(A177&gt;Start.listina!$K$7,"",MIN(F177:L177))</f>
        <v/>
      </c>
      <c r="F177" s="176">
        <f ca="1">IF(TYPE(VLOOKUP(C177,Konečné_pořadí_1_16!$B$2:$D$17,3,0))&lt;4,VLOOKUP(C177,Konečné_pořadí_1_16!$B$2:$D$17,3,0),999)</f>
        <v>999</v>
      </c>
      <c r="G177" s="176">
        <f ca="1">IF(TYPE(VLOOKUP(C177,'KO64'!$D$4:$D$129,1,0))&lt;4,64,999)</f>
        <v>999</v>
      </c>
      <c r="H177" s="176">
        <f ca="1">IF(TYPE(VLOOKUP(C177,'KO32'!$D$4:$D$65,1,0))&lt;4,32,999)</f>
        <v>999</v>
      </c>
      <c r="I177" s="176">
        <f ca="1">IF(TYPE(VLOOKUP(C177,'KO16'!$D$4:$D$33,1,0))&lt;4,16,999)</f>
        <v>999</v>
      </c>
      <c r="J177" s="176">
        <f ca="1">IF(TYPE(VLOOKUP(C177,'KO8'!$D$4:$D$17,1,0))&lt;4,8,999)</f>
        <v>999</v>
      </c>
      <c r="K177" s="176">
        <f ca="1">IF(TYPE(VLOOKUP(C177,'KO4'!$D$4:$D$9,1,0))&lt;4,4,999)</f>
        <v>999</v>
      </c>
      <c r="L177" s="176">
        <f ca="1">Start.listina!$K$7</f>
        <v>16</v>
      </c>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row>
    <row r="178" spans="1:34">
      <c r="A178" t="str">
        <f ca="1">IF(OR(Start.listina!H186&gt;Start.listina!$K$7,Start.listina!G186=1),"",Start.listina!H186)</f>
        <v/>
      </c>
      <c r="B178" s="176" t="str">
        <f ca="1">IF(A178&gt;Start.listina!$K$7,"",ADDRESS(INT((A178-1)/$M$2)+1,IF(MOD(A178,$M$2)=0,IF(MOD(INT((A178-1)/$M$2)+1,2)=1,$M$2,1),IF(MOD(INT((A178-1)/$M$2)+1,2)=1,MOD(A178,$M$2),$M$2-MOD(A178,$M$2)+1)),4,1))</f>
        <v/>
      </c>
      <c r="C178" s="178" t="str">
        <f ca="1">Start.listina!$AL186</f>
        <v/>
      </c>
      <c r="D178" s="176" t="str">
        <f ca="1">IF(A178&gt;Start.listina!$K$7,"",INT((A178-1)/$M$2)+1)</f>
        <v/>
      </c>
      <c r="E178" s="490" t="str">
        <f ca="1">IF(A178&gt;Start.listina!$K$7,"",MIN(F178:L178))</f>
        <v/>
      </c>
      <c r="F178" s="176">
        <f ca="1">IF(TYPE(VLOOKUP(C178,Konečné_pořadí_1_16!$B$2:$D$17,3,0))&lt;4,VLOOKUP(C178,Konečné_pořadí_1_16!$B$2:$D$17,3,0),999)</f>
        <v>999</v>
      </c>
      <c r="G178" s="176">
        <f ca="1">IF(TYPE(VLOOKUP(C178,'KO64'!$D$4:$D$129,1,0))&lt;4,64,999)</f>
        <v>999</v>
      </c>
      <c r="H178" s="176">
        <f ca="1">IF(TYPE(VLOOKUP(C178,'KO32'!$D$4:$D$65,1,0))&lt;4,32,999)</f>
        <v>999</v>
      </c>
      <c r="I178" s="176">
        <f ca="1">IF(TYPE(VLOOKUP(C178,'KO16'!$D$4:$D$33,1,0))&lt;4,16,999)</f>
        <v>999</v>
      </c>
      <c r="J178" s="176">
        <f ca="1">IF(TYPE(VLOOKUP(C178,'KO8'!$D$4:$D$17,1,0))&lt;4,8,999)</f>
        <v>999</v>
      </c>
      <c r="K178" s="176">
        <f ca="1">IF(TYPE(VLOOKUP(C178,'KO4'!$D$4:$D$9,1,0))&lt;4,4,999)</f>
        <v>999</v>
      </c>
      <c r="L178" s="176">
        <f ca="1">Start.listina!$K$7</f>
        <v>16</v>
      </c>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row>
    <row r="179" spans="1:34">
      <c r="A179" t="str">
        <f ca="1">IF(OR(Start.listina!H187&gt;Start.listina!$K$7,Start.listina!G187=1),"",Start.listina!H187)</f>
        <v/>
      </c>
      <c r="B179" s="176" t="str">
        <f ca="1">IF(A179&gt;Start.listina!$K$7,"",ADDRESS(INT((A179-1)/$M$2)+1,IF(MOD(A179,$M$2)=0,IF(MOD(INT((A179-1)/$M$2)+1,2)=1,$M$2,1),IF(MOD(INT((A179-1)/$M$2)+1,2)=1,MOD(A179,$M$2),$M$2-MOD(A179,$M$2)+1)),4,1))</f>
        <v/>
      </c>
      <c r="C179" s="178" t="str">
        <f ca="1">Start.listina!$AL187</f>
        <v/>
      </c>
      <c r="D179" s="176" t="str">
        <f ca="1">IF(A179&gt;Start.listina!$K$7,"",INT((A179-1)/$M$2)+1)</f>
        <v/>
      </c>
      <c r="E179" s="490" t="str">
        <f ca="1">IF(A179&gt;Start.listina!$K$7,"",MIN(F179:L179))</f>
        <v/>
      </c>
      <c r="F179" s="176">
        <f ca="1">IF(TYPE(VLOOKUP(C179,Konečné_pořadí_1_16!$B$2:$D$17,3,0))&lt;4,VLOOKUP(C179,Konečné_pořadí_1_16!$B$2:$D$17,3,0),999)</f>
        <v>999</v>
      </c>
      <c r="G179" s="176">
        <f ca="1">IF(TYPE(VLOOKUP(C179,'KO64'!$D$4:$D$129,1,0))&lt;4,64,999)</f>
        <v>999</v>
      </c>
      <c r="H179" s="176">
        <f ca="1">IF(TYPE(VLOOKUP(C179,'KO32'!$D$4:$D$65,1,0))&lt;4,32,999)</f>
        <v>999</v>
      </c>
      <c r="I179" s="176">
        <f ca="1">IF(TYPE(VLOOKUP(C179,'KO16'!$D$4:$D$33,1,0))&lt;4,16,999)</f>
        <v>999</v>
      </c>
      <c r="J179" s="176">
        <f ca="1">IF(TYPE(VLOOKUP(C179,'KO8'!$D$4:$D$17,1,0))&lt;4,8,999)</f>
        <v>999</v>
      </c>
      <c r="K179" s="176">
        <f ca="1">IF(TYPE(VLOOKUP(C179,'KO4'!$D$4:$D$9,1,0))&lt;4,4,999)</f>
        <v>999</v>
      </c>
      <c r="L179" s="176">
        <f ca="1">Start.listina!$K$7</f>
        <v>16</v>
      </c>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row>
    <row r="180" spans="1:34">
      <c r="A180" t="str">
        <f ca="1">IF(OR(Start.listina!H188&gt;Start.listina!$K$7,Start.listina!G188=1),"",Start.listina!H188)</f>
        <v/>
      </c>
      <c r="B180" s="176" t="str">
        <f ca="1">IF(A180&gt;Start.listina!$K$7,"",ADDRESS(INT((A180-1)/$M$2)+1,IF(MOD(A180,$M$2)=0,IF(MOD(INT((A180-1)/$M$2)+1,2)=1,$M$2,1),IF(MOD(INT((A180-1)/$M$2)+1,2)=1,MOD(A180,$M$2),$M$2-MOD(A180,$M$2)+1)),4,1))</f>
        <v/>
      </c>
      <c r="C180" s="178" t="str">
        <f ca="1">Start.listina!$AL188</f>
        <v/>
      </c>
      <c r="D180" s="176" t="str">
        <f ca="1">IF(A180&gt;Start.listina!$K$7,"",INT((A180-1)/$M$2)+1)</f>
        <v/>
      </c>
      <c r="E180" s="490" t="str">
        <f ca="1">IF(A180&gt;Start.listina!$K$7,"",MIN(F180:L180))</f>
        <v/>
      </c>
      <c r="F180" s="176">
        <f ca="1">IF(TYPE(VLOOKUP(C180,Konečné_pořadí_1_16!$B$2:$D$17,3,0))&lt;4,VLOOKUP(C180,Konečné_pořadí_1_16!$B$2:$D$17,3,0),999)</f>
        <v>999</v>
      </c>
      <c r="G180" s="176">
        <f ca="1">IF(TYPE(VLOOKUP(C180,'KO64'!$D$4:$D$129,1,0))&lt;4,64,999)</f>
        <v>999</v>
      </c>
      <c r="H180" s="176">
        <f ca="1">IF(TYPE(VLOOKUP(C180,'KO32'!$D$4:$D$65,1,0))&lt;4,32,999)</f>
        <v>999</v>
      </c>
      <c r="I180" s="176">
        <f ca="1">IF(TYPE(VLOOKUP(C180,'KO16'!$D$4:$D$33,1,0))&lt;4,16,999)</f>
        <v>999</v>
      </c>
      <c r="J180" s="176">
        <f ca="1">IF(TYPE(VLOOKUP(C180,'KO8'!$D$4:$D$17,1,0))&lt;4,8,999)</f>
        <v>999</v>
      </c>
      <c r="K180" s="176">
        <f ca="1">IF(TYPE(VLOOKUP(C180,'KO4'!$D$4:$D$9,1,0))&lt;4,4,999)</f>
        <v>999</v>
      </c>
      <c r="L180" s="176">
        <f ca="1">Start.listina!$K$7</f>
        <v>16</v>
      </c>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row>
    <row r="181" spans="1:34">
      <c r="A181" t="str">
        <f ca="1">IF(OR(Start.listina!H189&gt;Start.listina!$K$7,Start.listina!G189=1),"",Start.listina!H189)</f>
        <v/>
      </c>
      <c r="B181" s="176" t="str">
        <f ca="1">IF(A181&gt;Start.listina!$K$7,"",ADDRESS(INT((A181-1)/$M$2)+1,IF(MOD(A181,$M$2)=0,IF(MOD(INT((A181-1)/$M$2)+1,2)=1,$M$2,1),IF(MOD(INT((A181-1)/$M$2)+1,2)=1,MOD(A181,$M$2),$M$2-MOD(A181,$M$2)+1)),4,1))</f>
        <v/>
      </c>
      <c r="C181" s="178" t="str">
        <f ca="1">Start.listina!$AL189</f>
        <v/>
      </c>
      <c r="D181" s="176" t="str">
        <f ca="1">IF(A181&gt;Start.listina!$K$7,"",INT((A181-1)/$M$2)+1)</f>
        <v/>
      </c>
      <c r="E181" s="490" t="str">
        <f ca="1">IF(A181&gt;Start.listina!$K$7,"",MIN(F181:L181))</f>
        <v/>
      </c>
      <c r="F181" s="176">
        <f ca="1">IF(TYPE(VLOOKUP(C181,Konečné_pořadí_1_16!$B$2:$D$17,3,0))&lt;4,VLOOKUP(C181,Konečné_pořadí_1_16!$B$2:$D$17,3,0),999)</f>
        <v>999</v>
      </c>
      <c r="G181" s="176">
        <f ca="1">IF(TYPE(VLOOKUP(C181,'KO64'!$D$4:$D$129,1,0))&lt;4,64,999)</f>
        <v>999</v>
      </c>
      <c r="H181" s="176">
        <f ca="1">IF(TYPE(VLOOKUP(C181,'KO32'!$D$4:$D$65,1,0))&lt;4,32,999)</f>
        <v>999</v>
      </c>
      <c r="I181" s="176">
        <f ca="1">IF(TYPE(VLOOKUP(C181,'KO16'!$D$4:$D$33,1,0))&lt;4,16,999)</f>
        <v>999</v>
      </c>
      <c r="J181" s="176">
        <f ca="1">IF(TYPE(VLOOKUP(C181,'KO8'!$D$4:$D$17,1,0))&lt;4,8,999)</f>
        <v>999</v>
      </c>
      <c r="K181" s="176">
        <f ca="1">IF(TYPE(VLOOKUP(C181,'KO4'!$D$4:$D$9,1,0))&lt;4,4,999)</f>
        <v>999</v>
      </c>
      <c r="L181" s="176">
        <f ca="1">Start.listina!$K$7</f>
        <v>16</v>
      </c>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row>
    <row r="182" spans="1:34">
      <c r="A182" t="str">
        <f ca="1">IF(OR(Start.listina!H190&gt;Start.listina!$K$7,Start.listina!G190=1),"",Start.listina!H190)</f>
        <v/>
      </c>
      <c r="B182" s="176" t="str">
        <f ca="1">IF(A182&gt;Start.listina!$K$7,"",ADDRESS(INT((A182-1)/$M$2)+1,IF(MOD(A182,$M$2)=0,IF(MOD(INT((A182-1)/$M$2)+1,2)=1,$M$2,1),IF(MOD(INT((A182-1)/$M$2)+1,2)=1,MOD(A182,$M$2),$M$2-MOD(A182,$M$2)+1)),4,1))</f>
        <v/>
      </c>
      <c r="C182" s="178" t="str">
        <f ca="1">Start.listina!$AL190</f>
        <v/>
      </c>
      <c r="D182" s="176" t="str">
        <f ca="1">IF(A182&gt;Start.listina!$K$7,"",INT((A182-1)/$M$2)+1)</f>
        <v/>
      </c>
      <c r="E182" s="490" t="str">
        <f ca="1">IF(A182&gt;Start.listina!$K$7,"",MIN(F182:L182))</f>
        <v/>
      </c>
      <c r="F182" s="176">
        <f ca="1">IF(TYPE(VLOOKUP(C182,Konečné_pořadí_1_16!$B$2:$D$17,3,0))&lt;4,VLOOKUP(C182,Konečné_pořadí_1_16!$B$2:$D$17,3,0),999)</f>
        <v>999</v>
      </c>
      <c r="G182" s="176">
        <f ca="1">IF(TYPE(VLOOKUP(C182,'KO64'!$D$4:$D$129,1,0))&lt;4,64,999)</f>
        <v>999</v>
      </c>
      <c r="H182" s="176">
        <f ca="1">IF(TYPE(VLOOKUP(C182,'KO32'!$D$4:$D$65,1,0))&lt;4,32,999)</f>
        <v>999</v>
      </c>
      <c r="I182" s="176">
        <f ca="1">IF(TYPE(VLOOKUP(C182,'KO16'!$D$4:$D$33,1,0))&lt;4,16,999)</f>
        <v>999</v>
      </c>
      <c r="J182" s="176">
        <f ca="1">IF(TYPE(VLOOKUP(C182,'KO8'!$D$4:$D$17,1,0))&lt;4,8,999)</f>
        <v>999</v>
      </c>
      <c r="K182" s="176">
        <f ca="1">IF(TYPE(VLOOKUP(C182,'KO4'!$D$4:$D$9,1,0))&lt;4,4,999)</f>
        <v>999</v>
      </c>
      <c r="L182" s="176">
        <f ca="1">Start.listina!$K$7</f>
        <v>16</v>
      </c>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row>
    <row r="183" spans="1:34">
      <c r="A183" t="str">
        <f ca="1">IF(OR(Start.listina!H191&gt;Start.listina!$K$7,Start.listina!G191=1),"",Start.listina!H191)</f>
        <v/>
      </c>
      <c r="B183" s="176" t="str">
        <f ca="1">IF(A183&gt;Start.listina!$K$7,"",ADDRESS(INT((A183-1)/$M$2)+1,IF(MOD(A183,$M$2)=0,IF(MOD(INT((A183-1)/$M$2)+1,2)=1,$M$2,1),IF(MOD(INT((A183-1)/$M$2)+1,2)=1,MOD(A183,$M$2),$M$2-MOD(A183,$M$2)+1)),4,1))</f>
        <v/>
      </c>
      <c r="C183" s="178" t="str">
        <f ca="1">Start.listina!$AL191</f>
        <v/>
      </c>
      <c r="D183" s="176" t="str">
        <f ca="1">IF(A183&gt;Start.listina!$K$7,"",INT((A183-1)/$M$2)+1)</f>
        <v/>
      </c>
      <c r="E183" s="490" t="str">
        <f ca="1">IF(A183&gt;Start.listina!$K$7,"",MIN(F183:L183))</f>
        <v/>
      </c>
      <c r="F183" s="176">
        <f ca="1">IF(TYPE(VLOOKUP(C183,Konečné_pořadí_1_16!$B$2:$D$17,3,0))&lt;4,VLOOKUP(C183,Konečné_pořadí_1_16!$B$2:$D$17,3,0),999)</f>
        <v>999</v>
      </c>
      <c r="G183" s="176">
        <f ca="1">IF(TYPE(VLOOKUP(C183,'KO64'!$D$4:$D$129,1,0))&lt;4,64,999)</f>
        <v>999</v>
      </c>
      <c r="H183" s="176">
        <f ca="1">IF(TYPE(VLOOKUP(C183,'KO32'!$D$4:$D$65,1,0))&lt;4,32,999)</f>
        <v>999</v>
      </c>
      <c r="I183" s="176">
        <f ca="1">IF(TYPE(VLOOKUP(C183,'KO16'!$D$4:$D$33,1,0))&lt;4,16,999)</f>
        <v>999</v>
      </c>
      <c r="J183" s="176">
        <f ca="1">IF(TYPE(VLOOKUP(C183,'KO8'!$D$4:$D$17,1,0))&lt;4,8,999)</f>
        <v>999</v>
      </c>
      <c r="K183" s="176">
        <f ca="1">IF(TYPE(VLOOKUP(C183,'KO4'!$D$4:$D$9,1,0))&lt;4,4,999)</f>
        <v>999</v>
      </c>
      <c r="L183" s="176">
        <f ca="1">Start.listina!$K$7</f>
        <v>16</v>
      </c>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row>
    <row r="184" spans="1:34">
      <c r="A184" t="str">
        <f ca="1">IF(OR(Start.listina!H192&gt;Start.listina!$K$7,Start.listina!G192=1),"",Start.listina!H192)</f>
        <v/>
      </c>
      <c r="B184" s="176" t="str">
        <f ca="1">IF(A184&gt;Start.listina!$K$7,"",ADDRESS(INT((A184-1)/$M$2)+1,IF(MOD(A184,$M$2)=0,IF(MOD(INT((A184-1)/$M$2)+1,2)=1,$M$2,1),IF(MOD(INT((A184-1)/$M$2)+1,2)=1,MOD(A184,$M$2),$M$2-MOD(A184,$M$2)+1)),4,1))</f>
        <v/>
      </c>
      <c r="C184" s="178" t="str">
        <f ca="1">Start.listina!$AL192</f>
        <v/>
      </c>
      <c r="D184" s="176" t="str">
        <f ca="1">IF(A184&gt;Start.listina!$K$7,"",INT((A184-1)/$M$2)+1)</f>
        <v/>
      </c>
      <c r="E184" s="490" t="str">
        <f ca="1">IF(A184&gt;Start.listina!$K$7,"",MIN(F184:L184))</f>
        <v/>
      </c>
      <c r="F184" s="176">
        <f ca="1">IF(TYPE(VLOOKUP(C184,Konečné_pořadí_1_16!$B$2:$D$17,3,0))&lt;4,VLOOKUP(C184,Konečné_pořadí_1_16!$B$2:$D$17,3,0),999)</f>
        <v>999</v>
      </c>
      <c r="G184" s="176">
        <f ca="1">IF(TYPE(VLOOKUP(C184,'KO64'!$D$4:$D$129,1,0))&lt;4,64,999)</f>
        <v>999</v>
      </c>
      <c r="H184" s="176">
        <f ca="1">IF(TYPE(VLOOKUP(C184,'KO32'!$D$4:$D$65,1,0))&lt;4,32,999)</f>
        <v>999</v>
      </c>
      <c r="I184" s="176">
        <f ca="1">IF(TYPE(VLOOKUP(C184,'KO16'!$D$4:$D$33,1,0))&lt;4,16,999)</f>
        <v>999</v>
      </c>
      <c r="J184" s="176">
        <f ca="1">IF(TYPE(VLOOKUP(C184,'KO8'!$D$4:$D$17,1,0))&lt;4,8,999)</f>
        <v>999</v>
      </c>
      <c r="K184" s="176">
        <f ca="1">IF(TYPE(VLOOKUP(C184,'KO4'!$D$4:$D$9,1,0))&lt;4,4,999)</f>
        <v>999</v>
      </c>
      <c r="L184" s="176">
        <f ca="1">Start.listina!$K$7</f>
        <v>16</v>
      </c>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row>
    <row r="185" spans="1:34">
      <c r="A185" t="str">
        <f ca="1">IF(OR(Start.listina!H193&gt;Start.listina!$K$7,Start.listina!G193=1),"",Start.listina!H193)</f>
        <v/>
      </c>
      <c r="B185" s="176" t="str">
        <f ca="1">IF(A185&gt;Start.listina!$K$7,"",ADDRESS(INT((A185-1)/$M$2)+1,IF(MOD(A185,$M$2)=0,IF(MOD(INT((A185-1)/$M$2)+1,2)=1,$M$2,1),IF(MOD(INT((A185-1)/$M$2)+1,2)=1,MOD(A185,$M$2),$M$2-MOD(A185,$M$2)+1)),4,1))</f>
        <v/>
      </c>
      <c r="C185" s="178" t="str">
        <f ca="1">Start.listina!$AL193</f>
        <v/>
      </c>
      <c r="D185" s="176" t="str">
        <f ca="1">IF(A185&gt;Start.listina!$K$7,"",INT((A185-1)/$M$2)+1)</f>
        <v/>
      </c>
      <c r="E185" s="490" t="str">
        <f ca="1">IF(A185&gt;Start.listina!$K$7,"",MIN(F185:L185))</f>
        <v/>
      </c>
      <c r="F185" s="176">
        <f ca="1">IF(TYPE(VLOOKUP(C185,Konečné_pořadí_1_16!$B$2:$D$17,3,0))&lt;4,VLOOKUP(C185,Konečné_pořadí_1_16!$B$2:$D$17,3,0),999)</f>
        <v>999</v>
      </c>
      <c r="G185" s="176">
        <f ca="1">IF(TYPE(VLOOKUP(C185,'KO64'!$D$4:$D$129,1,0))&lt;4,64,999)</f>
        <v>999</v>
      </c>
      <c r="H185" s="176">
        <f ca="1">IF(TYPE(VLOOKUP(C185,'KO32'!$D$4:$D$65,1,0))&lt;4,32,999)</f>
        <v>999</v>
      </c>
      <c r="I185" s="176">
        <f ca="1">IF(TYPE(VLOOKUP(C185,'KO16'!$D$4:$D$33,1,0))&lt;4,16,999)</f>
        <v>999</v>
      </c>
      <c r="J185" s="176">
        <f ca="1">IF(TYPE(VLOOKUP(C185,'KO8'!$D$4:$D$17,1,0))&lt;4,8,999)</f>
        <v>999</v>
      </c>
      <c r="K185" s="176">
        <f ca="1">IF(TYPE(VLOOKUP(C185,'KO4'!$D$4:$D$9,1,0))&lt;4,4,999)</f>
        <v>999</v>
      </c>
      <c r="L185" s="176">
        <f ca="1">Start.listina!$K$7</f>
        <v>16</v>
      </c>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row>
    <row r="186" spans="1:34">
      <c r="A186" t="str">
        <f ca="1">IF(OR(Start.listina!H194&gt;Start.listina!$K$7,Start.listina!G194=1),"",Start.listina!H194)</f>
        <v/>
      </c>
      <c r="B186" s="176" t="str">
        <f ca="1">IF(A186&gt;Start.listina!$K$7,"",ADDRESS(INT((A186-1)/$M$2)+1,IF(MOD(A186,$M$2)=0,IF(MOD(INT((A186-1)/$M$2)+1,2)=1,$M$2,1),IF(MOD(INT((A186-1)/$M$2)+1,2)=1,MOD(A186,$M$2),$M$2-MOD(A186,$M$2)+1)),4,1))</f>
        <v/>
      </c>
      <c r="C186" s="178" t="str">
        <f ca="1">Start.listina!$AL194</f>
        <v/>
      </c>
      <c r="D186" s="176" t="str">
        <f ca="1">IF(A186&gt;Start.listina!$K$7,"",INT((A186-1)/$M$2)+1)</f>
        <v/>
      </c>
      <c r="E186" s="490" t="str">
        <f ca="1">IF(A186&gt;Start.listina!$K$7,"",MIN(F186:L186))</f>
        <v/>
      </c>
      <c r="F186" s="176">
        <f ca="1">IF(TYPE(VLOOKUP(C186,Konečné_pořadí_1_16!$B$2:$D$17,3,0))&lt;4,VLOOKUP(C186,Konečné_pořadí_1_16!$B$2:$D$17,3,0),999)</f>
        <v>999</v>
      </c>
      <c r="G186" s="176">
        <f ca="1">IF(TYPE(VLOOKUP(C186,'KO64'!$D$4:$D$129,1,0))&lt;4,64,999)</f>
        <v>999</v>
      </c>
      <c r="H186" s="176">
        <f ca="1">IF(TYPE(VLOOKUP(C186,'KO32'!$D$4:$D$65,1,0))&lt;4,32,999)</f>
        <v>999</v>
      </c>
      <c r="I186" s="176">
        <f ca="1">IF(TYPE(VLOOKUP(C186,'KO16'!$D$4:$D$33,1,0))&lt;4,16,999)</f>
        <v>999</v>
      </c>
      <c r="J186" s="176">
        <f ca="1">IF(TYPE(VLOOKUP(C186,'KO8'!$D$4:$D$17,1,0))&lt;4,8,999)</f>
        <v>999</v>
      </c>
      <c r="K186" s="176">
        <f ca="1">IF(TYPE(VLOOKUP(C186,'KO4'!$D$4:$D$9,1,0))&lt;4,4,999)</f>
        <v>999</v>
      </c>
      <c r="L186" s="176">
        <f ca="1">Start.listina!$K$7</f>
        <v>16</v>
      </c>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row>
    <row r="187" spans="1:34">
      <c r="A187" t="str">
        <f ca="1">IF(OR(Start.listina!H195&gt;Start.listina!$K$7,Start.listina!G195=1),"",Start.listina!H195)</f>
        <v/>
      </c>
      <c r="B187" s="176" t="str">
        <f ca="1">IF(A187&gt;Start.listina!$K$7,"",ADDRESS(INT((A187-1)/$M$2)+1,IF(MOD(A187,$M$2)=0,IF(MOD(INT((A187-1)/$M$2)+1,2)=1,$M$2,1),IF(MOD(INT((A187-1)/$M$2)+1,2)=1,MOD(A187,$M$2),$M$2-MOD(A187,$M$2)+1)),4,1))</f>
        <v/>
      </c>
      <c r="C187" s="178" t="str">
        <f ca="1">Start.listina!$AL195</f>
        <v/>
      </c>
      <c r="D187" s="176" t="str">
        <f ca="1">IF(A187&gt;Start.listina!$K$7,"",INT((A187-1)/$M$2)+1)</f>
        <v/>
      </c>
      <c r="E187" s="490" t="str">
        <f ca="1">IF(A187&gt;Start.listina!$K$7,"",MIN(F187:L187))</f>
        <v/>
      </c>
      <c r="F187" s="176">
        <f ca="1">IF(TYPE(VLOOKUP(C187,Konečné_pořadí_1_16!$B$2:$D$17,3,0))&lt;4,VLOOKUP(C187,Konečné_pořadí_1_16!$B$2:$D$17,3,0),999)</f>
        <v>999</v>
      </c>
      <c r="G187" s="176">
        <f ca="1">IF(TYPE(VLOOKUP(C187,'KO64'!$D$4:$D$129,1,0))&lt;4,64,999)</f>
        <v>999</v>
      </c>
      <c r="H187" s="176">
        <f ca="1">IF(TYPE(VLOOKUP(C187,'KO32'!$D$4:$D$65,1,0))&lt;4,32,999)</f>
        <v>999</v>
      </c>
      <c r="I187" s="176">
        <f ca="1">IF(TYPE(VLOOKUP(C187,'KO16'!$D$4:$D$33,1,0))&lt;4,16,999)</f>
        <v>999</v>
      </c>
      <c r="J187" s="176">
        <f ca="1">IF(TYPE(VLOOKUP(C187,'KO8'!$D$4:$D$17,1,0))&lt;4,8,999)</f>
        <v>999</v>
      </c>
      <c r="K187" s="176">
        <f ca="1">IF(TYPE(VLOOKUP(C187,'KO4'!$D$4:$D$9,1,0))&lt;4,4,999)</f>
        <v>999</v>
      </c>
      <c r="L187" s="176">
        <f ca="1">Start.listina!$K$7</f>
        <v>16</v>
      </c>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row>
    <row r="188" spans="1:34">
      <c r="A188" t="str">
        <f ca="1">IF(OR(Start.listina!H196&gt;Start.listina!$K$7,Start.listina!G196=1),"",Start.listina!H196)</f>
        <v/>
      </c>
      <c r="B188" s="176" t="str">
        <f ca="1">IF(A188&gt;Start.listina!$K$7,"",ADDRESS(INT((A188-1)/$M$2)+1,IF(MOD(A188,$M$2)=0,IF(MOD(INT((A188-1)/$M$2)+1,2)=1,$M$2,1),IF(MOD(INT((A188-1)/$M$2)+1,2)=1,MOD(A188,$M$2),$M$2-MOD(A188,$M$2)+1)),4,1))</f>
        <v/>
      </c>
      <c r="C188" s="178" t="str">
        <f ca="1">Start.listina!$AL196</f>
        <v/>
      </c>
      <c r="D188" s="176" t="str">
        <f ca="1">IF(A188&gt;Start.listina!$K$7,"",INT((A188-1)/$M$2)+1)</f>
        <v/>
      </c>
      <c r="E188" s="490" t="str">
        <f ca="1">IF(A188&gt;Start.listina!$K$7,"",MIN(F188:L188))</f>
        <v/>
      </c>
      <c r="F188" s="176">
        <f ca="1">IF(TYPE(VLOOKUP(C188,Konečné_pořadí_1_16!$B$2:$D$17,3,0))&lt;4,VLOOKUP(C188,Konečné_pořadí_1_16!$B$2:$D$17,3,0),999)</f>
        <v>999</v>
      </c>
      <c r="G188" s="176">
        <f ca="1">IF(TYPE(VLOOKUP(C188,'KO64'!$D$4:$D$129,1,0))&lt;4,64,999)</f>
        <v>999</v>
      </c>
      <c r="H188" s="176">
        <f ca="1">IF(TYPE(VLOOKUP(C188,'KO32'!$D$4:$D$65,1,0))&lt;4,32,999)</f>
        <v>999</v>
      </c>
      <c r="I188" s="176">
        <f ca="1">IF(TYPE(VLOOKUP(C188,'KO16'!$D$4:$D$33,1,0))&lt;4,16,999)</f>
        <v>999</v>
      </c>
      <c r="J188" s="176">
        <f ca="1">IF(TYPE(VLOOKUP(C188,'KO8'!$D$4:$D$17,1,0))&lt;4,8,999)</f>
        <v>999</v>
      </c>
      <c r="K188" s="176">
        <f ca="1">IF(TYPE(VLOOKUP(C188,'KO4'!$D$4:$D$9,1,0))&lt;4,4,999)</f>
        <v>999</v>
      </c>
      <c r="L188" s="176">
        <f ca="1">Start.listina!$K$7</f>
        <v>16</v>
      </c>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row>
    <row r="189" spans="1:34">
      <c r="A189" t="str">
        <f ca="1">IF(OR(Start.listina!H197&gt;Start.listina!$K$7,Start.listina!G197=1),"",Start.listina!H197)</f>
        <v/>
      </c>
      <c r="B189" s="176" t="str">
        <f ca="1">IF(A189&gt;Start.listina!$K$7,"",ADDRESS(INT((A189-1)/$M$2)+1,IF(MOD(A189,$M$2)=0,IF(MOD(INT((A189-1)/$M$2)+1,2)=1,$M$2,1),IF(MOD(INT((A189-1)/$M$2)+1,2)=1,MOD(A189,$M$2),$M$2-MOD(A189,$M$2)+1)),4,1))</f>
        <v/>
      </c>
      <c r="C189" s="178" t="str">
        <f ca="1">Start.listina!$AL197</f>
        <v/>
      </c>
      <c r="D189" s="176" t="str">
        <f ca="1">IF(A189&gt;Start.listina!$K$7,"",INT((A189-1)/$M$2)+1)</f>
        <v/>
      </c>
      <c r="E189" s="490" t="str">
        <f ca="1">IF(A189&gt;Start.listina!$K$7,"",MIN(F189:L189))</f>
        <v/>
      </c>
      <c r="F189" s="176">
        <f ca="1">IF(TYPE(VLOOKUP(C189,Konečné_pořadí_1_16!$B$2:$D$17,3,0))&lt;4,VLOOKUP(C189,Konečné_pořadí_1_16!$B$2:$D$17,3,0),999)</f>
        <v>999</v>
      </c>
      <c r="G189" s="176">
        <f ca="1">IF(TYPE(VLOOKUP(C189,'KO64'!$D$4:$D$129,1,0))&lt;4,64,999)</f>
        <v>999</v>
      </c>
      <c r="H189" s="176">
        <f ca="1">IF(TYPE(VLOOKUP(C189,'KO32'!$D$4:$D$65,1,0))&lt;4,32,999)</f>
        <v>999</v>
      </c>
      <c r="I189" s="176">
        <f ca="1">IF(TYPE(VLOOKUP(C189,'KO16'!$D$4:$D$33,1,0))&lt;4,16,999)</f>
        <v>999</v>
      </c>
      <c r="J189" s="176">
        <f ca="1">IF(TYPE(VLOOKUP(C189,'KO8'!$D$4:$D$17,1,0))&lt;4,8,999)</f>
        <v>999</v>
      </c>
      <c r="K189" s="176">
        <f ca="1">IF(TYPE(VLOOKUP(C189,'KO4'!$D$4:$D$9,1,0))&lt;4,4,999)</f>
        <v>999</v>
      </c>
      <c r="L189" s="176">
        <f ca="1">Start.listina!$K$7</f>
        <v>16</v>
      </c>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row>
    <row r="190" spans="1:34">
      <c r="A190" t="str">
        <f ca="1">IF(OR(Start.listina!H198&gt;Start.listina!$K$7,Start.listina!G198=1),"",Start.listina!H198)</f>
        <v/>
      </c>
      <c r="B190" s="176" t="str">
        <f ca="1">IF(A190&gt;Start.listina!$K$7,"",ADDRESS(INT((A190-1)/$M$2)+1,IF(MOD(A190,$M$2)=0,IF(MOD(INT((A190-1)/$M$2)+1,2)=1,$M$2,1),IF(MOD(INT((A190-1)/$M$2)+1,2)=1,MOD(A190,$M$2),$M$2-MOD(A190,$M$2)+1)),4,1))</f>
        <v/>
      </c>
      <c r="C190" s="178" t="str">
        <f ca="1">Start.listina!$AL198</f>
        <v/>
      </c>
      <c r="D190" s="176" t="str">
        <f ca="1">IF(A190&gt;Start.listina!$K$7,"",INT((A190-1)/$M$2)+1)</f>
        <v/>
      </c>
      <c r="E190" s="490" t="str">
        <f ca="1">IF(A190&gt;Start.listina!$K$7,"",MIN(F190:L190))</f>
        <v/>
      </c>
      <c r="F190" s="176">
        <f ca="1">IF(TYPE(VLOOKUP(C190,Konečné_pořadí_1_16!$B$2:$D$17,3,0))&lt;4,VLOOKUP(C190,Konečné_pořadí_1_16!$B$2:$D$17,3,0),999)</f>
        <v>999</v>
      </c>
      <c r="G190" s="176">
        <f ca="1">IF(TYPE(VLOOKUP(C190,'KO64'!$D$4:$D$129,1,0))&lt;4,64,999)</f>
        <v>999</v>
      </c>
      <c r="H190" s="176">
        <f ca="1">IF(TYPE(VLOOKUP(C190,'KO32'!$D$4:$D$65,1,0))&lt;4,32,999)</f>
        <v>999</v>
      </c>
      <c r="I190" s="176">
        <f ca="1">IF(TYPE(VLOOKUP(C190,'KO16'!$D$4:$D$33,1,0))&lt;4,16,999)</f>
        <v>999</v>
      </c>
      <c r="J190" s="176">
        <f ca="1">IF(TYPE(VLOOKUP(C190,'KO8'!$D$4:$D$17,1,0))&lt;4,8,999)</f>
        <v>999</v>
      </c>
      <c r="K190" s="176">
        <f ca="1">IF(TYPE(VLOOKUP(C190,'KO4'!$D$4:$D$9,1,0))&lt;4,4,999)</f>
        <v>999</v>
      </c>
      <c r="L190" s="176">
        <f ca="1">Start.listina!$K$7</f>
        <v>16</v>
      </c>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row>
    <row r="191" spans="1:34">
      <c r="A191" t="str">
        <f ca="1">IF(OR(Start.listina!H199&gt;Start.listina!$K$7,Start.listina!G199=1),"",Start.listina!H199)</f>
        <v/>
      </c>
      <c r="B191" s="176" t="str">
        <f ca="1">IF(A191&gt;Start.listina!$K$7,"",ADDRESS(INT((A191-1)/$M$2)+1,IF(MOD(A191,$M$2)=0,IF(MOD(INT((A191-1)/$M$2)+1,2)=1,$M$2,1),IF(MOD(INT((A191-1)/$M$2)+1,2)=1,MOD(A191,$M$2),$M$2-MOD(A191,$M$2)+1)),4,1))</f>
        <v/>
      </c>
      <c r="C191" s="178" t="str">
        <f ca="1">Start.listina!$AL199</f>
        <v/>
      </c>
      <c r="D191" s="176" t="str">
        <f ca="1">IF(A191&gt;Start.listina!$K$7,"",INT((A191-1)/$M$2)+1)</f>
        <v/>
      </c>
      <c r="E191" s="490" t="str">
        <f ca="1">IF(A191&gt;Start.listina!$K$7,"",MIN(F191:L191))</f>
        <v/>
      </c>
      <c r="F191" s="176">
        <f ca="1">IF(TYPE(VLOOKUP(C191,Konečné_pořadí_1_16!$B$2:$D$17,3,0))&lt;4,VLOOKUP(C191,Konečné_pořadí_1_16!$B$2:$D$17,3,0),999)</f>
        <v>999</v>
      </c>
      <c r="G191" s="176">
        <f ca="1">IF(TYPE(VLOOKUP(C191,'KO64'!$D$4:$D$129,1,0))&lt;4,64,999)</f>
        <v>999</v>
      </c>
      <c r="H191" s="176">
        <f ca="1">IF(TYPE(VLOOKUP(C191,'KO32'!$D$4:$D$65,1,0))&lt;4,32,999)</f>
        <v>999</v>
      </c>
      <c r="I191" s="176">
        <f ca="1">IF(TYPE(VLOOKUP(C191,'KO16'!$D$4:$D$33,1,0))&lt;4,16,999)</f>
        <v>999</v>
      </c>
      <c r="J191" s="176">
        <f ca="1">IF(TYPE(VLOOKUP(C191,'KO8'!$D$4:$D$17,1,0))&lt;4,8,999)</f>
        <v>999</v>
      </c>
      <c r="K191" s="176">
        <f ca="1">IF(TYPE(VLOOKUP(C191,'KO4'!$D$4:$D$9,1,0))&lt;4,4,999)</f>
        <v>999</v>
      </c>
      <c r="L191" s="176">
        <f ca="1">Start.listina!$K$7</f>
        <v>16</v>
      </c>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row>
    <row r="192" spans="1:34">
      <c r="A192" t="str">
        <f ca="1">IF(OR(Start.listina!H200&gt;Start.listina!$K$7,Start.listina!G200=1),"",Start.listina!H200)</f>
        <v/>
      </c>
      <c r="B192" s="176" t="str">
        <f ca="1">IF(A192&gt;Start.listina!$K$7,"",ADDRESS(INT((A192-1)/$M$2)+1,IF(MOD(A192,$M$2)=0,IF(MOD(INT((A192-1)/$M$2)+1,2)=1,$M$2,1),IF(MOD(INT((A192-1)/$M$2)+1,2)=1,MOD(A192,$M$2),$M$2-MOD(A192,$M$2)+1)),4,1))</f>
        <v/>
      </c>
      <c r="C192" s="178" t="str">
        <f ca="1">Start.listina!$AL200</f>
        <v/>
      </c>
      <c r="D192" s="176" t="str">
        <f ca="1">IF(A192&gt;Start.listina!$K$7,"",INT((A192-1)/$M$2)+1)</f>
        <v/>
      </c>
      <c r="E192" s="490" t="str">
        <f ca="1">IF(A192&gt;Start.listina!$K$7,"",MIN(F192:L192))</f>
        <v/>
      </c>
      <c r="F192" s="176">
        <f ca="1">IF(TYPE(VLOOKUP(C192,Konečné_pořadí_1_16!$B$2:$D$17,3,0))&lt;4,VLOOKUP(C192,Konečné_pořadí_1_16!$B$2:$D$17,3,0),999)</f>
        <v>999</v>
      </c>
      <c r="G192" s="176">
        <f ca="1">IF(TYPE(VLOOKUP(C192,'KO64'!$D$4:$D$129,1,0))&lt;4,64,999)</f>
        <v>999</v>
      </c>
      <c r="H192" s="176">
        <f ca="1">IF(TYPE(VLOOKUP(C192,'KO32'!$D$4:$D$65,1,0))&lt;4,32,999)</f>
        <v>999</v>
      </c>
      <c r="I192" s="176">
        <f ca="1">IF(TYPE(VLOOKUP(C192,'KO16'!$D$4:$D$33,1,0))&lt;4,16,999)</f>
        <v>999</v>
      </c>
      <c r="J192" s="176">
        <f ca="1">IF(TYPE(VLOOKUP(C192,'KO8'!$D$4:$D$17,1,0))&lt;4,8,999)</f>
        <v>999</v>
      </c>
      <c r="K192" s="176">
        <f ca="1">IF(TYPE(VLOOKUP(C192,'KO4'!$D$4:$D$9,1,0))&lt;4,4,999)</f>
        <v>999</v>
      </c>
      <c r="L192" s="176">
        <f ca="1">Start.listina!$K$7</f>
        <v>16</v>
      </c>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row>
    <row r="193" spans="1:34">
      <c r="A193" t="str">
        <f ca="1">IF(OR(Start.listina!H201&gt;Start.listina!$K$7,Start.listina!G201=1),"",Start.listina!H201)</f>
        <v/>
      </c>
      <c r="B193" s="176" t="str">
        <f ca="1">IF(A193&gt;Start.listina!$K$7,"",ADDRESS(INT((A193-1)/$M$2)+1,IF(MOD(A193,$M$2)=0,IF(MOD(INT((A193-1)/$M$2)+1,2)=1,$M$2,1),IF(MOD(INT((A193-1)/$M$2)+1,2)=1,MOD(A193,$M$2),$M$2-MOD(A193,$M$2)+1)),4,1))</f>
        <v/>
      </c>
      <c r="C193" s="178" t="str">
        <f ca="1">Start.listina!$AL201</f>
        <v/>
      </c>
      <c r="D193" s="176" t="str">
        <f ca="1">IF(A193&gt;Start.listina!$K$7,"",INT((A193-1)/$M$2)+1)</f>
        <v/>
      </c>
      <c r="E193" s="490" t="str">
        <f ca="1">IF(A193&gt;Start.listina!$K$7,"",MIN(F193:L193))</f>
        <v/>
      </c>
      <c r="F193" s="176">
        <f ca="1">IF(TYPE(VLOOKUP(C193,Konečné_pořadí_1_16!$B$2:$D$17,3,0))&lt;4,VLOOKUP(C193,Konečné_pořadí_1_16!$B$2:$D$17,3,0),999)</f>
        <v>999</v>
      </c>
      <c r="G193" s="176">
        <f ca="1">IF(TYPE(VLOOKUP(C193,'KO64'!$D$4:$D$129,1,0))&lt;4,64,999)</f>
        <v>999</v>
      </c>
      <c r="H193" s="176">
        <f ca="1">IF(TYPE(VLOOKUP(C193,'KO32'!$D$4:$D$65,1,0))&lt;4,32,999)</f>
        <v>999</v>
      </c>
      <c r="I193" s="176">
        <f ca="1">IF(TYPE(VLOOKUP(C193,'KO16'!$D$4:$D$33,1,0))&lt;4,16,999)</f>
        <v>999</v>
      </c>
      <c r="J193" s="176">
        <f ca="1">IF(TYPE(VLOOKUP(C193,'KO8'!$D$4:$D$17,1,0))&lt;4,8,999)</f>
        <v>999</v>
      </c>
      <c r="K193" s="176">
        <f ca="1">IF(TYPE(VLOOKUP(C193,'KO4'!$D$4:$D$9,1,0))&lt;4,4,999)</f>
        <v>999</v>
      </c>
      <c r="L193" s="176">
        <f ca="1">Start.listina!$K$7</f>
        <v>16</v>
      </c>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row>
    <row r="194" spans="1:34">
      <c r="A194" t="str">
        <f ca="1">IF(OR(Start.listina!H202&gt;Start.listina!$K$7,Start.listina!G202=1),"",Start.listina!H202)</f>
        <v/>
      </c>
      <c r="B194" s="176" t="str">
        <f ca="1">IF(A194&gt;Start.listina!$K$7,"",ADDRESS(INT((A194-1)/$M$2)+1,IF(MOD(A194,$M$2)=0,IF(MOD(INT((A194-1)/$M$2)+1,2)=1,$M$2,1),IF(MOD(INT((A194-1)/$M$2)+1,2)=1,MOD(A194,$M$2),$M$2-MOD(A194,$M$2)+1)),4,1))</f>
        <v/>
      </c>
      <c r="C194" s="178" t="str">
        <f ca="1">Start.listina!$AL202</f>
        <v/>
      </c>
      <c r="D194" s="176" t="str">
        <f ca="1">IF(A194&gt;Start.listina!$K$7,"",INT((A194-1)/$M$2)+1)</f>
        <v/>
      </c>
      <c r="E194" s="490" t="str">
        <f ca="1">IF(A194&gt;Start.listina!$K$7,"",MIN(F194:L194))</f>
        <v/>
      </c>
      <c r="F194" s="176">
        <f ca="1">IF(TYPE(VLOOKUP(C194,Konečné_pořadí_1_16!$B$2:$D$17,3,0))&lt;4,VLOOKUP(C194,Konečné_pořadí_1_16!$B$2:$D$17,3,0),999)</f>
        <v>999</v>
      </c>
      <c r="G194" s="176">
        <f ca="1">IF(TYPE(VLOOKUP(C194,'KO64'!$D$4:$D$129,1,0))&lt;4,64,999)</f>
        <v>999</v>
      </c>
      <c r="H194" s="176">
        <f ca="1">IF(TYPE(VLOOKUP(C194,'KO32'!$D$4:$D$65,1,0))&lt;4,32,999)</f>
        <v>999</v>
      </c>
      <c r="I194" s="176">
        <f ca="1">IF(TYPE(VLOOKUP(C194,'KO16'!$D$4:$D$33,1,0))&lt;4,16,999)</f>
        <v>999</v>
      </c>
      <c r="J194" s="176">
        <f ca="1">IF(TYPE(VLOOKUP(C194,'KO8'!$D$4:$D$17,1,0))&lt;4,8,999)</f>
        <v>999</v>
      </c>
      <c r="K194" s="176">
        <f ca="1">IF(TYPE(VLOOKUP(C194,'KO4'!$D$4:$D$9,1,0))&lt;4,4,999)</f>
        <v>999</v>
      </c>
      <c r="L194" s="176">
        <f ca="1">Start.listina!$K$7</f>
        <v>16</v>
      </c>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row>
  </sheetData>
  <pageMargins left="0.78749999999999998" right="0.78749999999999998" top="0.98402777777777795" bottom="0.98402777777777795" header="0.51180555555555496" footer="0.51180555555555496"/>
  <pageSetup paperSize="9" firstPageNumber="0" orientation="portrait" horizontalDpi="300" verticalDpi="300"/>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21"/>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11" defaultRowHeight="12.75"/>
  <cols>
    <col min="1" max="1" width="3.42578125" customWidth="1"/>
    <col min="2" max="2" width="6.5703125" customWidth="1"/>
    <col min="3" max="3" width="6.42578125" customWidth="1"/>
    <col min="4" max="4" width="7.42578125" customWidth="1"/>
    <col min="5" max="5" width="10.5703125" customWidth="1"/>
    <col min="6" max="6" width="7.42578125" customWidth="1"/>
    <col min="7" max="7" width="7.42578125" hidden="1" customWidth="1"/>
    <col min="9" max="9" width="9.140625" customWidth="1"/>
    <col min="11" max="11" width="7.140625" customWidth="1"/>
    <col min="12" max="12" width="9.140625" customWidth="1"/>
    <col min="13" max="13" width="15" customWidth="1"/>
    <col min="14" max="14" width="22.28515625" customWidth="1"/>
  </cols>
  <sheetData>
    <row r="1" spans="2:16" ht="20.25">
      <c r="B1" s="491" t="s">
        <v>1767</v>
      </c>
      <c r="N1" s="183"/>
      <c r="O1" s="176"/>
      <c r="P1" s="176"/>
    </row>
    <row r="3" spans="2:16">
      <c r="B3" s="176"/>
      <c r="C3" s="492" t="s">
        <v>1768</v>
      </c>
      <c r="D3" s="493"/>
      <c r="E3" s="493"/>
      <c r="F3" s="493"/>
      <c r="G3" s="493"/>
      <c r="H3" s="493"/>
      <c r="I3" s="494"/>
      <c r="J3" s="495"/>
    </row>
    <row r="4" spans="2:16" ht="51" customHeight="1">
      <c r="B4" s="496" t="s">
        <v>1769</v>
      </c>
      <c r="C4" s="497" t="s">
        <v>1770</v>
      </c>
      <c r="D4" s="498" t="s">
        <v>1771</v>
      </c>
      <c r="E4" s="498" t="s">
        <v>1772</v>
      </c>
      <c r="F4" s="498" t="s">
        <v>1773</v>
      </c>
      <c r="G4" s="498" t="s">
        <v>1774</v>
      </c>
      <c r="H4" s="499" t="s">
        <v>1659</v>
      </c>
      <c r="I4" s="500" t="s">
        <v>1775</v>
      </c>
      <c r="J4" s="495"/>
    </row>
    <row r="5" spans="2:16" ht="13.5">
      <c r="B5" s="501">
        <v>12</v>
      </c>
      <c r="C5" s="502">
        <v>4</v>
      </c>
      <c r="D5" s="502">
        <v>3</v>
      </c>
      <c r="E5" s="502">
        <v>4</v>
      </c>
      <c r="F5" s="503">
        <f t="shared" ref="F5:F36" si="0">C5-E5</f>
        <v>0</v>
      </c>
      <c r="G5" s="503">
        <f t="shared" ref="G5:G36" si="1">E5*D5+F5*(D5-1)</f>
        <v>12</v>
      </c>
      <c r="H5" s="503">
        <f t="shared" ref="H5:H36" si="2">INT(D5/2)*E5+INT((D5-1)/2)*F5</f>
        <v>4</v>
      </c>
      <c r="I5" s="504">
        <f>C5*Start.listina!$U$7</f>
        <v>8</v>
      </c>
    </row>
    <row r="6" spans="2:16" ht="13.5">
      <c r="B6" s="501">
        <v>13</v>
      </c>
      <c r="C6" s="502">
        <v>4</v>
      </c>
      <c r="D6" s="502">
        <v>4</v>
      </c>
      <c r="E6" s="502">
        <v>1</v>
      </c>
      <c r="F6" s="503">
        <f t="shared" si="0"/>
        <v>3</v>
      </c>
      <c r="G6" s="503">
        <f t="shared" si="1"/>
        <v>13</v>
      </c>
      <c r="H6" s="503">
        <f t="shared" si="2"/>
        <v>5</v>
      </c>
      <c r="I6" s="504">
        <f>C6*Start.listina!$U$7</f>
        <v>8</v>
      </c>
    </row>
    <row r="7" spans="2:16" ht="13.5">
      <c r="B7" s="501">
        <v>14</v>
      </c>
      <c r="C7" s="502">
        <v>4</v>
      </c>
      <c r="D7" s="502">
        <v>4</v>
      </c>
      <c r="E7" s="502">
        <v>2</v>
      </c>
      <c r="F7" s="503">
        <f t="shared" si="0"/>
        <v>2</v>
      </c>
      <c r="G7" s="503">
        <f t="shared" si="1"/>
        <v>14</v>
      </c>
      <c r="H7" s="503">
        <f t="shared" si="2"/>
        <v>6</v>
      </c>
      <c r="I7" s="504">
        <f>C7*Start.listina!$U$7</f>
        <v>8</v>
      </c>
    </row>
    <row r="8" spans="2:16" ht="13.5">
      <c r="B8" s="501">
        <v>15</v>
      </c>
      <c r="C8" s="502">
        <v>4</v>
      </c>
      <c r="D8" s="502">
        <v>4</v>
      </c>
      <c r="E8" s="502">
        <v>3</v>
      </c>
      <c r="F8" s="503">
        <f t="shared" si="0"/>
        <v>1</v>
      </c>
      <c r="G8" s="503">
        <f t="shared" si="1"/>
        <v>15</v>
      </c>
      <c r="H8" s="503">
        <f t="shared" si="2"/>
        <v>7</v>
      </c>
      <c r="I8" s="504">
        <f>C8*Start.listina!$U$7</f>
        <v>8</v>
      </c>
    </row>
    <row r="9" spans="2:16" ht="13.5">
      <c r="B9" s="501">
        <v>16</v>
      </c>
      <c r="C9" s="502">
        <v>4</v>
      </c>
      <c r="D9" s="502">
        <v>4</v>
      </c>
      <c r="E9" s="502">
        <v>4</v>
      </c>
      <c r="F9" s="503">
        <f t="shared" si="0"/>
        <v>0</v>
      </c>
      <c r="G9" s="503">
        <f t="shared" si="1"/>
        <v>16</v>
      </c>
      <c r="H9" s="503">
        <f t="shared" si="2"/>
        <v>8</v>
      </c>
      <c r="I9" s="504">
        <f>C9*Start.listina!$U$7</f>
        <v>8</v>
      </c>
    </row>
    <row r="10" spans="2:16" ht="13.5">
      <c r="B10" s="501">
        <v>17</v>
      </c>
      <c r="C10" s="502">
        <v>4</v>
      </c>
      <c r="D10" s="502">
        <v>5</v>
      </c>
      <c r="E10" s="502">
        <v>1</v>
      </c>
      <c r="F10" s="503">
        <f t="shared" si="0"/>
        <v>3</v>
      </c>
      <c r="G10" s="503">
        <f t="shared" si="1"/>
        <v>17</v>
      </c>
      <c r="H10" s="503">
        <f t="shared" si="2"/>
        <v>8</v>
      </c>
      <c r="I10" s="504">
        <f>C10*Start.listina!$U$7</f>
        <v>8</v>
      </c>
    </row>
    <row r="11" spans="2:16" ht="13.5">
      <c r="B11" s="501">
        <v>18</v>
      </c>
      <c r="C11" s="502">
        <v>4</v>
      </c>
      <c r="D11" s="502">
        <v>5</v>
      </c>
      <c r="E11" s="502">
        <v>2</v>
      </c>
      <c r="F11" s="503">
        <f t="shared" si="0"/>
        <v>2</v>
      </c>
      <c r="G11" s="503">
        <f t="shared" si="1"/>
        <v>18</v>
      </c>
      <c r="H11" s="503">
        <f t="shared" si="2"/>
        <v>8</v>
      </c>
      <c r="I11" s="504">
        <f>C11*Start.listina!$U$7</f>
        <v>8</v>
      </c>
    </row>
    <row r="12" spans="2:16" ht="13.5">
      <c r="B12" s="501">
        <v>19</v>
      </c>
      <c r="C12" s="502">
        <v>4</v>
      </c>
      <c r="D12" s="502">
        <v>5</v>
      </c>
      <c r="E12" s="502">
        <v>3</v>
      </c>
      <c r="F12" s="503">
        <f t="shared" si="0"/>
        <v>1</v>
      </c>
      <c r="G12" s="503">
        <f t="shared" si="1"/>
        <v>19</v>
      </c>
      <c r="H12" s="503">
        <f t="shared" si="2"/>
        <v>8</v>
      </c>
      <c r="I12" s="504">
        <f>C12*Start.listina!$U$7</f>
        <v>8</v>
      </c>
    </row>
    <row r="13" spans="2:16" ht="13.5">
      <c r="B13" s="501">
        <v>20</v>
      </c>
      <c r="C13" s="502">
        <v>4</v>
      </c>
      <c r="D13" s="502">
        <v>5</v>
      </c>
      <c r="E13" s="502">
        <v>4</v>
      </c>
      <c r="F13" s="503">
        <f t="shared" si="0"/>
        <v>0</v>
      </c>
      <c r="G13" s="503">
        <f t="shared" si="1"/>
        <v>20</v>
      </c>
      <c r="H13" s="503">
        <f t="shared" si="2"/>
        <v>8</v>
      </c>
      <c r="I13" s="504">
        <f>C13*Start.listina!$U$7</f>
        <v>8</v>
      </c>
    </row>
    <row r="14" spans="2:16" ht="13.5">
      <c r="B14" s="501">
        <v>21</v>
      </c>
      <c r="C14" s="502">
        <v>4</v>
      </c>
      <c r="D14" s="502">
        <v>6</v>
      </c>
      <c r="E14" s="502">
        <v>1</v>
      </c>
      <c r="F14" s="503">
        <f t="shared" si="0"/>
        <v>3</v>
      </c>
      <c r="G14" s="503">
        <f t="shared" si="1"/>
        <v>21</v>
      </c>
      <c r="H14" s="503">
        <f t="shared" si="2"/>
        <v>9</v>
      </c>
      <c r="I14" s="504">
        <f>C14*Start.listina!$U$7</f>
        <v>8</v>
      </c>
    </row>
    <row r="15" spans="2:16" ht="13.5">
      <c r="B15" s="501">
        <v>22</v>
      </c>
      <c r="C15" s="502">
        <v>4</v>
      </c>
      <c r="D15" s="502">
        <v>6</v>
      </c>
      <c r="E15" s="502">
        <v>2</v>
      </c>
      <c r="F15" s="503">
        <f t="shared" si="0"/>
        <v>2</v>
      </c>
      <c r="G15" s="503">
        <f t="shared" si="1"/>
        <v>22</v>
      </c>
      <c r="H15" s="503">
        <f t="shared" si="2"/>
        <v>10</v>
      </c>
      <c r="I15" s="504">
        <f>C15*Start.listina!$U$7</f>
        <v>8</v>
      </c>
    </row>
    <row r="16" spans="2:16" ht="13.5">
      <c r="B16" s="501">
        <v>23</v>
      </c>
      <c r="C16" s="502">
        <v>4</v>
      </c>
      <c r="D16" s="502">
        <v>6</v>
      </c>
      <c r="E16" s="502">
        <v>3</v>
      </c>
      <c r="F16" s="503">
        <f t="shared" si="0"/>
        <v>1</v>
      </c>
      <c r="G16" s="503">
        <f t="shared" si="1"/>
        <v>23</v>
      </c>
      <c r="H16" s="503">
        <f t="shared" si="2"/>
        <v>11</v>
      </c>
      <c r="I16" s="504">
        <f>C16*Start.listina!$U$7</f>
        <v>8</v>
      </c>
    </row>
    <row r="17" spans="2:9" ht="13.5">
      <c r="B17" s="501">
        <v>24</v>
      </c>
      <c r="C17" s="502">
        <v>8</v>
      </c>
      <c r="D17" s="502">
        <v>3</v>
      </c>
      <c r="E17" s="502">
        <v>8</v>
      </c>
      <c r="F17" s="503">
        <f t="shared" si="0"/>
        <v>0</v>
      </c>
      <c r="G17" s="503">
        <f t="shared" si="1"/>
        <v>24</v>
      </c>
      <c r="H17" s="503">
        <f t="shared" si="2"/>
        <v>8</v>
      </c>
      <c r="I17" s="504">
        <f>C17*Start.listina!$U$7</f>
        <v>16</v>
      </c>
    </row>
    <row r="18" spans="2:9" ht="13.5">
      <c r="B18" s="501">
        <v>25</v>
      </c>
      <c r="C18" s="502">
        <v>8</v>
      </c>
      <c r="D18" s="502">
        <v>4</v>
      </c>
      <c r="E18" s="502">
        <v>1</v>
      </c>
      <c r="F18" s="503">
        <f t="shared" si="0"/>
        <v>7</v>
      </c>
      <c r="G18" s="503">
        <f t="shared" si="1"/>
        <v>25</v>
      </c>
      <c r="H18" s="503">
        <f t="shared" si="2"/>
        <v>9</v>
      </c>
      <c r="I18" s="504">
        <f>C18*Start.listina!$U$7</f>
        <v>16</v>
      </c>
    </row>
    <row r="19" spans="2:9" ht="13.5">
      <c r="B19" s="501">
        <v>26</v>
      </c>
      <c r="C19" s="502">
        <v>8</v>
      </c>
      <c r="D19" s="502">
        <v>4</v>
      </c>
      <c r="E19" s="502">
        <v>2</v>
      </c>
      <c r="F19" s="503">
        <f t="shared" si="0"/>
        <v>6</v>
      </c>
      <c r="G19" s="503">
        <f t="shared" si="1"/>
        <v>26</v>
      </c>
      <c r="H19" s="503">
        <f t="shared" si="2"/>
        <v>10</v>
      </c>
      <c r="I19" s="504">
        <f>C19*Start.listina!$U$7</f>
        <v>16</v>
      </c>
    </row>
    <row r="20" spans="2:9" ht="13.5">
      <c r="B20" s="501">
        <v>27</v>
      </c>
      <c r="C20" s="502">
        <v>8</v>
      </c>
      <c r="D20" s="502">
        <v>4</v>
      </c>
      <c r="E20" s="502">
        <v>3</v>
      </c>
      <c r="F20" s="503">
        <f t="shared" si="0"/>
        <v>5</v>
      </c>
      <c r="G20" s="503">
        <f t="shared" si="1"/>
        <v>27</v>
      </c>
      <c r="H20" s="503">
        <f t="shared" si="2"/>
        <v>11</v>
      </c>
      <c r="I20" s="504">
        <f>C20*Start.listina!$U$7</f>
        <v>16</v>
      </c>
    </row>
    <row r="21" spans="2:9" ht="13.5">
      <c r="B21" s="501">
        <v>28</v>
      </c>
      <c r="C21" s="502">
        <v>8</v>
      </c>
      <c r="D21" s="502">
        <v>4</v>
      </c>
      <c r="E21" s="502">
        <v>4</v>
      </c>
      <c r="F21" s="503">
        <f t="shared" si="0"/>
        <v>4</v>
      </c>
      <c r="G21" s="503">
        <f t="shared" si="1"/>
        <v>28</v>
      </c>
      <c r="H21" s="503">
        <f t="shared" si="2"/>
        <v>12</v>
      </c>
      <c r="I21" s="504">
        <f>C21*Start.listina!$U$7</f>
        <v>16</v>
      </c>
    </row>
    <row r="22" spans="2:9" ht="13.5">
      <c r="B22" s="501">
        <v>29</v>
      </c>
      <c r="C22" s="502">
        <v>8</v>
      </c>
      <c r="D22" s="502">
        <v>4</v>
      </c>
      <c r="E22" s="502">
        <v>5</v>
      </c>
      <c r="F22" s="503">
        <f t="shared" si="0"/>
        <v>3</v>
      </c>
      <c r="G22" s="503">
        <f t="shared" si="1"/>
        <v>29</v>
      </c>
      <c r="H22" s="503">
        <f t="shared" si="2"/>
        <v>13</v>
      </c>
      <c r="I22" s="504">
        <f>C22*Start.listina!$U$7</f>
        <v>16</v>
      </c>
    </row>
    <row r="23" spans="2:9" ht="13.5">
      <c r="B23" s="501">
        <v>30</v>
      </c>
      <c r="C23" s="502">
        <v>8</v>
      </c>
      <c r="D23" s="502">
        <v>4</v>
      </c>
      <c r="E23" s="502">
        <v>6</v>
      </c>
      <c r="F23" s="503">
        <f t="shared" si="0"/>
        <v>2</v>
      </c>
      <c r="G23" s="503">
        <f t="shared" si="1"/>
        <v>30</v>
      </c>
      <c r="H23" s="503">
        <f t="shared" si="2"/>
        <v>14</v>
      </c>
      <c r="I23" s="504">
        <f>C23*Start.listina!$U$7</f>
        <v>16</v>
      </c>
    </row>
    <row r="24" spans="2:9" ht="13.5">
      <c r="B24" s="501">
        <v>31</v>
      </c>
      <c r="C24" s="502">
        <v>8</v>
      </c>
      <c r="D24" s="502">
        <v>4</v>
      </c>
      <c r="E24" s="502">
        <v>7</v>
      </c>
      <c r="F24" s="503">
        <f t="shared" si="0"/>
        <v>1</v>
      </c>
      <c r="G24" s="503">
        <f t="shared" si="1"/>
        <v>31</v>
      </c>
      <c r="H24" s="503">
        <f t="shared" si="2"/>
        <v>15</v>
      </c>
      <c r="I24" s="504">
        <f>C24*Start.listina!$U$7</f>
        <v>16</v>
      </c>
    </row>
    <row r="25" spans="2:9" ht="13.5">
      <c r="B25" s="501">
        <v>32</v>
      </c>
      <c r="C25" s="502">
        <v>8</v>
      </c>
      <c r="D25" s="502">
        <v>4</v>
      </c>
      <c r="E25" s="502">
        <v>8</v>
      </c>
      <c r="F25" s="503">
        <f t="shared" si="0"/>
        <v>0</v>
      </c>
      <c r="G25" s="503">
        <f t="shared" si="1"/>
        <v>32</v>
      </c>
      <c r="H25" s="503">
        <f t="shared" si="2"/>
        <v>16</v>
      </c>
      <c r="I25" s="504">
        <f>C25*Start.listina!$U$7</f>
        <v>16</v>
      </c>
    </row>
    <row r="26" spans="2:9" ht="13.5">
      <c r="B26" s="501">
        <v>33</v>
      </c>
      <c r="C26" s="502">
        <v>8</v>
      </c>
      <c r="D26" s="502">
        <v>5</v>
      </c>
      <c r="E26" s="502">
        <v>1</v>
      </c>
      <c r="F26" s="503">
        <f t="shared" si="0"/>
        <v>7</v>
      </c>
      <c r="G26" s="503">
        <f t="shared" si="1"/>
        <v>33</v>
      </c>
      <c r="H26" s="503">
        <f t="shared" si="2"/>
        <v>16</v>
      </c>
      <c r="I26" s="504">
        <f>C26*Start.listina!$U$7</f>
        <v>16</v>
      </c>
    </row>
    <row r="27" spans="2:9" ht="13.5">
      <c r="B27" s="501">
        <v>34</v>
      </c>
      <c r="C27" s="502">
        <v>8</v>
      </c>
      <c r="D27" s="502">
        <v>5</v>
      </c>
      <c r="E27" s="502">
        <v>2</v>
      </c>
      <c r="F27" s="503">
        <f t="shared" si="0"/>
        <v>6</v>
      </c>
      <c r="G27" s="503">
        <f t="shared" si="1"/>
        <v>34</v>
      </c>
      <c r="H27" s="503">
        <f t="shared" si="2"/>
        <v>16</v>
      </c>
      <c r="I27" s="504">
        <f>C27*Start.listina!$U$7</f>
        <v>16</v>
      </c>
    </row>
    <row r="28" spans="2:9" ht="13.5">
      <c r="B28" s="501">
        <v>35</v>
      </c>
      <c r="C28" s="502">
        <v>8</v>
      </c>
      <c r="D28" s="502">
        <v>5</v>
      </c>
      <c r="E28" s="502">
        <v>3</v>
      </c>
      <c r="F28" s="503">
        <f t="shared" si="0"/>
        <v>5</v>
      </c>
      <c r="G28" s="503">
        <f t="shared" si="1"/>
        <v>35</v>
      </c>
      <c r="H28" s="503">
        <f t="shared" si="2"/>
        <v>16</v>
      </c>
      <c r="I28" s="504">
        <f>C28*Start.listina!$U$7</f>
        <v>16</v>
      </c>
    </row>
    <row r="29" spans="2:9" ht="13.5">
      <c r="B29" s="501">
        <v>36</v>
      </c>
      <c r="C29" s="502">
        <v>8</v>
      </c>
      <c r="D29" s="502">
        <v>5</v>
      </c>
      <c r="E29" s="502">
        <v>4</v>
      </c>
      <c r="F29" s="503">
        <f t="shared" si="0"/>
        <v>4</v>
      </c>
      <c r="G29" s="503">
        <f t="shared" si="1"/>
        <v>36</v>
      </c>
      <c r="H29" s="503">
        <f t="shared" si="2"/>
        <v>16</v>
      </c>
      <c r="I29" s="504">
        <f>C29*Start.listina!$U$7</f>
        <v>16</v>
      </c>
    </row>
    <row r="30" spans="2:9" ht="13.5">
      <c r="B30" s="501">
        <v>37</v>
      </c>
      <c r="C30" s="502">
        <v>8</v>
      </c>
      <c r="D30" s="502">
        <v>5</v>
      </c>
      <c r="E30" s="502">
        <v>5</v>
      </c>
      <c r="F30" s="503">
        <f t="shared" si="0"/>
        <v>3</v>
      </c>
      <c r="G30" s="503">
        <f t="shared" si="1"/>
        <v>37</v>
      </c>
      <c r="H30" s="503">
        <f t="shared" si="2"/>
        <v>16</v>
      </c>
      <c r="I30" s="504">
        <f>C30*Start.listina!$U$7</f>
        <v>16</v>
      </c>
    </row>
    <row r="31" spans="2:9" ht="13.5">
      <c r="B31" s="501">
        <v>38</v>
      </c>
      <c r="C31" s="502">
        <v>8</v>
      </c>
      <c r="D31" s="502">
        <v>5</v>
      </c>
      <c r="E31" s="502">
        <v>6</v>
      </c>
      <c r="F31" s="503">
        <f t="shared" si="0"/>
        <v>2</v>
      </c>
      <c r="G31" s="503">
        <f t="shared" si="1"/>
        <v>38</v>
      </c>
      <c r="H31" s="503">
        <f t="shared" si="2"/>
        <v>16</v>
      </c>
      <c r="I31" s="504">
        <f>C31*Start.listina!$U$7</f>
        <v>16</v>
      </c>
    </row>
    <row r="32" spans="2:9" ht="13.5">
      <c r="B32" s="501">
        <v>39</v>
      </c>
      <c r="C32" s="502">
        <v>8</v>
      </c>
      <c r="D32" s="502">
        <v>5</v>
      </c>
      <c r="E32" s="502">
        <v>7</v>
      </c>
      <c r="F32" s="503">
        <f t="shared" si="0"/>
        <v>1</v>
      </c>
      <c r="G32" s="503">
        <f t="shared" si="1"/>
        <v>39</v>
      </c>
      <c r="H32" s="503">
        <f t="shared" si="2"/>
        <v>16</v>
      </c>
      <c r="I32" s="504">
        <f>C32*Start.listina!$U$7</f>
        <v>16</v>
      </c>
    </row>
    <row r="33" spans="2:9" ht="13.5">
      <c r="B33" s="501">
        <v>40</v>
      </c>
      <c r="C33" s="502">
        <v>8</v>
      </c>
      <c r="D33" s="502">
        <v>5</v>
      </c>
      <c r="E33" s="502">
        <v>8</v>
      </c>
      <c r="F33" s="503">
        <f t="shared" si="0"/>
        <v>0</v>
      </c>
      <c r="G33" s="503">
        <f t="shared" si="1"/>
        <v>40</v>
      </c>
      <c r="H33" s="503">
        <f t="shared" si="2"/>
        <v>16</v>
      </c>
      <c r="I33" s="504">
        <f>C33*Start.listina!$U$7</f>
        <v>16</v>
      </c>
    </row>
    <row r="34" spans="2:9" ht="13.5">
      <c r="B34" s="501">
        <v>41</v>
      </c>
      <c r="C34" s="502">
        <v>8</v>
      </c>
      <c r="D34" s="502">
        <v>6</v>
      </c>
      <c r="E34" s="502">
        <v>1</v>
      </c>
      <c r="F34" s="503">
        <f t="shared" si="0"/>
        <v>7</v>
      </c>
      <c r="G34" s="503">
        <f t="shared" si="1"/>
        <v>41</v>
      </c>
      <c r="H34" s="503">
        <f t="shared" si="2"/>
        <v>17</v>
      </c>
      <c r="I34" s="504">
        <f>C34*Start.listina!$U$7</f>
        <v>16</v>
      </c>
    </row>
    <row r="35" spans="2:9" ht="13.5">
      <c r="B35" s="501">
        <v>42</v>
      </c>
      <c r="C35" s="502">
        <v>8</v>
      </c>
      <c r="D35" s="502">
        <v>6</v>
      </c>
      <c r="E35" s="502">
        <v>2</v>
      </c>
      <c r="F35" s="503">
        <f t="shared" si="0"/>
        <v>6</v>
      </c>
      <c r="G35" s="503">
        <f t="shared" si="1"/>
        <v>42</v>
      </c>
      <c r="H35" s="503">
        <f t="shared" si="2"/>
        <v>18</v>
      </c>
      <c r="I35" s="504">
        <f>C35*Start.listina!$U$7</f>
        <v>16</v>
      </c>
    </row>
    <row r="36" spans="2:9" ht="13.5">
      <c r="B36" s="501">
        <v>43</v>
      </c>
      <c r="C36" s="502">
        <v>8</v>
      </c>
      <c r="D36" s="502">
        <v>6</v>
      </c>
      <c r="E36" s="502">
        <v>3</v>
      </c>
      <c r="F36" s="503">
        <f t="shared" si="0"/>
        <v>5</v>
      </c>
      <c r="G36" s="503">
        <f t="shared" si="1"/>
        <v>43</v>
      </c>
      <c r="H36" s="503">
        <f t="shared" si="2"/>
        <v>19</v>
      </c>
      <c r="I36" s="504">
        <f>C36*Start.listina!$U$7</f>
        <v>16</v>
      </c>
    </row>
    <row r="37" spans="2:9" ht="13.5">
      <c r="B37" s="501">
        <v>44</v>
      </c>
      <c r="C37" s="502">
        <v>8</v>
      </c>
      <c r="D37" s="502">
        <v>6</v>
      </c>
      <c r="E37" s="502">
        <v>4</v>
      </c>
      <c r="F37" s="503">
        <f t="shared" ref="F37:F68" si="3">C37-E37</f>
        <v>4</v>
      </c>
      <c r="G37" s="503">
        <f t="shared" ref="G37:G68" si="4">E37*D37+F37*(D37-1)</f>
        <v>44</v>
      </c>
      <c r="H37" s="503">
        <f t="shared" ref="H37:H68" si="5">INT(D37/2)*E37+INT((D37-1)/2)*F37</f>
        <v>20</v>
      </c>
      <c r="I37" s="504">
        <f>C37*Start.listina!$U$7</f>
        <v>16</v>
      </c>
    </row>
    <row r="38" spans="2:9" ht="13.5">
      <c r="B38" s="501">
        <v>45</v>
      </c>
      <c r="C38" s="502">
        <v>8</v>
      </c>
      <c r="D38" s="502">
        <v>6</v>
      </c>
      <c r="E38" s="502">
        <v>5</v>
      </c>
      <c r="F38" s="503">
        <f t="shared" si="3"/>
        <v>3</v>
      </c>
      <c r="G38" s="503">
        <f t="shared" si="4"/>
        <v>45</v>
      </c>
      <c r="H38" s="503">
        <f t="shared" si="5"/>
        <v>21</v>
      </c>
      <c r="I38" s="504">
        <f>C38*Start.listina!$U$7</f>
        <v>16</v>
      </c>
    </row>
    <row r="39" spans="2:9" ht="13.5">
      <c r="B39" s="501">
        <v>46</v>
      </c>
      <c r="C39" s="502">
        <v>8</v>
      </c>
      <c r="D39" s="502">
        <v>6</v>
      </c>
      <c r="E39" s="502">
        <v>6</v>
      </c>
      <c r="F39" s="503">
        <f t="shared" si="3"/>
        <v>2</v>
      </c>
      <c r="G39" s="503">
        <f t="shared" si="4"/>
        <v>46</v>
      </c>
      <c r="H39" s="503">
        <f t="shared" si="5"/>
        <v>22</v>
      </c>
      <c r="I39" s="504">
        <f>C39*Start.listina!$U$7</f>
        <v>16</v>
      </c>
    </row>
    <row r="40" spans="2:9" ht="13.5">
      <c r="B40" s="501">
        <v>47</v>
      </c>
      <c r="C40" s="502">
        <v>8</v>
      </c>
      <c r="D40" s="502">
        <v>6</v>
      </c>
      <c r="E40" s="502">
        <v>7</v>
      </c>
      <c r="F40" s="503">
        <f t="shared" si="3"/>
        <v>1</v>
      </c>
      <c r="G40" s="503">
        <f t="shared" si="4"/>
        <v>47</v>
      </c>
      <c r="H40" s="503">
        <f t="shared" si="5"/>
        <v>23</v>
      </c>
      <c r="I40" s="504">
        <f>C40*Start.listina!$U$7</f>
        <v>16</v>
      </c>
    </row>
    <row r="41" spans="2:9" ht="13.5">
      <c r="B41" s="501">
        <v>48</v>
      </c>
      <c r="C41" s="502">
        <v>16</v>
      </c>
      <c r="D41" s="502">
        <v>3</v>
      </c>
      <c r="E41" s="502">
        <v>16</v>
      </c>
      <c r="F41" s="503">
        <f t="shared" si="3"/>
        <v>0</v>
      </c>
      <c r="G41" s="503">
        <f t="shared" si="4"/>
        <v>48</v>
      </c>
      <c r="H41" s="503">
        <f t="shared" si="5"/>
        <v>16</v>
      </c>
      <c r="I41" s="504">
        <f>C41*Start.listina!$U$7</f>
        <v>32</v>
      </c>
    </row>
    <row r="42" spans="2:9" ht="13.5">
      <c r="B42" s="501">
        <v>49</v>
      </c>
      <c r="C42" s="502">
        <v>16</v>
      </c>
      <c r="D42" s="502">
        <v>4</v>
      </c>
      <c r="E42" s="502">
        <v>1</v>
      </c>
      <c r="F42" s="503">
        <f t="shared" si="3"/>
        <v>15</v>
      </c>
      <c r="G42" s="503">
        <f t="shared" si="4"/>
        <v>49</v>
      </c>
      <c r="H42" s="503">
        <f t="shared" si="5"/>
        <v>17</v>
      </c>
      <c r="I42" s="504">
        <f>C42*Start.listina!$U$7</f>
        <v>32</v>
      </c>
    </row>
    <row r="43" spans="2:9" ht="13.5">
      <c r="B43" s="501">
        <v>50</v>
      </c>
      <c r="C43" s="502">
        <v>16</v>
      </c>
      <c r="D43" s="502">
        <v>4</v>
      </c>
      <c r="E43" s="502">
        <v>2</v>
      </c>
      <c r="F43" s="503">
        <f t="shared" si="3"/>
        <v>14</v>
      </c>
      <c r="G43" s="503">
        <f t="shared" si="4"/>
        <v>50</v>
      </c>
      <c r="H43" s="503">
        <f t="shared" si="5"/>
        <v>18</v>
      </c>
      <c r="I43" s="504">
        <f>C43*Start.listina!$U$7</f>
        <v>32</v>
      </c>
    </row>
    <row r="44" spans="2:9" ht="13.5">
      <c r="B44" s="501">
        <v>51</v>
      </c>
      <c r="C44" s="502">
        <v>16</v>
      </c>
      <c r="D44" s="502">
        <v>4</v>
      </c>
      <c r="E44" s="502">
        <v>3</v>
      </c>
      <c r="F44" s="503">
        <f t="shared" si="3"/>
        <v>13</v>
      </c>
      <c r="G44" s="503">
        <f t="shared" si="4"/>
        <v>51</v>
      </c>
      <c r="H44" s="503">
        <f t="shared" si="5"/>
        <v>19</v>
      </c>
      <c r="I44" s="504">
        <f>C44*Start.listina!$U$7</f>
        <v>32</v>
      </c>
    </row>
    <row r="45" spans="2:9" ht="13.5">
      <c r="B45" s="501">
        <v>52</v>
      </c>
      <c r="C45" s="502">
        <v>16</v>
      </c>
      <c r="D45" s="502">
        <v>4</v>
      </c>
      <c r="E45" s="502">
        <v>4</v>
      </c>
      <c r="F45" s="503">
        <f t="shared" si="3"/>
        <v>12</v>
      </c>
      <c r="G45" s="503">
        <f t="shared" si="4"/>
        <v>52</v>
      </c>
      <c r="H45" s="503">
        <f t="shared" si="5"/>
        <v>20</v>
      </c>
      <c r="I45" s="504">
        <f>C45*Start.listina!$U$7</f>
        <v>32</v>
      </c>
    </row>
    <row r="46" spans="2:9" ht="13.5">
      <c r="B46" s="501">
        <v>53</v>
      </c>
      <c r="C46" s="502">
        <v>16</v>
      </c>
      <c r="D46" s="502">
        <v>4</v>
      </c>
      <c r="E46" s="502">
        <v>5</v>
      </c>
      <c r="F46" s="503">
        <f t="shared" si="3"/>
        <v>11</v>
      </c>
      <c r="G46" s="503">
        <f t="shared" si="4"/>
        <v>53</v>
      </c>
      <c r="H46" s="503">
        <f t="shared" si="5"/>
        <v>21</v>
      </c>
      <c r="I46" s="504">
        <f>C46*Start.listina!$U$7</f>
        <v>32</v>
      </c>
    </row>
    <row r="47" spans="2:9" ht="13.5">
      <c r="B47" s="501">
        <v>54</v>
      </c>
      <c r="C47" s="502">
        <v>16</v>
      </c>
      <c r="D47" s="502">
        <v>4</v>
      </c>
      <c r="E47" s="502">
        <v>6</v>
      </c>
      <c r="F47" s="503">
        <f t="shared" si="3"/>
        <v>10</v>
      </c>
      <c r="G47" s="503">
        <f t="shared" si="4"/>
        <v>54</v>
      </c>
      <c r="H47" s="503">
        <f t="shared" si="5"/>
        <v>22</v>
      </c>
      <c r="I47" s="504">
        <f>C47*Start.listina!$U$7</f>
        <v>32</v>
      </c>
    </row>
    <row r="48" spans="2:9" ht="13.5">
      <c r="B48" s="501">
        <v>55</v>
      </c>
      <c r="C48" s="502">
        <v>16</v>
      </c>
      <c r="D48" s="502">
        <v>4</v>
      </c>
      <c r="E48" s="502">
        <v>7</v>
      </c>
      <c r="F48" s="503">
        <f t="shared" si="3"/>
        <v>9</v>
      </c>
      <c r="G48" s="503">
        <f t="shared" si="4"/>
        <v>55</v>
      </c>
      <c r="H48" s="503">
        <f t="shared" si="5"/>
        <v>23</v>
      </c>
      <c r="I48" s="504">
        <f>C48*Start.listina!$U$7</f>
        <v>32</v>
      </c>
    </row>
    <row r="49" spans="2:9" ht="13.5">
      <c r="B49" s="501">
        <v>56</v>
      </c>
      <c r="C49" s="502">
        <v>16</v>
      </c>
      <c r="D49" s="502">
        <v>4</v>
      </c>
      <c r="E49" s="502">
        <v>8</v>
      </c>
      <c r="F49" s="503">
        <f t="shared" si="3"/>
        <v>8</v>
      </c>
      <c r="G49" s="503">
        <f t="shared" si="4"/>
        <v>56</v>
      </c>
      <c r="H49" s="503">
        <f t="shared" si="5"/>
        <v>24</v>
      </c>
      <c r="I49" s="504">
        <f>C49*Start.listina!$U$7</f>
        <v>32</v>
      </c>
    </row>
    <row r="50" spans="2:9" ht="13.5">
      <c r="B50" s="501">
        <v>57</v>
      </c>
      <c r="C50" s="502">
        <v>16</v>
      </c>
      <c r="D50" s="502">
        <v>4</v>
      </c>
      <c r="E50" s="502">
        <v>9</v>
      </c>
      <c r="F50" s="503">
        <f t="shared" si="3"/>
        <v>7</v>
      </c>
      <c r="G50" s="503">
        <f t="shared" si="4"/>
        <v>57</v>
      </c>
      <c r="H50" s="503">
        <f t="shared" si="5"/>
        <v>25</v>
      </c>
      <c r="I50" s="504">
        <f>C50*Start.listina!$U$7</f>
        <v>32</v>
      </c>
    </row>
    <row r="51" spans="2:9" ht="13.5">
      <c r="B51" s="501">
        <v>58</v>
      </c>
      <c r="C51" s="502">
        <v>16</v>
      </c>
      <c r="D51" s="502">
        <v>4</v>
      </c>
      <c r="E51" s="502">
        <v>10</v>
      </c>
      <c r="F51" s="503">
        <f t="shared" si="3"/>
        <v>6</v>
      </c>
      <c r="G51" s="503">
        <f t="shared" si="4"/>
        <v>58</v>
      </c>
      <c r="H51" s="503">
        <f t="shared" si="5"/>
        <v>26</v>
      </c>
      <c r="I51" s="504">
        <f>C51*Start.listina!$U$7</f>
        <v>32</v>
      </c>
    </row>
    <row r="52" spans="2:9" ht="13.5">
      <c r="B52" s="501">
        <v>59</v>
      </c>
      <c r="C52" s="502">
        <v>16</v>
      </c>
      <c r="D52" s="502">
        <v>4</v>
      </c>
      <c r="E52" s="502">
        <v>11</v>
      </c>
      <c r="F52" s="503">
        <f t="shared" si="3"/>
        <v>5</v>
      </c>
      <c r="G52" s="503">
        <f t="shared" si="4"/>
        <v>59</v>
      </c>
      <c r="H52" s="503">
        <f t="shared" si="5"/>
        <v>27</v>
      </c>
      <c r="I52" s="504">
        <f>C52*Start.listina!$U$7</f>
        <v>32</v>
      </c>
    </row>
    <row r="53" spans="2:9" ht="13.5">
      <c r="B53" s="501">
        <v>60</v>
      </c>
      <c r="C53" s="502">
        <v>16</v>
      </c>
      <c r="D53" s="502">
        <v>4</v>
      </c>
      <c r="E53" s="502">
        <v>12</v>
      </c>
      <c r="F53" s="503">
        <f t="shared" si="3"/>
        <v>4</v>
      </c>
      <c r="G53" s="503">
        <f t="shared" si="4"/>
        <v>60</v>
      </c>
      <c r="H53" s="503">
        <f t="shared" si="5"/>
        <v>28</v>
      </c>
      <c r="I53" s="504">
        <f>C53*Start.listina!$U$7</f>
        <v>32</v>
      </c>
    </row>
    <row r="54" spans="2:9" ht="13.5">
      <c r="B54" s="501">
        <v>61</v>
      </c>
      <c r="C54" s="502">
        <v>16</v>
      </c>
      <c r="D54" s="502">
        <v>4</v>
      </c>
      <c r="E54" s="502">
        <v>13</v>
      </c>
      <c r="F54" s="503">
        <f t="shared" si="3"/>
        <v>3</v>
      </c>
      <c r="G54" s="503">
        <f t="shared" si="4"/>
        <v>61</v>
      </c>
      <c r="H54" s="503">
        <f t="shared" si="5"/>
        <v>29</v>
      </c>
      <c r="I54" s="504">
        <f>C54*Start.listina!$U$7</f>
        <v>32</v>
      </c>
    </row>
    <row r="55" spans="2:9" ht="13.5">
      <c r="B55" s="501">
        <v>62</v>
      </c>
      <c r="C55" s="502">
        <v>16</v>
      </c>
      <c r="D55" s="502">
        <v>4</v>
      </c>
      <c r="E55" s="502">
        <v>14</v>
      </c>
      <c r="F55" s="503">
        <f t="shared" si="3"/>
        <v>2</v>
      </c>
      <c r="G55" s="503">
        <f t="shared" si="4"/>
        <v>62</v>
      </c>
      <c r="H55" s="503">
        <f t="shared" si="5"/>
        <v>30</v>
      </c>
      <c r="I55" s="504">
        <f>C55*Start.listina!$U$7</f>
        <v>32</v>
      </c>
    </row>
    <row r="56" spans="2:9" ht="13.5">
      <c r="B56" s="501">
        <v>63</v>
      </c>
      <c r="C56" s="502">
        <v>16</v>
      </c>
      <c r="D56" s="502">
        <v>4</v>
      </c>
      <c r="E56" s="502">
        <v>15</v>
      </c>
      <c r="F56" s="503">
        <f t="shared" si="3"/>
        <v>1</v>
      </c>
      <c r="G56" s="503">
        <f t="shared" si="4"/>
        <v>63</v>
      </c>
      <c r="H56" s="503">
        <f t="shared" si="5"/>
        <v>31</v>
      </c>
      <c r="I56" s="504">
        <f>C56*Start.listina!$U$7</f>
        <v>32</v>
      </c>
    </row>
    <row r="57" spans="2:9" ht="13.5">
      <c r="B57" s="501">
        <v>64</v>
      </c>
      <c r="C57" s="502">
        <v>16</v>
      </c>
      <c r="D57" s="502">
        <v>4</v>
      </c>
      <c r="E57" s="502">
        <v>16</v>
      </c>
      <c r="F57" s="503">
        <f t="shared" si="3"/>
        <v>0</v>
      </c>
      <c r="G57" s="503">
        <f t="shared" si="4"/>
        <v>64</v>
      </c>
      <c r="H57" s="503">
        <f t="shared" si="5"/>
        <v>32</v>
      </c>
      <c r="I57" s="504">
        <f>C57*Start.listina!$U$7</f>
        <v>32</v>
      </c>
    </row>
    <row r="58" spans="2:9" ht="13.5">
      <c r="B58" s="501">
        <v>65</v>
      </c>
      <c r="C58" s="502">
        <v>16</v>
      </c>
      <c r="D58" s="502">
        <v>5</v>
      </c>
      <c r="E58" s="502">
        <v>1</v>
      </c>
      <c r="F58" s="503">
        <f t="shared" si="3"/>
        <v>15</v>
      </c>
      <c r="G58" s="503">
        <f t="shared" si="4"/>
        <v>65</v>
      </c>
      <c r="H58" s="503">
        <f t="shared" si="5"/>
        <v>32</v>
      </c>
      <c r="I58" s="504">
        <f>C58*Start.listina!$U$7</f>
        <v>32</v>
      </c>
    </row>
    <row r="59" spans="2:9" ht="13.5">
      <c r="B59" s="501">
        <v>66</v>
      </c>
      <c r="C59" s="502">
        <v>16</v>
      </c>
      <c r="D59" s="502">
        <v>5</v>
      </c>
      <c r="E59" s="502">
        <v>2</v>
      </c>
      <c r="F59" s="503">
        <f t="shared" si="3"/>
        <v>14</v>
      </c>
      <c r="G59" s="503">
        <f t="shared" si="4"/>
        <v>66</v>
      </c>
      <c r="H59" s="503">
        <f t="shared" si="5"/>
        <v>32</v>
      </c>
      <c r="I59" s="504">
        <f>C59*Start.listina!$U$7</f>
        <v>32</v>
      </c>
    </row>
    <row r="60" spans="2:9" ht="13.5">
      <c r="B60" s="501">
        <v>67</v>
      </c>
      <c r="C60" s="502">
        <v>16</v>
      </c>
      <c r="D60" s="502">
        <v>5</v>
      </c>
      <c r="E60" s="502">
        <v>3</v>
      </c>
      <c r="F60" s="503">
        <f t="shared" si="3"/>
        <v>13</v>
      </c>
      <c r="G60" s="503">
        <f t="shared" si="4"/>
        <v>67</v>
      </c>
      <c r="H60" s="503">
        <f t="shared" si="5"/>
        <v>32</v>
      </c>
      <c r="I60" s="504">
        <f>C60*Start.listina!$U$7</f>
        <v>32</v>
      </c>
    </row>
    <row r="61" spans="2:9" ht="13.5">
      <c r="B61" s="501">
        <v>68</v>
      </c>
      <c r="C61" s="502">
        <v>16</v>
      </c>
      <c r="D61" s="502">
        <v>5</v>
      </c>
      <c r="E61" s="502">
        <v>4</v>
      </c>
      <c r="F61" s="503">
        <f t="shared" si="3"/>
        <v>12</v>
      </c>
      <c r="G61" s="503">
        <f t="shared" si="4"/>
        <v>68</v>
      </c>
      <c r="H61" s="503">
        <f t="shared" si="5"/>
        <v>32</v>
      </c>
      <c r="I61" s="504">
        <f>C61*Start.listina!$U$7</f>
        <v>32</v>
      </c>
    </row>
    <row r="62" spans="2:9" ht="13.5">
      <c r="B62" s="501">
        <v>69</v>
      </c>
      <c r="C62" s="502">
        <v>16</v>
      </c>
      <c r="D62" s="502">
        <v>5</v>
      </c>
      <c r="E62" s="502">
        <v>5</v>
      </c>
      <c r="F62" s="503">
        <f t="shared" si="3"/>
        <v>11</v>
      </c>
      <c r="G62" s="503">
        <f t="shared" si="4"/>
        <v>69</v>
      </c>
      <c r="H62" s="503">
        <f t="shared" si="5"/>
        <v>32</v>
      </c>
      <c r="I62" s="504">
        <f>C62*Start.listina!$U$7</f>
        <v>32</v>
      </c>
    </row>
    <row r="63" spans="2:9" ht="13.5">
      <c r="B63" s="501">
        <v>70</v>
      </c>
      <c r="C63" s="502">
        <v>16</v>
      </c>
      <c r="D63" s="502">
        <v>5</v>
      </c>
      <c r="E63" s="502">
        <v>6</v>
      </c>
      <c r="F63" s="503">
        <f t="shared" si="3"/>
        <v>10</v>
      </c>
      <c r="G63" s="503">
        <f t="shared" si="4"/>
        <v>70</v>
      </c>
      <c r="H63" s="503">
        <f t="shared" si="5"/>
        <v>32</v>
      </c>
      <c r="I63" s="504">
        <f>C63*Start.listina!$U$7</f>
        <v>32</v>
      </c>
    </row>
    <row r="64" spans="2:9" ht="13.5">
      <c r="B64" s="501">
        <v>71</v>
      </c>
      <c r="C64" s="502">
        <v>16</v>
      </c>
      <c r="D64" s="502">
        <v>5</v>
      </c>
      <c r="E64" s="502">
        <v>7</v>
      </c>
      <c r="F64" s="503">
        <f t="shared" si="3"/>
        <v>9</v>
      </c>
      <c r="G64" s="503">
        <f t="shared" si="4"/>
        <v>71</v>
      </c>
      <c r="H64" s="503">
        <f t="shared" si="5"/>
        <v>32</v>
      </c>
      <c r="I64" s="504">
        <f>C64*Start.listina!$U$7</f>
        <v>32</v>
      </c>
    </row>
    <row r="65" spans="2:9" ht="13.5">
      <c r="B65" s="501">
        <v>72</v>
      </c>
      <c r="C65" s="502">
        <v>16</v>
      </c>
      <c r="D65" s="502">
        <v>5</v>
      </c>
      <c r="E65" s="502">
        <v>8</v>
      </c>
      <c r="F65" s="503">
        <f t="shared" si="3"/>
        <v>8</v>
      </c>
      <c r="G65" s="503">
        <f t="shared" si="4"/>
        <v>72</v>
      </c>
      <c r="H65" s="503">
        <f t="shared" si="5"/>
        <v>32</v>
      </c>
      <c r="I65" s="504">
        <f>C65*Start.listina!$U$7</f>
        <v>32</v>
      </c>
    </row>
    <row r="66" spans="2:9" ht="13.5">
      <c r="B66" s="501">
        <v>73</v>
      </c>
      <c r="C66" s="502">
        <v>16</v>
      </c>
      <c r="D66" s="502">
        <v>5</v>
      </c>
      <c r="E66" s="502">
        <v>9</v>
      </c>
      <c r="F66" s="503">
        <f t="shared" si="3"/>
        <v>7</v>
      </c>
      <c r="G66" s="503">
        <f t="shared" si="4"/>
        <v>73</v>
      </c>
      <c r="H66" s="503">
        <f t="shared" si="5"/>
        <v>32</v>
      </c>
      <c r="I66" s="504">
        <f>C66*Start.listina!$U$7</f>
        <v>32</v>
      </c>
    </row>
    <row r="67" spans="2:9" ht="13.5">
      <c r="B67" s="501">
        <v>74</v>
      </c>
      <c r="C67" s="502">
        <v>16</v>
      </c>
      <c r="D67" s="502">
        <v>5</v>
      </c>
      <c r="E67" s="502">
        <v>10</v>
      </c>
      <c r="F67" s="503">
        <f t="shared" si="3"/>
        <v>6</v>
      </c>
      <c r="G67" s="503">
        <f t="shared" si="4"/>
        <v>74</v>
      </c>
      <c r="H67" s="503">
        <f t="shared" si="5"/>
        <v>32</v>
      </c>
      <c r="I67" s="504">
        <f>C67*Start.listina!$U$7</f>
        <v>32</v>
      </c>
    </row>
    <row r="68" spans="2:9" ht="13.5">
      <c r="B68" s="501">
        <v>75</v>
      </c>
      <c r="C68" s="502">
        <v>16</v>
      </c>
      <c r="D68" s="502">
        <v>5</v>
      </c>
      <c r="E68" s="502">
        <v>11</v>
      </c>
      <c r="F68" s="503">
        <f t="shared" si="3"/>
        <v>5</v>
      </c>
      <c r="G68" s="503">
        <f t="shared" si="4"/>
        <v>75</v>
      </c>
      <c r="H68" s="503">
        <f t="shared" si="5"/>
        <v>32</v>
      </c>
      <c r="I68" s="504">
        <f>C68*Start.listina!$U$7</f>
        <v>32</v>
      </c>
    </row>
    <row r="69" spans="2:9" ht="13.5">
      <c r="B69" s="501">
        <v>76</v>
      </c>
      <c r="C69" s="502">
        <v>16</v>
      </c>
      <c r="D69" s="502">
        <v>5</v>
      </c>
      <c r="E69" s="502">
        <v>12</v>
      </c>
      <c r="F69" s="503">
        <f t="shared" ref="F69:F100" si="6">C69-E69</f>
        <v>4</v>
      </c>
      <c r="G69" s="503">
        <f t="shared" ref="G69:G100" si="7">E69*D69+F69*(D69-1)</f>
        <v>76</v>
      </c>
      <c r="H69" s="503">
        <f t="shared" ref="H69:H100" si="8">INT(D69/2)*E69+INT((D69-1)/2)*F69</f>
        <v>32</v>
      </c>
      <c r="I69" s="504">
        <f>C69*Start.listina!$U$7</f>
        <v>32</v>
      </c>
    </row>
    <row r="70" spans="2:9" ht="13.5">
      <c r="B70" s="501">
        <v>77</v>
      </c>
      <c r="C70" s="502">
        <v>16</v>
      </c>
      <c r="D70" s="502">
        <v>5</v>
      </c>
      <c r="E70" s="502">
        <v>13</v>
      </c>
      <c r="F70" s="503">
        <f t="shared" si="6"/>
        <v>3</v>
      </c>
      <c r="G70" s="503">
        <f t="shared" si="7"/>
        <v>77</v>
      </c>
      <c r="H70" s="503">
        <f t="shared" si="8"/>
        <v>32</v>
      </c>
      <c r="I70" s="504">
        <f>C70*Start.listina!$U$7</f>
        <v>32</v>
      </c>
    </row>
    <row r="71" spans="2:9" ht="13.5">
      <c r="B71" s="501">
        <v>78</v>
      </c>
      <c r="C71" s="502">
        <v>16</v>
      </c>
      <c r="D71" s="502">
        <v>5</v>
      </c>
      <c r="E71" s="502">
        <v>14</v>
      </c>
      <c r="F71" s="503">
        <f t="shared" si="6"/>
        <v>2</v>
      </c>
      <c r="G71" s="503">
        <f t="shared" si="7"/>
        <v>78</v>
      </c>
      <c r="H71" s="503">
        <f t="shared" si="8"/>
        <v>32</v>
      </c>
      <c r="I71" s="504">
        <f>C71*Start.listina!$U$7</f>
        <v>32</v>
      </c>
    </row>
    <row r="72" spans="2:9" ht="13.5">
      <c r="B72" s="501">
        <v>79</v>
      </c>
      <c r="C72" s="502">
        <v>16</v>
      </c>
      <c r="D72" s="502">
        <v>5</v>
      </c>
      <c r="E72" s="502">
        <v>15</v>
      </c>
      <c r="F72" s="503">
        <f t="shared" si="6"/>
        <v>1</v>
      </c>
      <c r="G72" s="503">
        <f t="shared" si="7"/>
        <v>79</v>
      </c>
      <c r="H72" s="503">
        <f t="shared" si="8"/>
        <v>32</v>
      </c>
      <c r="I72" s="504">
        <f>C72*Start.listina!$U$7</f>
        <v>32</v>
      </c>
    </row>
    <row r="73" spans="2:9" ht="13.5">
      <c r="B73" s="501">
        <v>80</v>
      </c>
      <c r="C73" s="502">
        <v>16</v>
      </c>
      <c r="D73" s="502">
        <v>5</v>
      </c>
      <c r="E73" s="502">
        <v>16</v>
      </c>
      <c r="F73" s="503">
        <f t="shared" si="6"/>
        <v>0</v>
      </c>
      <c r="G73" s="503">
        <f t="shared" si="7"/>
        <v>80</v>
      </c>
      <c r="H73" s="503">
        <f t="shared" si="8"/>
        <v>32</v>
      </c>
      <c r="I73" s="504">
        <f>C73*Start.listina!$U$7</f>
        <v>32</v>
      </c>
    </row>
    <row r="74" spans="2:9" ht="13.5">
      <c r="B74" s="501">
        <v>81</v>
      </c>
      <c r="C74" s="502">
        <v>16</v>
      </c>
      <c r="D74" s="502">
        <v>6</v>
      </c>
      <c r="E74" s="502">
        <v>1</v>
      </c>
      <c r="F74" s="503">
        <f t="shared" si="6"/>
        <v>15</v>
      </c>
      <c r="G74" s="503">
        <f t="shared" si="7"/>
        <v>81</v>
      </c>
      <c r="H74" s="503">
        <f t="shared" si="8"/>
        <v>33</v>
      </c>
      <c r="I74" s="504">
        <f>C74*Start.listina!$U$7</f>
        <v>32</v>
      </c>
    </row>
    <row r="75" spans="2:9" ht="13.5">
      <c r="B75" s="501">
        <v>82</v>
      </c>
      <c r="C75" s="502">
        <v>16</v>
      </c>
      <c r="D75" s="502">
        <v>6</v>
      </c>
      <c r="E75" s="502">
        <v>2</v>
      </c>
      <c r="F75" s="503">
        <f t="shared" si="6"/>
        <v>14</v>
      </c>
      <c r="G75" s="503">
        <f t="shared" si="7"/>
        <v>82</v>
      </c>
      <c r="H75" s="503">
        <f t="shared" si="8"/>
        <v>34</v>
      </c>
      <c r="I75" s="504">
        <f>C75*Start.listina!$U$7</f>
        <v>32</v>
      </c>
    </row>
    <row r="76" spans="2:9" ht="13.5">
      <c r="B76" s="501">
        <v>83</v>
      </c>
      <c r="C76" s="502">
        <v>16</v>
      </c>
      <c r="D76" s="502">
        <v>6</v>
      </c>
      <c r="E76" s="502">
        <v>3</v>
      </c>
      <c r="F76" s="503">
        <f t="shared" si="6"/>
        <v>13</v>
      </c>
      <c r="G76" s="503">
        <f t="shared" si="7"/>
        <v>83</v>
      </c>
      <c r="H76" s="503">
        <f t="shared" si="8"/>
        <v>35</v>
      </c>
      <c r="I76" s="504">
        <f>C76*Start.listina!$U$7</f>
        <v>32</v>
      </c>
    </row>
    <row r="77" spans="2:9" ht="13.5">
      <c r="B77" s="501">
        <v>84</v>
      </c>
      <c r="C77" s="502">
        <v>16</v>
      </c>
      <c r="D77" s="502">
        <v>6</v>
      </c>
      <c r="E77" s="502">
        <v>4</v>
      </c>
      <c r="F77" s="503">
        <f t="shared" si="6"/>
        <v>12</v>
      </c>
      <c r="G77" s="503">
        <f t="shared" si="7"/>
        <v>84</v>
      </c>
      <c r="H77" s="503">
        <f t="shared" si="8"/>
        <v>36</v>
      </c>
      <c r="I77" s="504">
        <f>C77*Start.listina!$U$7</f>
        <v>32</v>
      </c>
    </row>
    <row r="78" spans="2:9" ht="13.5">
      <c r="B78" s="501">
        <v>85</v>
      </c>
      <c r="C78" s="502">
        <v>16</v>
      </c>
      <c r="D78" s="502">
        <v>6</v>
      </c>
      <c r="E78" s="502">
        <v>5</v>
      </c>
      <c r="F78" s="503">
        <f t="shared" si="6"/>
        <v>11</v>
      </c>
      <c r="G78" s="503">
        <f t="shared" si="7"/>
        <v>85</v>
      </c>
      <c r="H78" s="503">
        <f t="shared" si="8"/>
        <v>37</v>
      </c>
      <c r="I78" s="504">
        <f>C78*Start.listina!$U$7</f>
        <v>32</v>
      </c>
    </row>
    <row r="79" spans="2:9" ht="13.5">
      <c r="B79" s="501">
        <v>86</v>
      </c>
      <c r="C79" s="502">
        <v>16</v>
      </c>
      <c r="D79" s="502">
        <v>6</v>
      </c>
      <c r="E79" s="502">
        <v>6</v>
      </c>
      <c r="F79" s="503">
        <f t="shared" si="6"/>
        <v>10</v>
      </c>
      <c r="G79" s="503">
        <f t="shared" si="7"/>
        <v>86</v>
      </c>
      <c r="H79" s="503">
        <f t="shared" si="8"/>
        <v>38</v>
      </c>
      <c r="I79" s="504">
        <f>C79*Start.listina!$U$7</f>
        <v>32</v>
      </c>
    </row>
    <row r="80" spans="2:9" ht="13.5">
      <c r="B80" s="501">
        <v>87</v>
      </c>
      <c r="C80" s="502">
        <v>16</v>
      </c>
      <c r="D80" s="502">
        <v>6</v>
      </c>
      <c r="E80" s="502">
        <v>7</v>
      </c>
      <c r="F80" s="503">
        <f t="shared" si="6"/>
        <v>9</v>
      </c>
      <c r="G80" s="503">
        <f t="shared" si="7"/>
        <v>87</v>
      </c>
      <c r="H80" s="503">
        <f t="shared" si="8"/>
        <v>39</v>
      </c>
      <c r="I80" s="504">
        <f>C80*Start.listina!$U$7</f>
        <v>32</v>
      </c>
    </row>
    <row r="81" spans="2:9" ht="13.5">
      <c r="B81" s="501">
        <v>88</v>
      </c>
      <c r="C81" s="502">
        <v>16</v>
      </c>
      <c r="D81" s="502">
        <v>6</v>
      </c>
      <c r="E81" s="502">
        <v>8</v>
      </c>
      <c r="F81" s="503">
        <f t="shared" si="6"/>
        <v>8</v>
      </c>
      <c r="G81" s="503">
        <f t="shared" si="7"/>
        <v>88</v>
      </c>
      <c r="H81" s="503">
        <f t="shared" si="8"/>
        <v>40</v>
      </c>
      <c r="I81" s="504">
        <f>C81*Start.listina!$U$7</f>
        <v>32</v>
      </c>
    </row>
    <row r="82" spans="2:9" ht="13.5">
      <c r="B82" s="501">
        <v>89</v>
      </c>
      <c r="C82" s="502">
        <v>16</v>
      </c>
      <c r="D82" s="502">
        <v>6</v>
      </c>
      <c r="E82" s="502">
        <v>9</v>
      </c>
      <c r="F82" s="503">
        <f t="shared" si="6"/>
        <v>7</v>
      </c>
      <c r="G82" s="503">
        <f t="shared" si="7"/>
        <v>89</v>
      </c>
      <c r="H82" s="503">
        <f t="shared" si="8"/>
        <v>41</v>
      </c>
      <c r="I82" s="504">
        <f>C82*Start.listina!$U$7</f>
        <v>32</v>
      </c>
    </row>
    <row r="83" spans="2:9" ht="13.5">
      <c r="B83" s="501">
        <v>90</v>
      </c>
      <c r="C83" s="502">
        <v>16</v>
      </c>
      <c r="D83" s="502">
        <v>6</v>
      </c>
      <c r="E83" s="502">
        <v>10</v>
      </c>
      <c r="F83" s="503">
        <f t="shared" si="6"/>
        <v>6</v>
      </c>
      <c r="G83" s="503">
        <f t="shared" si="7"/>
        <v>90</v>
      </c>
      <c r="H83" s="503">
        <f t="shared" si="8"/>
        <v>42</v>
      </c>
      <c r="I83" s="504">
        <f>C83*Start.listina!$U$7</f>
        <v>32</v>
      </c>
    </row>
    <row r="84" spans="2:9" ht="13.5">
      <c r="B84" s="501">
        <v>91</v>
      </c>
      <c r="C84" s="502">
        <v>16</v>
      </c>
      <c r="D84" s="502">
        <v>6</v>
      </c>
      <c r="E84" s="502">
        <v>11</v>
      </c>
      <c r="F84" s="503">
        <f t="shared" si="6"/>
        <v>5</v>
      </c>
      <c r="G84" s="503">
        <f t="shared" si="7"/>
        <v>91</v>
      </c>
      <c r="H84" s="503">
        <f t="shared" si="8"/>
        <v>43</v>
      </c>
      <c r="I84" s="504">
        <f>C84*Start.listina!$U$7</f>
        <v>32</v>
      </c>
    </row>
    <row r="85" spans="2:9" ht="13.5">
      <c r="B85" s="501">
        <v>92</v>
      </c>
      <c r="C85" s="502">
        <v>16</v>
      </c>
      <c r="D85" s="502">
        <v>6</v>
      </c>
      <c r="E85" s="502">
        <v>12</v>
      </c>
      <c r="F85" s="503">
        <f t="shared" si="6"/>
        <v>4</v>
      </c>
      <c r="G85" s="503">
        <f t="shared" si="7"/>
        <v>92</v>
      </c>
      <c r="H85" s="503">
        <f t="shared" si="8"/>
        <v>44</v>
      </c>
      <c r="I85" s="504">
        <f>C85*Start.listina!$U$7</f>
        <v>32</v>
      </c>
    </row>
    <row r="86" spans="2:9" ht="13.5">
      <c r="B86" s="501">
        <v>93</v>
      </c>
      <c r="C86" s="502">
        <v>16</v>
      </c>
      <c r="D86" s="502">
        <v>6</v>
      </c>
      <c r="E86" s="502">
        <v>13</v>
      </c>
      <c r="F86" s="503">
        <f t="shared" si="6"/>
        <v>3</v>
      </c>
      <c r="G86" s="503">
        <f t="shared" si="7"/>
        <v>93</v>
      </c>
      <c r="H86" s="503">
        <f t="shared" si="8"/>
        <v>45</v>
      </c>
      <c r="I86" s="504">
        <f>C86*Start.listina!$U$7</f>
        <v>32</v>
      </c>
    </row>
    <row r="87" spans="2:9" ht="13.5">
      <c r="B87" s="501">
        <v>94</v>
      </c>
      <c r="C87" s="502">
        <v>16</v>
      </c>
      <c r="D87" s="502">
        <v>6</v>
      </c>
      <c r="E87" s="502">
        <v>14</v>
      </c>
      <c r="F87" s="503">
        <f t="shared" si="6"/>
        <v>2</v>
      </c>
      <c r="G87" s="503">
        <f t="shared" si="7"/>
        <v>94</v>
      </c>
      <c r="H87" s="503">
        <f t="shared" si="8"/>
        <v>46</v>
      </c>
      <c r="I87" s="504">
        <f>C87*Start.listina!$U$7</f>
        <v>32</v>
      </c>
    </row>
    <row r="88" spans="2:9" ht="13.5">
      <c r="B88" s="501">
        <v>95</v>
      </c>
      <c r="C88" s="502">
        <v>16</v>
      </c>
      <c r="D88" s="502">
        <v>6</v>
      </c>
      <c r="E88" s="502">
        <v>15</v>
      </c>
      <c r="F88" s="503">
        <f t="shared" si="6"/>
        <v>1</v>
      </c>
      <c r="G88" s="503">
        <f t="shared" si="7"/>
        <v>95</v>
      </c>
      <c r="H88" s="503">
        <f t="shared" si="8"/>
        <v>47</v>
      </c>
      <c r="I88" s="504">
        <f>C88*Start.listina!$U$7</f>
        <v>32</v>
      </c>
    </row>
    <row r="89" spans="2:9" ht="13.5">
      <c r="B89" s="501">
        <v>96</v>
      </c>
      <c r="C89" s="502">
        <v>32</v>
      </c>
      <c r="D89" s="502">
        <v>3</v>
      </c>
      <c r="E89" s="502">
        <v>32</v>
      </c>
      <c r="F89" s="503">
        <f t="shared" si="6"/>
        <v>0</v>
      </c>
      <c r="G89" s="503">
        <f t="shared" si="7"/>
        <v>96</v>
      </c>
      <c r="H89" s="503">
        <f t="shared" si="8"/>
        <v>32</v>
      </c>
      <c r="I89" s="504">
        <f>C89*Start.listina!$U$7</f>
        <v>64</v>
      </c>
    </row>
    <row r="90" spans="2:9" ht="13.5">
      <c r="B90" s="501">
        <v>97</v>
      </c>
      <c r="C90" s="502">
        <v>32</v>
      </c>
      <c r="D90" s="502">
        <v>4</v>
      </c>
      <c r="E90" s="502">
        <v>1</v>
      </c>
      <c r="F90" s="503">
        <f t="shared" si="6"/>
        <v>31</v>
      </c>
      <c r="G90" s="503">
        <f t="shared" si="7"/>
        <v>97</v>
      </c>
      <c r="H90" s="503">
        <f t="shared" si="8"/>
        <v>33</v>
      </c>
      <c r="I90" s="504">
        <f>C90*Start.listina!$U$7</f>
        <v>64</v>
      </c>
    </row>
    <row r="91" spans="2:9" ht="13.5">
      <c r="B91" s="501">
        <v>98</v>
      </c>
      <c r="C91" s="502">
        <v>32</v>
      </c>
      <c r="D91" s="502">
        <v>4</v>
      </c>
      <c r="E91" s="502">
        <v>2</v>
      </c>
      <c r="F91" s="503">
        <f t="shared" si="6"/>
        <v>30</v>
      </c>
      <c r="G91" s="503">
        <f t="shared" si="7"/>
        <v>98</v>
      </c>
      <c r="H91" s="503">
        <f t="shared" si="8"/>
        <v>34</v>
      </c>
      <c r="I91" s="504">
        <f>C91*Start.listina!$U$7</f>
        <v>64</v>
      </c>
    </row>
    <row r="92" spans="2:9" ht="13.5">
      <c r="B92" s="501">
        <v>99</v>
      </c>
      <c r="C92" s="502">
        <v>32</v>
      </c>
      <c r="D92" s="502">
        <v>4</v>
      </c>
      <c r="E92" s="502">
        <v>3</v>
      </c>
      <c r="F92" s="503">
        <f t="shared" si="6"/>
        <v>29</v>
      </c>
      <c r="G92" s="503">
        <f t="shared" si="7"/>
        <v>99</v>
      </c>
      <c r="H92" s="503">
        <f t="shared" si="8"/>
        <v>35</v>
      </c>
      <c r="I92" s="504">
        <f>C92*Start.listina!$U$7</f>
        <v>64</v>
      </c>
    </row>
    <row r="93" spans="2:9" ht="13.5">
      <c r="B93" s="501">
        <v>100</v>
      </c>
      <c r="C93" s="502">
        <v>32</v>
      </c>
      <c r="D93" s="502">
        <v>4</v>
      </c>
      <c r="E93" s="502">
        <v>4</v>
      </c>
      <c r="F93" s="503">
        <f t="shared" si="6"/>
        <v>28</v>
      </c>
      <c r="G93" s="503">
        <f t="shared" si="7"/>
        <v>100</v>
      </c>
      <c r="H93" s="503">
        <f t="shared" si="8"/>
        <v>36</v>
      </c>
      <c r="I93" s="504">
        <f>C93*Start.listina!$U$7</f>
        <v>64</v>
      </c>
    </row>
    <row r="94" spans="2:9" ht="13.5">
      <c r="B94" s="501">
        <v>101</v>
      </c>
      <c r="C94" s="502">
        <v>32</v>
      </c>
      <c r="D94" s="502">
        <v>4</v>
      </c>
      <c r="E94" s="502">
        <v>5</v>
      </c>
      <c r="F94" s="503">
        <f t="shared" si="6"/>
        <v>27</v>
      </c>
      <c r="G94" s="503">
        <f t="shared" si="7"/>
        <v>101</v>
      </c>
      <c r="H94" s="503">
        <f t="shared" si="8"/>
        <v>37</v>
      </c>
      <c r="I94" s="504">
        <f>C94*Start.listina!$U$7</f>
        <v>64</v>
      </c>
    </row>
    <row r="95" spans="2:9" ht="13.5">
      <c r="B95" s="501">
        <v>102</v>
      </c>
      <c r="C95" s="502">
        <v>32</v>
      </c>
      <c r="D95" s="502">
        <v>4</v>
      </c>
      <c r="E95" s="502">
        <v>6</v>
      </c>
      <c r="F95" s="503">
        <f t="shared" si="6"/>
        <v>26</v>
      </c>
      <c r="G95" s="503">
        <f t="shared" si="7"/>
        <v>102</v>
      </c>
      <c r="H95" s="503">
        <f t="shared" si="8"/>
        <v>38</v>
      </c>
      <c r="I95" s="504">
        <f>C95*Start.listina!$U$7</f>
        <v>64</v>
      </c>
    </row>
    <row r="96" spans="2:9" ht="13.5">
      <c r="B96" s="501">
        <v>103</v>
      </c>
      <c r="C96" s="502">
        <v>32</v>
      </c>
      <c r="D96" s="502">
        <v>4</v>
      </c>
      <c r="E96" s="502">
        <v>7</v>
      </c>
      <c r="F96" s="503">
        <f t="shared" si="6"/>
        <v>25</v>
      </c>
      <c r="G96" s="503">
        <f t="shared" si="7"/>
        <v>103</v>
      </c>
      <c r="H96" s="503">
        <f t="shared" si="8"/>
        <v>39</v>
      </c>
      <c r="I96" s="504">
        <f>C96*Start.listina!$U$7</f>
        <v>64</v>
      </c>
    </row>
    <row r="97" spans="2:9" ht="13.5">
      <c r="B97" s="501">
        <v>104</v>
      </c>
      <c r="C97" s="502">
        <v>32</v>
      </c>
      <c r="D97" s="502">
        <v>4</v>
      </c>
      <c r="E97" s="502">
        <v>8</v>
      </c>
      <c r="F97" s="503">
        <f t="shared" si="6"/>
        <v>24</v>
      </c>
      <c r="G97" s="503">
        <f t="shared" si="7"/>
        <v>104</v>
      </c>
      <c r="H97" s="503">
        <f t="shared" si="8"/>
        <v>40</v>
      </c>
      <c r="I97" s="504">
        <f>C97*Start.listina!$U$7</f>
        <v>64</v>
      </c>
    </row>
    <row r="98" spans="2:9" ht="13.5">
      <c r="B98" s="501">
        <v>105</v>
      </c>
      <c r="C98" s="502">
        <v>32</v>
      </c>
      <c r="D98" s="502">
        <v>4</v>
      </c>
      <c r="E98" s="502">
        <v>9</v>
      </c>
      <c r="F98" s="503">
        <f t="shared" si="6"/>
        <v>23</v>
      </c>
      <c r="G98" s="503">
        <f t="shared" si="7"/>
        <v>105</v>
      </c>
      <c r="H98" s="503">
        <f t="shared" si="8"/>
        <v>41</v>
      </c>
      <c r="I98" s="504">
        <f>C98*Start.listina!$U$7</f>
        <v>64</v>
      </c>
    </row>
    <row r="99" spans="2:9" ht="13.5">
      <c r="B99" s="501">
        <v>106</v>
      </c>
      <c r="C99" s="502">
        <v>32</v>
      </c>
      <c r="D99" s="502">
        <v>4</v>
      </c>
      <c r="E99" s="502">
        <v>10</v>
      </c>
      <c r="F99" s="503">
        <f t="shared" si="6"/>
        <v>22</v>
      </c>
      <c r="G99" s="503">
        <f t="shared" si="7"/>
        <v>106</v>
      </c>
      <c r="H99" s="503">
        <f t="shared" si="8"/>
        <v>42</v>
      </c>
      <c r="I99" s="504">
        <f>C99*Start.listina!$U$7</f>
        <v>64</v>
      </c>
    </row>
    <row r="100" spans="2:9" ht="13.5">
      <c r="B100" s="501">
        <v>107</v>
      </c>
      <c r="C100" s="502">
        <v>32</v>
      </c>
      <c r="D100" s="502">
        <v>4</v>
      </c>
      <c r="E100" s="502">
        <v>11</v>
      </c>
      <c r="F100" s="503">
        <f t="shared" si="6"/>
        <v>21</v>
      </c>
      <c r="G100" s="503">
        <f t="shared" si="7"/>
        <v>107</v>
      </c>
      <c r="H100" s="503">
        <f t="shared" si="8"/>
        <v>43</v>
      </c>
      <c r="I100" s="504">
        <f>C100*Start.listina!$U$7</f>
        <v>64</v>
      </c>
    </row>
    <row r="101" spans="2:9" ht="13.5">
      <c r="B101" s="501">
        <v>108</v>
      </c>
      <c r="C101" s="502">
        <v>32</v>
      </c>
      <c r="D101" s="502">
        <v>4</v>
      </c>
      <c r="E101" s="502">
        <v>12</v>
      </c>
      <c r="F101" s="503">
        <f t="shared" ref="F101:F121" si="9">C101-E101</f>
        <v>20</v>
      </c>
      <c r="G101" s="503">
        <f t="shared" ref="G101:G121" si="10">E101*D101+F101*(D101-1)</f>
        <v>108</v>
      </c>
      <c r="H101" s="503">
        <f t="shared" ref="H101:H121" si="11">INT(D101/2)*E101+INT((D101-1)/2)*F101</f>
        <v>44</v>
      </c>
      <c r="I101" s="504">
        <f>C101*Start.listina!$U$7</f>
        <v>64</v>
      </c>
    </row>
    <row r="102" spans="2:9" ht="13.5">
      <c r="B102" s="501">
        <v>109</v>
      </c>
      <c r="C102" s="502">
        <v>32</v>
      </c>
      <c r="D102" s="502">
        <v>4</v>
      </c>
      <c r="E102" s="502">
        <v>13</v>
      </c>
      <c r="F102" s="503">
        <f t="shared" si="9"/>
        <v>19</v>
      </c>
      <c r="G102" s="503">
        <f t="shared" si="10"/>
        <v>109</v>
      </c>
      <c r="H102" s="503">
        <f t="shared" si="11"/>
        <v>45</v>
      </c>
      <c r="I102" s="504">
        <f>C102*Start.listina!$U$7</f>
        <v>64</v>
      </c>
    </row>
    <row r="103" spans="2:9" ht="13.5">
      <c r="B103" s="501">
        <v>110</v>
      </c>
      <c r="C103" s="502">
        <v>32</v>
      </c>
      <c r="D103" s="502">
        <v>4</v>
      </c>
      <c r="E103" s="502">
        <v>14</v>
      </c>
      <c r="F103" s="503">
        <f t="shared" si="9"/>
        <v>18</v>
      </c>
      <c r="G103" s="503">
        <f t="shared" si="10"/>
        <v>110</v>
      </c>
      <c r="H103" s="503">
        <f t="shared" si="11"/>
        <v>46</v>
      </c>
      <c r="I103" s="504">
        <f>C103*Start.listina!$U$7</f>
        <v>64</v>
      </c>
    </row>
    <row r="104" spans="2:9" ht="13.5">
      <c r="B104" s="501">
        <v>111</v>
      </c>
      <c r="C104" s="502">
        <v>32</v>
      </c>
      <c r="D104" s="502">
        <v>4</v>
      </c>
      <c r="E104" s="502">
        <v>15</v>
      </c>
      <c r="F104" s="503">
        <f t="shared" si="9"/>
        <v>17</v>
      </c>
      <c r="G104" s="503">
        <f t="shared" si="10"/>
        <v>111</v>
      </c>
      <c r="H104" s="503">
        <f t="shared" si="11"/>
        <v>47</v>
      </c>
      <c r="I104" s="504">
        <f>C104*Start.listina!$U$7</f>
        <v>64</v>
      </c>
    </row>
    <row r="105" spans="2:9" ht="13.5">
      <c r="B105" s="501">
        <v>112</v>
      </c>
      <c r="C105" s="502">
        <v>32</v>
      </c>
      <c r="D105" s="502">
        <v>4</v>
      </c>
      <c r="E105" s="502">
        <v>16</v>
      </c>
      <c r="F105" s="503">
        <f t="shared" si="9"/>
        <v>16</v>
      </c>
      <c r="G105" s="503">
        <f t="shared" si="10"/>
        <v>112</v>
      </c>
      <c r="H105" s="503">
        <f t="shared" si="11"/>
        <v>48</v>
      </c>
      <c r="I105" s="504">
        <f>C105*Start.listina!$U$7</f>
        <v>64</v>
      </c>
    </row>
    <row r="106" spans="2:9" ht="13.5">
      <c r="B106" s="501">
        <v>113</v>
      </c>
      <c r="C106" s="502">
        <v>32</v>
      </c>
      <c r="D106" s="502">
        <v>4</v>
      </c>
      <c r="E106" s="502">
        <v>17</v>
      </c>
      <c r="F106" s="503">
        <f t="shared" si="9"/>
        <v>15</v>
      </c>
      <c r="G106" s="503">
        <f t="shared" si="10"/>
        <v>113</v>
      </c>
      <c r="H106" s="503">
        <f t="shared" si="11"/>
        <v>49</v>
      </c>
      <c r="I106" s="504">
        <f>C106*Start.listina!$U$7</f>
        <v>64</v>
      </c>
    </row>
    <row r="107" spans="2:9" ht="13.5">
      <c r="B107" s="501">
        <v>114</v>
      </c>
      <c r="C107" s="502">
        <v>32</v>
      </c>
      <c r="D107" s="502">
        <v>4</v>
      </c>
      <c r="E107" s="502">
        <v>18</v>
      </c>
      <c r="F107" s="503">
        <f t="shared" si="9"/>
        <v>14</v>
      </c>
      <c r="G107" s="503">
        <f t="shared" si="10"/>
        <v>114</v>
      </c>
      <c r="H107" s="503">
        <f t="shared" si="11"/>
        <v>50</v>
      </c>
      <c r="I107" s="504">
        <f>C107*Start.listina!$U$7</f>
        <v>64</v>
      </c>
    </row>
    <row r="108" spans="2:9" ht="13.5">
      <c r="B108" s="501">
        <v>115</v>
      </c>
      <c r="C108" s="502">
        <v>32</v>
      </c>
      <c r="D108" s="502">
        <v>4</v>
      </c>
      <c r="E108" s="502">
        <v>19</v>
      </c>
      <c r="F108" s="503">
        <f t="shared" si="9"/>
        <v>13</v>
      </c>
      <c r="G108" s="503">
        <f t="shared" si="10"/>
        <v>115</v>
      </c>
      <c r="H108" s="503">
        <f t="shared" si="11"/>
        <v>51</v>
      </c>
      <c r="I108" s="504">
        <f>C108*Start.listina!$U$7</f>
        <v>64</v>
      </c>
    </row>
    <row r="109" spans="2:9" ht="13.5">
      <c r="B109" s="501">
        <v>116</v>
      </c>
      <c r="C109" s="502">
        <v>32</v>
      </c>
      <c r="D109" s="502">
        <v>4</v>
      </c>
      <c r="E109" s="502">
        <v>20</v>
      </c>
      <c r="F109" s="503">
        <f t="shared" si="9"/>
        <v>12</v>
      </c>
      <c r="G109" s="503">
        <f t="shared" si="10"/>
        <v>116</v>
      </c>
      <c r="H109" s="503">
        <f t="shared" si="11"/>
        <v>52</v>
      </c>
      <c r="I109" s="504">
        <f>C109*Start.listina!$U$7</f>
        <v>64</v>
      </c>
    </row>
    <row r="110" spans="2:9" ht="13.5">
      <c r="B110" s="501">
        <v>117</v>
      </c>
      <c r="C110" s="502">
        <v>32</v>
      </c>
      <c r="D110" s="502">
        <v>4</v>
      </c>
      <c r="E110" s="502">
        <v>21</v>
      </c>
      <c r="F110" s="503">
        <f t="shared" si="9"/>
        <v>11</v>
      </c>
      <c r="G110" s="503">
        <f t="shared" si="10"/>
        <v>117</v>
      </c>
      <c r="H110" s="503">
        <f t="shared" si="11"/>
        <v>53</v>
      </c>
      <c r="I110" s="504">
        <f>C110*Start.listina!$U$7</f>
        <v>64</v>
      </c>
    </row>
    <row r="111" spans="2:9" ht="13.5">
      <c r="B111" s="501">
        <v>118</v>
      </c>
      <c r="C111" s="502">
        <v>32</v>
      </c>
      <c r="D111" s="502">
        <v>4</v>
      </c>
      <c r="E111" s="502">
        <v>22</v>
      </c>
      <c r="F111" s="503">
        <f t="shared" si="9"/>
        <v>10</v>
      </c>
      <c r="G111" s="503">
        <f t="shared" si="10"/>
        <v>118</v>
      </c>
      <c r="H111" s="503">
        <f t="shared" si="11"/>
        <v>54</v>
      </c>
      <c r="I111" s="504">
        <f>C111*Start.listina!$U$7</f>
        <v>64</v>
      </c>
    </row>
    <row r="112" spans="2:9" ht="13.5">
      <c r="B112" s="501">
        <v>119</v>
      </c>
      <c r="C112" s="502">
        <v>32</v>
      </c>
      <c r="D112" s="502">
        <v>4</v>
      </c>
      <c r="E112" s="502">
        <v>23</v>
      </c>
      <c r="F112" s="503">
        <f t="shared" si="9"/>
        <v>9</v>
      </c>
      <c r="G112" s="503">
        <f t="shared" si="10"/>
        <v>119</v>
      </c>
      <c r="H112" s="503">
        <f t="shared" si="11"/>
        <v>55</v>
      </c>
      <c r="I112" s="504">
        <f>C112*Start.listina!$U$7</f>
        <v>64</v>
      </c>
    </row>
    <row r="113" spans="2:9" ht="13.5">
      <c r="B113" s="501">
        <v>120</v>
      </c>
      <c r="C113" s="502">
        <v>32</v>
      </c>
      <c r="D113" s="502">
        <v>4</v>
      </c>
      <c r="E113" s="502">
        <v>24</v>
      </c>
      <c r="F113" s="503">
        <f t="shared" si="9"/>
        <v>8</v>
      </c>
      <c r="G113" s="503">
        <f t="shared" si="10"/>
        <v>120</v>
      </c>
      <c r="H113" s="503">
        <f t="shared" si="11"/>
        <v>56</v>
      </c>
      <c r="I113" s="504">
        <f>C113*Start.listina!$U$7</f>
        <v>64</v>
      </c>
    </row>
    <row r="114" spans="2:9" ht="13.5">
      <c r="B114" s="501">
        <v>121</v>
      </c>
      <c r="C114" s="502">
        <v>32</v>
      </c>
      <c r="D114" s="502">
        <v>4</v>
      </c>
      <c r="E114" s="502">
        <v>25</v>
      </c>
      <c r="F114" s="503">
        <f t="shared" si="9"/>
        <v>7</v>
      </c>
      <c r="G114" s="503">
        <f t="shared" si="10"/>
        <v>121</v>
      </c>
      <c r="H114" s="503">
        <f t="shared" si="11"/>
        <v>57</v>
      </c>
      <c r="I114" s="504">
        <f>C114*Start.listina!$U$7</f>
        <v>64</v>
      </c>
    </row>
    <row r="115" spans="2:9" ht="13.5">
      <c r="B115" s="501">
        <v>122</v>
      </c>
      <c r="C115" s="502">
        <v>32</v>
      </c>
      <c r="D115" s="502">
        <v>4</v>
      </c>
      <c r="E115" s="502">
        <v>26</v>
      </c>
      <c r="F115" s="503">
        <f t="shared" si="9"/>
        <v>6</v>
      </c>
      <c r="G115" s="503">
        <f t="shared" si="10"/>
        <v>122</v>
      </c>
      <c r="H115" s="503">
        <f t="shared" si="11"/>
        <v>58</v>
      </c>
      <c r="I115" s="504">
        <f>C115*Start.listina!$U$7</f>
        <v>64</v>
      </c>
    </row>
    <row r="116" spans="2:9" ht="13.5">
      <c r="B116" s="501">
        <v>123</v>
      </c>
      <c r="C116" s="502">
        <v>32</v>
      </c>
      <c r="D116" s="502">
        <v>4</v>
      </c>
      <c r="E116" s="502">
        <v>27</v>
      </c>
      <c r="F116" s="503">
        <f t="shared" si="9"/>
        <v>5</v>
      </c>
      <c r="G116" s="503">
        <f t="shared" si="10"/>
        <v>123</v>
      </c>
      <c r="H116" s="503">
        <f t="shared" si="11"/>
        <v>59</v>
      </c>
      <c r="I116" s="504">
        <f>C116*Start.listina!$U$7</f>
        <v>64</v>
      </c>
    </row>
    <row r="117" spans="2:9" ht="13.5">
      <c r="B117" s="501">
        <v>124</v>
      </c>
      <c r="C117" s="502">
        <v>32</v>
      </c>
      <c r="D117" s="502">
        <v>4</v>
      </c>
      <c r="E117" s="502">
        <v>28</v>
      </c>
      <c r="F117" s="503">
        <f t="shared" si="9"/>
        <v>4</v>
      </c>
      <c r="G117" s="503">
        <f t="shared" si="10"/>
        <v>124</v>
      </c>
      <c r="H117" s="503">
        <f t="shared" si="11"/>
        <v>60</v>
      </c>
      <c r="I117" s="504">
        <f>C117*Start.listina!$U$7</f>
        <v>64</v>
      </c>
    </row>
    <row r="118" spans="2:9" ht="13.5">
      <c r="B118" s="501">
        <v>125</v>
      </c>
      <c r="C118" s="502">
        <v>32</v>
      </c>
      <c r="D118" s="502">
        <v>4</v>
      </c>
      <c r="E118" s="502">
        <v>29</v>
      </c>
      <c r="F118" s="503">
        <f t="shared" si="9"/>
        <v>3</v>
      </c>
      <c r="G118" s="503">
        <f t="shared" si="10"/>
        <v>125</v>
      </c>
      <c r="H118" s="503">
        <f t="shared" si="11"/>
        <v>61</v>
      </c>
      <c r="I118" s="504">
        <f>C118*Start.listina!$U$7</f>
        <v>64</v>
      </c>
    </row>
    <row r="119" spans="2:9" ht="13.5">
      <c r="B119" s="501">
        <v>126</v>
      </c>
      <c r="C119" s="502">
        <v>32</v>
      </c>
      <c r="D119" s="502">
        <v>4</v>
      </c>
      <c r="E119" s="502">
        <v>30</v>
      </c>
      <c r="F119" s="503">
        <f t="shared" si="9"/>
        <v>2</v>
      </c>
      <c r="G119" s="503">
        <f t="shared" si="10"/>
        <v>126</v>
      </c>
      <c r="H119" s="503">
        <f t="shared" si="11"/>
        <v>62</v>
      </c>
      <c r="I119" s="504">
        <f>C119*Start.listina!$U$7</f>
        <v>64</v>
      </c>
    </row>
    <row r="120" spans="2:9" ht="13.5">
      <c r="B120" s="501">
        <v>127</v>
      </c>
      <c r="C120" s="502">
        <v>32</v>
      </c>
      <c r="D120" s="502">
        <v>4</v>
      </c>
      <c r="E120" s="502">
        <v>31</v>
      </c>
      <c r="F120" s="503">
        <f t="shared" si="9"/>
        <v>1</v>
      </c>
      <c r="G120" s="503">
        <f t="shared" si="10"/>
        <v>127</v>
      </c>
      <c r="H120" s="503">
        <f t="shared" si="11"/>
        <v>63</v>
      </c>
      <c r="I120" s="504">
        <f>C120*Start.listina!$U$7</f>
        <v>64</v>
      </c>
    </row>
    <row r="121" spans="2:9" ht="13.5">
      <c r="B121" s="501">
        <v>128</v>
      </c>
      <c r="C121" s="502">
        <v>32</v>
      </c>
      <c r="D121" s="502">
        <v>4</v>
      </c>
      <c r="E121" s="502">
        <v>32</v>
      </c>
      <c r="F121" s="503">
        <f t="shared" si="9"/>
        <v>0</v>
      </c>
      <c r="G121" s="503">
        <f t="shared" si="10"/>
        <v>128</v>
      </c>
      <c r="H121" s="503">
        <f t="shared" si="11"/>
        <v>64</v>
      </c>
      <c r="I121" s="504">
        <f>C121*Start.listina!$U$7</f>
        <v>64</v>
      </c>
    </row>
  </sheetData>
  <conditionalFormatting sqref="B5:B121">
    <cfRule type="expression" dxfId="2" priority="2">
      <formula>IF(B5=G5,0,1)</formula>
    </cfRule>
  </conditionalFormatting>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2"/>
  <sheetViews>
    <sheetView zoomScaleNormal="100" workbookViewId="0"/>
  </sheetViews>
  <sheetFormatPr defaultColWidth="8.7109375" defaultRowHeight="12.75"/>
  <cols>
    <col min="1" max="1" width="12.28515625" customWidth="1"/>
    <col min="2" max="2" width="6.42578125" customWidth="1"/>
    <col min="3" max="3" width="2.85546875" customWidth="1"/>
    <col min="4" max="4" width="2.42578125" customWidth="1"/>
    <col min="5" max="5" width="3.5703125" customWidth="1"/>
    <col min="6" max="6" width="2.28515625" customWidth="1"/>
    <col min="7" max="7" width="1.7109375" customWidth="1"/>
    <col min="8" max="8" width="2.7109375" customWidth="1"/>
    <col min="9" max="9" width="5.140625" customWidth="1"/>
    <col min="10" max="10" width="2.28515625" customWidth="1"/>
    <col min="11" max="11" width="1.7109375" customWidth="1"/>
    <col min="12" max="12" width="3.28515625" customWidth="1"/>
    <col min="13" max="13" width="7.140625" customWidth="1"/>
    <col min="14" max="14" width="2.28515625" customWidth="1"/>
    <col min="15" max="15" width="1.7109375" customWidth="1"/>
    <col min="16" max="16" width="2.28515625" customWidth="1"/>
    <col min="17" max="17" width="6.140625" customWidth="1"/>
    <col min="18" max="18" width="2.28515625" customWidth="1"/>
    <col min="19" max="19" width="1.7109375" customWidth="1"/>
    <col min="20" max="24" width="2.28515625" customWidth="1"/>
    <col min="25" max="25" width="68.140625" customWidth="1"/>
  </cols>
  <sheetData>
    <row r="1" spans="1:31" ht="18.75">
      <c r="A1" s="505" t="s">
        <v>1776</v>
      </c>
      <c r="B1" s="279"/>
      <c r="C1" s="279"/>
      <c r="D1" s="279"/>
      <c r="E1" s="279"/>
      <c r="F1" s="279"/>
      <c r="G1" s="279"/>
      <c r="H1" s="279"/>
      <c r="I1" s="279"/>
      <c r="J1" s="279"/>
      <c r="K1" s="279"/>
      <c r="L1" s="279"/>
      <c r="M1" s="279"/>
      <c r="N1" s="279"/>
      <c r="O1" s="279"/>
      <c r="P1" s="279"/>
      <c r="Q1" s="279"/>
      <c r="R1" s="279"/>
      <c r="S1" s="279"/>
      <c r="T1" s="279"/>
      <c r="U1" s="279"/>
      <c r="V1" s="279"/>
      <c r="W1" s="279"/>
      <c r="X1" s="279"/>
      <c r="Y1" s="279"/>
      <c r="Z1" s="506"/>
      <c r="AA1" s="506" t="s">
        <v>1777</v>
      </c>
      <c r="AB1" s="506" t="s">
        <v>1778</v>
      </c>
      <c r="AC1" s="506" t="s">
        <v>1664</v>
      </c>
      <c r="AD1" s="506" t="s">
        <v>1658</v>
      </c>
      <c r="AE1" s="279"/>
    </row>
    <row r="2" spans="1:31" ht="18">
      <c r="A2" s="279"/>
      <c r="B2" s="279"/>
      <c r="C2" s="279"/>
      <c r="D2" s="279"/>
      <c r="E2" s="279"/>
      <c r="F2" s="279"/>
      <c r="G2" s="279"/>
      <c r="H2" s="279"/>
      <c r="I2" s="279"/>
      <c r="J2" s="279"/>
      <c r="K2" s="279"/>
      <c r="L2" s="279"/>
      <c r="M2" s="279"/>
      <c r="N2" s="279"/>
      <c r="O2" s="279"/>
      <c r="P2" s="279"/>
      <c r="Q2" s="279"/>
      <c r="R2" s="279"/>
      <c r="S2" s="279"/>
      <c r="T2" s="279"/>
      <c r="U2" s="279"/>
      <c r="V2" s="279"/>
      <c r="W2" s="279"/>
      <c r="X2" s="279"/>
      <c r="Y2" s="279"/>
      <c r="Z2" s="506"/>
      <c r="AA2" s="507" t="s">
        <v>1779</v>
      </c>
      <c r="AB2" s="507"/>
      <c r="AC2" s="508"/>
      <c r="AD2" s="508"/>
      <c r="AE2" s="508"/>
    </row>
    <row r="3" spans="1:31" ht="18">
      <c r="A3" s="507" t="s">
        <v>1779</v>
      </c>
      <c r="B3" s="508"/>
      <c r="C3" s="508"/>
      <c r="D3" s="508"/>
      <c r="E3" s="279"/>
      <c r="F3" s="279"/>
      <c r="G3" s="279"/>
      <c r="H3" s="279"/>
      <c r="I3" s="279"/>
      <c r="J3" s="279"/>
      <c r="K3" s="279"/>
      <c r="L3" s="279"/>
      <c r="M3" s="279"/>
      <c r="N3" s="279"/>
      <c r="O3" s="279"/>
      <c r="P3" s="279"/>
      <c r="Q3" s="279"/>
      <c r="R3" s="279"/>
      <c r="S3" s="279"/>
      <c r="T3" s="279"/>
      <c r="U3" s="279"/>
      <c r="V3" s="279"/>
      <c r="W3" s="279"/>
      <c r="X3" s="279"/>
      <c r="Y3" s="279"/>
      <c r="Z3" s="506"/>
      <c r="AA3" s="279">
        <f t="shared" ref="AA3:AA8" si="0">AB3+300</f>
        <v>312</v>
      </c>
      <c r="AB3" s="279">
        <v>12</v>
      </c>
      <c r="AC3" s="279">
        <v>2</v>
      </c>
      <c r="AD3" s="279">
        <v>1</v>
      </c>
      <c r="AE3" s="279"/>
    </row>
    <row r="4" spans="1:31">
      <c r="A4" s="279"/>
      <c r="B4" s="279"/>
      <c r="C4" s="294"/>
      <c r="D4" s="294"/>
      <c r="E4" s="279"/>
      <c r="F4" s="279"/>
      <c r="G4" s="294"/>
      <c r="H4" s="294"/>
      <c r="I4" s="279"/>
      <c r="J4" s="279"/>
      <c r="K4" s="279"/>
      <c r="L4" s="279"/>
      <c r="M4" s="279"/>
      <c r="N4" s="279"/>
      <c r="O4" s="279"/>
      <c r="P4" s="279"/>
      <c r="Q4" s="279"/>
      <c r="R4" s="279"/>
      <c r="S4" s="279"/>
      <c r="T4" s="279"/>
      <c r="U4" s="279"/>
      <c r="V4" s="279"/>
      <c r="W4" s="279"/>
      <c r="X4" s="279"/>
      <c r="Y4" s="279"/>
      <c r="Z4" s="506"/>
      <c r="AA4" s="279">
        <f t="shared" si="0"/>
        <v>313</v>
      </c>
      <c r="AB4" s="279">
        <v>13</v>
      </c>
      <c r="AC4" s="279">
        <v>1</v>
      </c>
      <c r="AD4" s="279">
        <v>1</v>
      </c>
      <c r="AE4" s="279"/>
    </row>
    <row r="5" spans="1:31">
      <c r="A5" s="294"/>
      <c r="B5" s="346"/>
      <c r="C5" s="509" t="s">
        <v>1780</v>
      </c>
      <c r="D5" s="510"/>
      <c r="E5" s="325"/>
      <c r="F5" s="279"/>
      <c r="G5" s="279"/>
      <c r="H5" s="279"/>
      <c r="I5" s="279"/>
      <c r="J5" s="279"/>
      <c r="K5" s="279"/>
      <c r="L5" s="279"/>
      <c r="M5" s="279"/>
      <c r="N5" s="279"/>
      <c r="O5" s="279"/>
      <c r="P5" s="279"/>
      <c r="Q5" s="279"/>
      <c r="R5" s="279"/>
      <c r="S5" s="279"/>
      <c r="T5" s="279"/>
      <c r="U5" s="279"/>
      <c r="V5" s="279"/>
      <c r="W5" s="279"/>
      <c r="X5" s="279"/>
      <c r="Y5" s="279"/>
      <c r="Z5" s="506"/>
      <c r="AA5" s="279">
        <f t="shared" si="0"/>
        <v>321</v>
      </c>
      <c r="AB5" s="279">
        <v>21</v>
      </c>
      <c r="AC5" s="279">
        <v>2</v>
      </c>
      <c r="AD5" s="279">
        <v>1</v>
      </c>
      <c r="AE5" s="279"/>
    </row>
    <row r="6" spans="1:31">
      <c r="A6" s="511" t="s">
        <v>1781</v>
      </c>
      <c r="B6" s="325">
        <v>1</v>
      </c>
      <c r="C6" s="293" t="s">
        <v>1782</v>
      </c>
      <c r="D6" s="293">
        <v>3</v>
      </c>
      <c r="E6" s="279"/>
      <c r="F6" s="279"/>
      <c r="G6" s="279"/>
      <c r="H6" s="279"/>
      <c r="I6" s="279"/>
      <c r="J6" s="279"/>
      <c r="K6" s="279"/>
      <c r="L6" s="279"/>
      <c r="M6" s="279"/>
      <c r="N6" s="279"/>
      <c r="O6" s="279"/>
      <c r="P6" s="279"/>
      <c r="Q6" s="279"/>
      <c r="R6" s="279"/>
      <c r="S6" s="279"/>
      <c r="T6" s="279"/>
      <c r="U6" s="279"/>
      <c r="V6" s="279"/>
      <c r="W6" s="279"/>
      <c r="X6" s="279"/>
      <c r="Y6" s="279"/>
      <c r="Z6" s="506"/>
      <c r="AA6" s="279">
        <f t="shared" si="0"/>
        <v>323</v>
      </c>
      <c r="AB6" s="279">
        <v>23</v>
      </c>
      <c r="AC6" s="279">
        <v>3</v>
      </c>
      <c r="AD6" s="279">
        <v>1</v>
      </c>
      <c r="AE6" s="279"/>
    </row>
    <row r="7" spans="1:31">
      <c r="A7" s="512" t="s">
        <v>1783</v>
      </c>
      <c r="B7" s="325">
        <v>1</v>
      </c>
      <c r="C7" s="279" t="s">
        <v>1782</v>
      </c>
      <c r="D7" s="279">
        <v>2</v>
      </c>
      <c r="E7" s="279"/>
      <c r="F7" s="279"/>
      <c r="G7" s="279"/>
      <c r="H7" s="279"/>
      <c r="I7" s="279"/>
      <c r="J7" s="279"/>
      <c r="K7" s="279"/>
      <c r="L7" s="279"/>
      <c r="M7" s="279"/>
      <c r="N7" s="279"/>
      <c r="O7" s="279"/>
      <c r="P7" s="279"/>
      <c r="Q7" s="279"/>
      <c r="R7" s="279"/>
      <c r="S7" s="279"/>
      <c r="T7" s="279"/>
      <c r="U7" s="279"/>
      <c r="V7" s="279"/>
      <c r="W7" s="279"/>
      <c r="X7" s="279"/>
      <c r="Y7" s="279"/>
      <c r="Z7" s="506"/>
      <c r="AA7" s="279">
        <f t="shared" si="0"/>
        <v>331</v>
      </c>
      <c r="AB7" s="279">
        <v>31</v>
      </c>
      <c r="AC7" s="279">
        <v>1</v>
      </c>
      <c r="AD7" s="279">
        <v>1</v>
      </c>
      <c r="AE7" s="279"/>
    </row>
    <row r="8" spans="1:31">
      <c r="A8" s="513" t="s">
        <v>1784</v>
      </c>
      <c r="B8" s="325">
        <v>2</v>
      </c>
      <c r="C8" s="279" t="s">
        <v>1782</v>
      </c>
      <c r="D8" s="279">
        <v>3</v>
      </c>
      <c r="E8" s="279"/>
      <c r="F8" s="279"/>
      <c r="G8" s="279"/>
      <c r="H8" s="279"/>
      <c r="I8" s="279"/>
      <c r="J8" s="279"/>
      <c r="K8" s="279"/>
      <c r="L8" s="279"/>
      <c r="M8" s="279"/>
      <c r="N8" s="279"/>
      <c r="O8" s="279"/>
      <c r="P8" s="279"/>
      <c r="Q8" s="279"/>
      <c r="R8" s="279"/>
      <c r="S8" s="279"/>
      <c r="T8" s="279"/>
      <c r="U8" s="279"/>
      <c r="V8" s="279"/>
      <c r="W8" s="279"/>
      <c r="X8" s="279"/>
      <c r="Y8" s="279"/>
      <c r="Z8" s="506"/>
      <c r="AA8" s="279">
        <f t="shared" si="0"/>
        <v>332</v>
      </c>
      <c r="AB8" s="279">
        <v>32</v>
      </c>
      <c r="AC8" s="279">
        <v>3</v>
      </c>
      <c r="AD8" s="279">
        <v>1</v>
      </c>
      <c r="AE8" s="279"/>
    </row>
    <row r="9" spans="1:31">
      <c r="A9" s="293"/>
      <c r="B9" s="279"/>
      <c r="C9" s="279"/>
      <c r="D9" s="279"/>
      <c r="E9" s="279"/>
      <c r="F9" s="279"/>
      <c r="G9" s="279"/>
      <c r="H9" s="279"/>
      <c r="I9" s="279"/>
      <c r="J9" s="279"/>
      <c r="K9" s="279"/>
      <c r="L9" s="279"/>
      <c r="M9" s="279"/>
      <c r="N9" s="279"/>
      <c r="O9" s="279"/>
      <c r="P9" s="279"/>
      <c r="Q9" s="279"/>
      <c r="R9" s="279"/>
      <c r="S9" s="279"/>
      <c r="T9" s="279"/>
      <c r="U9" s="279"/>
      <c r="V9" s="279"/>
      <c r="W9" s="279"/>
      <c r="X9" s="279"/>
      <c r="Y9" s="279"/>
      <c r="Z9" s="506"/>
      <c r="AA9" s="279"/>
      <c r="AB9" s="279"/>
      <c r="AC9" s="279"/>
      <c r="AD9" s="279"/>
      <c r="AE9" s="279"/>
    </row>
    <row r="10" spans="1:31" ht="18">
      <c r="A10" s="279"/>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506"/>
      <c r="AA10" s="507" t="s">
        <v>1785</v>
      </c>
      <c r="AB10" s="507"/>
      <c r="AC10" s="508"/>
      <c r="AD10" s="508"/>
      <c r="AE10" s="508"/>
    </row>
    <row r="11" spans="1:31" ht="18">
      <c r="A11" s="507" t="s">
        <v>1785</v>
      </c>
      <c r="B11" s="508"/>
      <c r="C11" s="508"/>
      <c r="D11" s="508"/>
      <c r="E11" s="279"/>
      <c r="F11" s="279"/>
      <c r="G11" s="279"/>
      <c r="H11" s="279"/>
      <c r="I11" s="279"/>
      <c r="J11" s="279"/>
      <c r="K11" s="279"/>
      <c r="L11" s="279"/>
      <c r="M11" s="279"/>
      <c r="N11" s="279"/>
      <c r="O11" s="279"/>
      <c r="P11" s="279"/>
      <c r="Q11" s="279"/>
      <c r="R11" s="279"/>
      <c r="S11" s="279"/>
      <c r="T11" s="279"/>
      <c r="U11" s="279"/>
      <c r="V11" s="279"/>
      <c r="W11" s="279"/>
      <c r="X11" s="279"/>
      <c r="Y11" s="279"/>
      <c r="Z11" s="506"/>
      <c r="AA11" s="279">
        <f t="shared" ref="AA11:AA22" si="1">AB11+400</f>
        <v>412</v>
      </c>
      <c r="AB11" s="279">
        <v>12</v>
      </c>
      <c r="AC11" s="279">
        <v>3</v>
      </c>
      <c r="AD11" s="279">
        <v>1</v>
      </c>
      <c r="AE11" s="279"/>
    </row>
    <row r="12" spans="1:31">
      <c r="A12" s="279"/>
      <c r="B12" s="279"/>
      <c r="C12" s="294"/>
      <c r="D12" s="294"/>
      <c r="E12" s="279"/>
      <c r="F12" s="279"/>
      <c r="G12" s="294"/>
      <c r="H12" s="294"/>
      <c r="I12" s="279"/>
      <c r="J12" s="279"/>
      <c r="K12" s="279"/>
      <c r="L12" s="279"/>
      <c r="M12" s="279"/>
      <c r="N12" s="279"/>
      <c r="O12" s="279"/>
      <c r="P12" s="279"/>
      <c r="Q12" s="279"/>
      <c r="R12" s="279"/>
      <c r="S12" s="279"/>
      <c r="T12" s="279"/>
      <c r="U12" s="279"/>
      <c r="V12" s="279"/>
      <c r="W12" s="279"/>
      <c r="X12" s="279"/>
      <c r="Y12" s="279"/>
      <c r="Z12" s="506"/>
      <c r="AA12" s="279">
        <f t="shared" si="1"/>
        <v>413</v>
      </c>
      <c r="AB12" s="279">
        <v>13</v>
      </c>
      <c r="AC12" s="279">
        <v>2</v>
      </c>
      <c r="AD12" s="279">
        <v>1</v>
      </c>
      <c r="AE12" s="279"/>
    </row>
    <row r="13" spans="1:31">
      <c r="A13" s="294"/>
      <c r="B13" s="346"/>
      <c r="C13" s="509" t="s">
        <v>1780</v>
      </c>
      <c r="D13" s="510"/>
      <c r="E13" s="325"/>
      <c r="G13" s="509" t="s">
        <v>1786</v>
      </c>
      <c r="H13" s="514"/>
      <c r="I13" s="325"/>
      <c r="J13" s="279"/>
      <c r="K13" s="279"/>
      <c r="L13" s="279"/>
      <c r="M13" s="279"/>
      <c r="N13" s="279"/>
      <c r="O13" s="279"/>
      <c r="P13" s="279"/>
      <c r="Q13" s="279"/>
      <c r="R13" s="279"/>
      <c r="S13" s="279"/>
      <c r="T13" s="279"/>
      <c r="U13" s="279"/>
      <c r="V13" s="279"/>
      <c r="W13" s="279"/>
      <c r="X13" s="279"/>
      <c r="Y13" s="279"/>
      <c r="Z13" s="506"/>
      <c r="AA13" s="279">
        <f t="shared" si="1"/>
        <v>414</v>
      </c>
      <c r="AB13" s="279">
        <v>14</v>
      </c>
      <c r="AC13" s="279">
        <v>1</v>
      </c>
      <c r="AD13" s="279">
        <v>1</v>
      </c>
      <c r="AE13" s="279"/>
    </row>
    <row r="14" spans="1:31">
      <c r="A14" s="511" t="s">
        <v>1781</v>
      </c>
      <c r="B14" s="279">
        <v>1</v>
      </c>
      <c r="C14" s="293" t="s">
        <v>1782</v>
      </c>
      <c r="D14" s="279">
        <v>4</v>
      </c>
      <c r="E14" s="279"/>
      <c r="F14" s="279">
        <v>2</v>
      </c>
      <c r="G14" s="293" t="s">
        <v>1782</v>
      </c>
      <c r="H14" s="279">
        <v>3</v>
      </c>
      <c r="I14" s="279"/>
      <c r="J14" s="279"/>
      <c r="K14" s="279"/>
      <c r="L14" s="279"/>
      <c r="M14" s="279"/>
      <c r="N14" s="279"/>
      <c r="O14" s="279"/>
      <c r="P14" s="279"/>
      <c r="Q14" s="279"/>
      <c r="R14" s="279"/>
      <c r="S14" s="279"/>
      <c r="T14" s="279"/>
      <c r="U14" s="279"/>
      <c r="V14" s="279"/>
      <c r="W14" s="279"/>
      <c r="X14" s="279"/>
      <c r="Y14" s="279"/>
      <c r="Z14" s="506"/>
      <c r="AA14" s="279">
        <f t="shared" si="1"/>
        <v>421</v>
      </c>
      <c r="AB14" s="279">
        <v>21</v>
      </c>
      <c r="AC14" s="279">
        <v>3</v>
      </c>
      <c r="AD14" s="279">
        <v>1</v>
      </c>
      <c r="AE14" s="279"/>
    </row>
    <row r="15" spans="1:31">
      <c r="A15" s="512" t="s">
        <v>1783</v>
      </c>
      <c r="B15" s="279">
        <v>1</v>
      </c>
      <c r="C15" s="279" t="s">
        <v>1782</v>
      </c>
      <c r="D15" s="279">
        <v>3</v>
      </c>
      <c r="E15" s="279"/>
      <c r="F15" s="279">
        <v>2</v>
      </c>
      <c r="G15" s="279" t="s">
        <v>1782</v>
      </c>
      <c r="H15" s="279">
        <v>4</v>
      </c>
      <c r="I15" s="279"/>
      <c r="J15" s="279"/>
      <c r="K15" s="279"/>
      <c r="L15" s="279"/>
      <c r="M15" s="279"/>
      <c r="N15" s="279"/>
      <c r="O15" s="279"/>
      <c r="P15" s="279"/>
      <c r="Q15" s="279"/>
      <c r="R15" s="279"/>
      <c r="S15" s="279"/>
      <c r="T15" s="279"/>
      <c r="U15" s="279"/>
      <c r="V15" s="279"/>
      <c r="W15" s="279"/>
      <c r="X15" s="279"/>
      <c r="Y15" s="279"/>
      <c r="Z15" s="506"/>
      <c r="AA15" s="279">
        <f t="shared" si="1"/>
        <v>423</v>
      </c>
      <c r="AB15" s="279">
        <v>23</v>
      </c>
      <c r="AC15" s="279">
        <v>1</v>
      </c>
      <c r="AD15" s="279">
        <v>2</v>
      </c>
      <c r="AE15" s="279"/>
    </row>
    <row r="16" spans="1:31">
      <c r="A16" s="513" t="s">
        <v>1784</v>
      </c>
      <c r="B16" s="279">
        <v>1</v>
      </c>
      <c r="C16" s="279" t="s">
        <v>1782</v>
      </c>
      <c r="D16" s="279">
        <v>2</v>
      </c>
      <c r="E16" s="279"/>
      <c r="F16" s="279">
        <v>3</v>
      </c>
      <c r="G16" s="279" t="s">
        <v>1782</v>
      </c>
      <c r="H16" s="279">
        <v>4</v>
      </c>
      <c r="I16" s="279"/>
      <c r="J16" s="279"/>
      <c r="K16" s="279"/>
      <c r="L16" s="279"/>
      <c r="M16" s="279"/>
      <c r="N16" s="279"/>
      <c r="O16" s="279"/>
      <c r="P16" s="279"/>
      <c r="Q16" s="279"/>
      <c r="R16" s="279"/>
      <c r="S16" s="279"/>
      <c r="T16" s="279"/>
      <c r="U16" s="279"/>
      <c r="V16" s="279"/>
      <c r="W16" s="279"/>
      <c r="X16" s="279"/>
      <c r="Y16" s="279"/>
      <c r="Z16" s="506"/>
      <c r="AA16" s="279">
        <f t="shared" si="1"/>
        <v>424</v>
      </c>
      <c r="AB16" s="279">
        <v>24</v>
      </c>
      <c r="AC16" s="279">
        <v>2</v>
      </c>
      <c r="AD16" s="279">
        <v>2</v>
      </c>
      <c r="AE16" s="279"/>
    </row>
    <row r="17" spans="1:31">
      <c r="A17" s="293"/>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506"/>
      <c r="AA17" s="279">
        <f t="shared" si="1"/>
        <v>431</v>
      </c>
      <c r="AB17" s="279">
        <v>31</v>
      </c>
      <c r="AC17" s="279">
        <v>2</v>
      </c>
      <c r="AD17" s="279">
        <v>1</v>
      </c>
      <c r="AE17" s="279"/>
    </row>
    <row r="18" spans="1:31">
      <c r="A18" s="279"/>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506"/>
      <c r="AA18" s="279">
        <f t="shared" si="1"/>
        <v>432</v>
      </c>
      <c r="AB18" s="279">
        <v>32</v>
      </c>
      <c r="AC18" s="279">
        <v>1</v>
      </c>
      <c r="AD18" s="279">
        <v>2</v>
      </c>
      <c r="AE18" s="279"/>
    </row>
    <row r="19" spans="1:31" ht="18">
      <c r="A19" s="507" t="s">
        <v>1787</v>
      </c>
      <c r="B19" s="507"/>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506"/>
      <c r="AA19" s="279">
        <f t="shared" si="1"/>
        <v>434</v>
      </c>
      <c r="AB19" s="279">
        <v>34</v>
      </c>
      <c r="AC19" s="279">
        <v>3</v>
      </c>
      <c r="AD19" s="279">
        <v>2</v>
      </c>
      <c r="AE19" s="279"/>
    </row>
    <row r="20" spans="1:31">
      <c r="A20" s="279"/>
      <c r="B20" s="279"/>
      <c r="C20" s="279"/>
      <c r="D20" s="294"/>
      <c r="E20" s="294"/>
      <c r="F20" s="279"/>
      <c r="G20" s="279"/>
      <c r="H20" s="294"/>
      <c r="I20" s="294"/>
      <c r="J20" s="279"/>
      <c r="K20" s="279"/>
      <c r="L20" s="279"/>
      <c r="M20" s="279"/>
      <c r="N20" s="279"/>
      <c r="O20" s="279"/>
      <c r="P20" s="279"/>
      <c r="Q20" s="279"/>
      <c r="R20" s="279"/>
      <c r="S20" s="279"/>
      <c r="T20" s="279"/>
      <c r="U20" s="279"/>
      <c r="V20" s="279"/>
      <c r="W20" s="279"/>
      <c r="X20" s="279"/>
      <c r="Y20" s="279"/>
      <c r="Z20" s="506"/>
      <c r="AA20" s="279">
        <f t="shared" si="1"/>
        <v>441</v>
      </c>
      <c r="AB20" s="279">
        <v>41</v>
      </c>
      <c r="AC20" s="279">
        <v>1</v>
      </c>
      <c r="AD20" s="279">
        <v>1</v>
      </c>
      <c r="AE20" s="279"/>
    </row>
    <row r="21" spans="1:31">
      <c r="A21" s="294"/>
      <c r="B21" s="346"/>
      <c r="C21" s="509" t="s">
        <v>1780</v>
      </c>
      <c r="D21" s="514"/>
      <c r="E21" s="325"/>
      <c r="F21" s="346"/>
      <c r="G21" s="509" t="s">
        <v>1786</v>
      </c>
      <c r="H21" s="514"/>
      <c r="I21" s="325"/>
      <c r="J21" s="279"/>
      <c r="K21" s="279"/>
      <c r="L21" s="279"/>
      <c r="M21" s="279"/>
      <c r="N21" s="279"/>
      <c r="O21" s="279"/>
      <c r="P21" s="279"/>
      <c r="Q21" s="279"/>
      <c r="R21" s="279"/>
      <c r="S21" s="279"/>
      <c r="T21" s="279"/>
      <c r="U21" s="279"/>
      <c r="V21" s="279"/>
      <c r="W21" s="279"/>
      <c r="X21" s="279"/>
      <c r="Y21" s="279"/>
      <c r="Z21" s="506"/>
      <c r="AA21" s="279">
        <f t="shared" si="1"/>
        <v>442</v>
      </c>
      <c r="AB21" s="279">
        <v>42</v>
      </c>
      <c r="AC21" s="279">
        <v>2</v>
      </c>
      <c r="AD21" s="279">
        <v>2</v>
      </c>
      <c r="AE21" s="279"/>
    </row>
    <row r="22" spans="1:31">
      <c r="A22" s="511" t="s">
        <v>1781</v>
      </c>
      <c r="B22" s="279">
        <v>4</v>
      </c>
      <c r="C22" s="293" t="s">
        <v>1782</v>
      </c>
      <c r="D22" s="293">
        <v>2</v>
      </c>
      <c r="E22" s="279"/>
      <c r="F22" s="279">
        <v>5</v>
      </c>
      <c r="G22" s="293" t="s">
        <v>1782</v>
      </c>
      <c r="H22" s="293">
        <v>1</v>
      </c>
      <c r="I22" s="279"/>
      <c r="J22" s="279"/>
      <c r="K22" s="279"/>
      <c r="L22" s="279"/>
      <c r="M22" s="279"/>
      <c r="N22" s="279"/>
      <c r="O22" s="279"/>
      <c r="P22" s="279"/>
      <c r="Q22" s="279"/>
      <c r="R22" s="279"/>
      <c r="S22" s="279"/>
      <c r="T22" s="279"/>
      <c r="U22" s="279"/>
      <c r="V22" s="279"/>
      <c r="W22" s="279"/>
      <c r="X22" s="279"/>
      <c r="Y22" s="279"/>
      <c r="Z22" s="506"/>
      <c r="AA22" s="279">
        <f t="shared" si="1"/>
        <v>443</v>
      </c>
      <c r="AB22" s="279">
        <v>43</v>
      </c>
      <c r="AC22" s="279">
        <v>3</v>
      </c>
      <c r="AD22" s="279">
        <v>2</v>
      </c>
      <c r="AE22" s="279"/>
    </row>
    <row r="23" spans="1:31">
      <c r="A23" s="512" t="s">
        <v>1783</v>
      </c>
      <c r="B23" s="279">
        <v>1</v>
      </c>
      <c r="C23" s="279" t="s">
        <v>1782</v>
      </c>
      <c r="D23" s="279">
        <v>4</v>
      </c>
      <c r="E23" s="279"/>
      <c r="F23" s="279">
        <v>2</v>
      </c>
      <c r="G23" s="279" t="s">
        <v>1782</v>
      </c>
      <c r="H23" s="279">
        <v>3</v>
      </c>
      <c r="I23" s="279"/>
      <c r="J23" s="279"/>
      <c r="K23" s="279"/>
      <c r="L23" s="279"/>
      <c r="M23" s="279"/>
      <c r="N23" s="279"/>
      <c r="O23" s="279"/>
      <c r="P23" s="279"/>
      <c r="Q23" s="279"/>
      <c r="R23" s="279"/>
      <c r="S23" s="279"/>
      <c r="T23" s="279"/>
      <c r="U23" s="279"/>
      <c r="V23" s="279"/>
      <c r="W23" s="279"/>
      <c r="X23" s="279"/>
      <c r="Y23" s="279"/>
      <c r="Z23" s="506"/>
      <c r="AA23" s="279"/>
      <c r="AB23" s="279"/>
      <c r="AC23" s="279"/>
      <c r="AD23" s="279"/>
      <c r="AE23" s="279"/>
    </row>
    <row r="24" spans="1:31" ht="18">
      <c r="A24" s="512" t="s">
        <v>1784</v>
      </c>
      <c r="B24" s="279">
        <v>3</v>
      </c>
      <c r="C24" s="279" t="s">
        <v>1782</v>
      </c>
      <c r="D24" s="279">
        <v>1</v>
      </c>
      <c r="E24" s="279"/>
      <c r="F24" s="279">
        <v>4</v>
      </c>
      <c r="G24" s="279" t="s">
        <v>1782</v>
      </c>
      <c r="H24" s="279">
        <v>5</v>
      </c>
      <c r="I24" s="279"/>
      <c r="J24" s="279"/>
      <c r="K24" s="279"/>
      <c r="L24" s="279"/>
      <c r="M24" s="279"/>
      <c r="N24" s="279"/>
      <c r="O24" s="279"/>
      <c r="P24" s="279"/>
      <c r="Q24" s="279"/>
      <c r="R24" s="279"/>
      <c r="S24" s="279"/>
      <c r="T24" s="279"/>
      <c r="U24" s="279"/>
      <c r="V24" s="279"/>
      <c r="W24" s="279"/>
      <c r="X24" s="279"/>
      <c r="Y24" s="279"/>
      <c r="Z24" s="506"/>
      <c r="AA24" s="507" t="s">
        <v>1787</v>
      </c>
      <c r="AB24" s="507"/>
      <c r="AC24" s="507"/>
      <c r="AD24" s="279"/>
      <c r="AE24" s="279"/>
    </row>
    <row r="25" spans="1:31">
      <c r="A25" s="512" t="s">
        <v>1788</v>
      </c>
      <c r="B25" s="279">
        <v>5</v>
      </c>
      <c r="C25" s="279" t="s">
        <v>1782</v>
      </c>
      <c r="D25" s="279">
        <v>3</v>
      </c>
      <c r="E25" s="279"/>
      <c r="F25" s="279">
        <v>1</v>
      </c>
      <c r="G25" s="279" t="s">
        <v>1782</v>
      </c>
      <c r="H25" s="279">
        <v>2</v>
      </c>
      <c r="I25" s="279"/>
      <c r="J25" s="279"/>
      <c r="K25" s="279"/>
      <c r="L25" s="279"/>
      <c r="M25" s="279"/>
      <c r="N25" s="279"/>
      <c r="O25" s="279"/>
      <c r="P25" s="279"/>
      <c r="Q25" s="279"/>
      <c r="R25" s="279"/>
      <c r="S25" s="279"/>
      <c r="T25" s="279"/>
      <c r="U25" s="279"/>
      <c r="V25" s="279"/>
      <c r="W25" s="279"/>
      <c r="X25" s="279"/>
      <c r="Y25" s="279"/>
      <c r="Z25" s="506"/>
      <c r="AA25" s="279">
        <f t="shared" ref="AA25:AA44" si="2">AB25+500</f>
        <v>512</v>
      </c>
      <c r="AB25" s="279">
        <v>12</v>
      </c>
      <c r="AC25" s="279">
        <v>4</v>
      </c>
      <c r="AD25" s="279">
        <v>2</v>
      </c>
      <c r="AE25" s="279"/>
    </row>
    <row r="26" spans="1:31">
      <c r="A26" s="513" t="s">
        <v>1789</v>
      </c>
      <c r="B26" s="279">
        <v>2</v>
      </c>
      <c r="C26" s="279" t="s">
        <v>1782</v>
      </c>
      <c r="D26" s="279">
        <v>5</v>
      </c>
      <c r="E26" s="279"/>
      <c r="F26" s="279">
        <v>3</v>
      </c>
      <c r="G26" s="279" t="s">
        <v>1782</v>
      </c>
      <c r="H26" s="279">
        <v>4</v>
      </c>
      <c r="I26" s="279"/>
      <c r="J26" s="279"/>
      <c r="K26" s="279"/>
      <c r="L26" s="279"/>
      <c r="M26" s="279"/>
      <c r="N26" s="279"/>
      <c r="O26" s="279"/>
      <c r="P26" s="279"/>
      <c r="Q26" s="279"/>
      <c r="R26" s="279"/>
      <c r="S26" s="279"/>
      <c r="T26" s="279"/>
      <c r="U26" s="279"/>
      <c r="V26" s="279"/>
      <c r="W26" s="279"/>
      <c r="X26" s="279"/>
      <c r="Y26" s="279"/>
      <c r="Z26" s="506"/>
      <c r="AA26" s="279">
        <f t="shared" si="2"/>
        <v>513</v>
      </c>
      <c r="AB26" s="279">
        <v>13</v>
      </c>
      <c r="AC26" s="279">
        <v>3</v>
      </c>
      <c r="AD26" s="279">
        <v>1</v>
      </c>
      <c r="AE26" s="279"/>
    </row>
    <row r="27" spans="1:31">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506"/>
      <c r="AA27" s="279">
        <f t="shared" si="2"/>
        <v>514</v>
      </c>
      <c r="AB27" s="279">
        <v>14</v>
      </c>
      <c r="AC27" s="279">
        <v>2</v>
      </c>
      <c r="AD27" s="279">
        <v>1</v>
      </c>
      <c r="AE27" s="279"/>
    </row>
    <row r="28" spans="1:31">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506"/>
      <c r="AA28" s="279">
        <f t="shared" si="2"/>
        <v>515</v>
      </c>
      <c r="AB28" s="279">
        <v>15</v>
      </c>
      <c r="AC28" s="279">
        <v>1</v>
      </c>
      <c r="AD28" s="279">
        <v>2</v>
      </c>
      <c r="AE28" s="279"/>
    </row>
    <row r="29" spans="1:31" ht="18">
      <c r="A29" s="507" t="s">
        <v>1790</v>
      </c>
      <c r="B29" s="508"/>
      <c r="C29" s="508"/>
      <c r="D29" s="508"/>
      <c r="E29" s="279"/>
      <c r="F29" s="279"/>
      <c r="G29" s="279"/>
      <c r="H29" s="279"/>
      <c r="I29" s="279"/>
      <c r="J29" s="279"/>
      <c r="K29" s="279"/>
      <c r="L29" s="279"/>
      <c r="M29" s="279"/>
      <c r="N29" s="279"/>
      <c r="O29" s="279"/>
      <c r="P29" s="279"/>
      <c r="Q29" s="279"/>
      <c r="R29" s="279"/>
      <c r="S29" s="279"/>
      <c r="T29" s="279"/>
      <c r="U29" s="279"/>
      <c r="V29" s="279"/>
      <c r="W29" s="279"/>
      <c r="X29" s="279"/>
      <c r="Y29" s="279"/>
      <c r="Z29" s="506"/>
      <c r="AA29" s="279">
        <f t="shared" si="2"/>
        <v>521</v>
      </c>
      <c r="AB29" s="279">
        <v>21</v>
      </c>
      <c r="AC29" s="279">
        <v>4</v>
      </c>
      <c r="AD29" s="279">
        <v>2</v>
      </c>
      <c r="AE29" s="279"/>
    </row>
    <row r="30" spans="1:31">
      <c r="A30" s="279"/>
      <c r="B30" s="279"/>
      <c r="C30" s="294"/>
      <c r="D30" s="294"/>
      <c r="E30" s="279"/>
      <c r="F30" s="279"/>
      <c r="G30" s="294"/>
      <c r="H30" s="294"/>
      <c r="I30" s="279"/>
      <c r="J30" s="279"/>
      <c r="K30" s="294"/>
      <c r="L30" s="294"/>
      <c r="M30" s="279"/>
      <c r="N30" s="279"/>
      <c r="O30" s="279"/>
      <c r="P30" s="279"/>
      <c r="Q30" s="279"/>
      <c r="R30" s="279"/>
      <c r="S30" s="279"/>
      <c r="T30" s="279"/>
      <c r="U30" s="279"/>
      <c r="V30" s="279"/>
      <c r="W30" s="279"/>
      <c r="X30" s="279"/>
      <c r="Y30" s="279"/>
      <c r="Z30" s="506"/>
      <c r="AA30" s="279">
        <f t="shared" si="2"/>
        <v>523</v>
      </c>
      <c r="AB30" s="279">
        <v>23</v>
      </c>
      <c r="AC30" s="279">
        <v>2</v>
      </c>
      <c r="AD30" s="279">
        <v>2</v>
      </c>
      <c r="AE30" s="279"/>
    </row>
    <row r="31" spans="1:31">
      <c r="A31" s="294"/>
      <c r="B31" s="346"/>
      <c r="C31" s="509" t="s">
        <v>1780</v>
      </c>
      <c r="D31" s="514"/>
      <c r="E31" s="325"/>
      <c r="F31" s="346"/>
      <c r="G31" s="509" t="s">
        <v>1786</v>
      </c>
      <c r="H31" s="514"/>
      <c r="I31" s="325"/>
      <c r="J31" s="346"/>
      <c r="K31" s="509" t="s">
        <v>1791</v>
      </c>
      <c r="L31" s="514"/>
      <c r="M31" s="325"/>
      <c r="N31" s="279"/>
      <c r="O31" s="279"/>
      <c r="P31" s="279"/>
      <c r="Q31" s="279"/>
      <c r="R31" s="279"/>
      <c r="S31" s="279"/>
      <c r="T31" s="279"/>
      <c r="U31" s="279"/>
      <c r="V31" s="279"/>
      <c r="W31" s="279"/>
      <c r="X31" s="279"/>
      <c r="Y31" s="279"/>
      <c r="Z31" s="506"/>
      <c r="AA31" s="279">
        <f t="shared" si="2"/>
        <v>524</v>
      </c>
      <c r="AB31" s="279">
        <v>24</v>
      </c>
      <c r="AC31" s="279">
        <v>1</v>
      </c>
      <c r="AD31" s="279">
        <v>1</v>
      </c>
      <c r="AE31" s="279"/>
    </row>
    <row r="32" spans="1:31">
      <c r="A32" s="511" t="s">
        <v>1781</v>
      </c>
      <c r="B32" s="279">
        <v>1</v>
      </c>
      <c r="C32" s="293" t="s">
        <v>1782</v>
      </c>
      <c r="D32" s="293">
        <v>5</v>
      </c>
      <c r="E32" s="279"/>
      <c r="F32" s="279">
        <v>2</v>
      </c>
      <c r="G32" s="293" t="s">
        <v>1782</v>
      </c>
      <c r="H32" s="293">
        <v>4</v>
      </c>
      <c r="I32" s="279"/>
      <c r="J32" s="325">
        <v>3</v>
      </c>
      <c r="K32" s="293" t="s">
        <v>1782</v>
      </c>
      <c r="L32" s="293">
        <v>6</v>
      </c>
      <c r="M32" s="279"/>
      <c r="N32" s="279"/>
      <c r="O32" s="279"/>
      <c r="P32" s="279"/>
      <c r="Q32" s="279"/>
      <c r="R32" s="279"/>
      <c r="S32" s="279"/>
      <c r="T32" s="279"/>
      <c r="U32" s="279"/>
      <c r="V32" s="279"/>
      <c r="W32" s="279"/>
      <c r="X32" s="279"/>
      <c r="Y32" s="279"/>
      <c r="Z32" s="506"/>
      <c r="AA32" s="279">
        <f t="shared" si="2"/>
        <v>525</v>
      </c>
      <c r="AB32" s="279">
        <v>25</v>
      </c>
      <c r="AC32" s="279">
        <v>5</v>
      </c>
      <c r="AD32" s="279">
        <v>1</v>
      </c>
      <c r="AE32" s="279"/>
    </row>
    <row r="33" spans="1:31">
      <c r="A33" s="512" t="s">
        <v>1783</v>
      </c>
      <c r="B33" s="279">
        <v>1</v>
      </c>
      <c r="C33" s="279" t="s">
        <v>1782</v>
      </c>
      <c r="D33" s="279">
        <v>4</v>
      </c>
      <c r="E33" s="279"/>
      <c r="F33" s="325">
        <v>5</v>
      </c>
      <c r="G33" s="279" t="s">
        <v>1782</v>
      </c>
      <c r="H33" s="279">
        <v>6</v>
      </c>
      <c r="I33" s="279"/>
      <c r="J33" s="279">
        <v>2</v>
      </c>
      <c r="K33" s="279" t="s">
        <v>1782</v>
      </c>
      <c r="L33" s="279">
        <v>3</v>
      </c>
      <c r="M33" s="279"/>
      <c r="N33" s="279"/>
      <c r="O33" s="279"/>
      <c r="P33" s="279"/>
      <c r="Q33" s="279"/>
      <c r="R33" s="279"/>
      <c r="S33" s="279"/>
      <c r="T33" s="279"/>
      <c r="U33" s="279"/>
      <c r="V33" s="279"/>
      <c r="W33" s="279"/>
      <c r="X33" s="279"/>
      <c r="Y33" s="279"/>
      <c r="Z33" s="506"/>
      <c r="AA33" s="279">
        <f t="shared" si="2"/>
        <v>531</v>
      </c>
      <c r="AB33" s="279">
        <v>31</v>
      </c>
      <c r="AC33" s="279">
        <v>3</v>
      </c>
      <c r="AD33" s="279">
        <v>1</v>
      </c>
      <c r="AE33" s="279"/>
    </row>
    <row r="34" spans="1:31">
      <c r="A34" s="512" t="s">
        <v>1784</v>
      </c>
      <c r="B34" s="325">
        <v>2</v>
      </c>
      <c r="C34" s="279" t="s">
        <v>1782</v>
      </c>
      <c r="D34" s="279">
        <v>6</v>
      </c>
      <c r="E34" s="279"/>
      <c r="F34" s="279">
        <v>1</v>
      </c>
      <c r="G34" s="279" t="s">
        <v>1782</v>
      </c>
      <c r="H34" s="279">
        <v>3</v>
      </c>
      <c r="I34" s="279"/>
      <c r="J34" s="279">
        <v>4</v>
      </c>
      <c r="K34" s="279" t="s">
        <v>1782</v>
      </c>
      <c r="L34" s="279">
        <v>5</v>
      </c>
      <c r="M34" s="279"/>
      <c r="N34" s="279"/>
      <c r="O34" s="279"/>
      <c r="P34" s="279"/>
      <c r="Q34" s="279"/>
      <c r="R34" s="279"/>
      <c r="S34" s="279"/>
      <c r="T34" s="279"/>
      <c r="U34" s="279"/>
      <c r="V34" s="279"/>
      <c r="W34" s="279"/>
      <c r="X34" s="279"/>
      <c r="Y34" s="279"/>
      <c r="Z34" s="506"/>
      <c r="AA34" s="279">
        <f t="shared" si="2"/>
        <v>532</v>
      </c>
      <c r="AB34" s="279">
        <v>32</v>
      </c>
      <c r="AC34" s="279">
        <v>2</v>
      </c>
      <c r="AD34" s="279">
        <v>2</v>
      </c>
      <c r="AE34" s="279"/>
    </row>
    <row r="35" spans="1:31">
      <c r="A35" s="512" t="s">
        <v>1788</v>
      </c>
      <c r="B35" s="279">
        <v>3</v>
      </c>
      <c r="C35" s="279" t="s">
        <v>1782</v>
      </c>
      <c r="D35" s="279">
        <v>5</v>
      </c>
      <c r="E35" s="279"/>
      <c r="F35" s="325">
        <v>4</v>
      </c>
      <c r="G35" s="279" t="s">
        <v>1782</v>
      </c>
      <c r="H35" s="279">
        <v>6</v>
      </c>
      <c r="I35" s="279"/>
      <c r="J35" s="279">
        <v>1</v>
      </c>
      <c r="K35" s="279" t="s">
        <v>1782</v>
      </c>
      <c r="L35" s="279">
        <v>2</v>
      </c>
      <c r="M35" s="279"/>
      <c r="N35" s="279"/>
      <c r="O35" s="279"/>
      <c r="P35" s="279"/>
      <c r="Q35" s="279"/>
      <c r="R35" s="279"/>
      <c r="S35" s="279"/>
      <c r="T35" s="279"/>
      <c r="U35" s="279"/>
      <c r="V35" s="279"/>
      <c r="W35" s="279"/>
      <c r="X35" s="279"/>
      <c r="Y35" s="279"/>
      <c r="Z35" s="506"/>
      <c r="AA35" s="279">
        <f t="shared" si="2"/>
        <v>534</v>
      </c>
      <c r="AB35" s="279">
        <v>34</v>
      </c>
      <c r="AC35" s="279">
        <v>5</v>
      </c>
      <c r="AD35" s="279">
        <v>2</v>
      </c>
      <c r="AE35" s="279"/>
    </row>
    <row r="36" spans="1:31">
      <c r="A36" s="513" t="s">
        <v>1789</v>
      </c>
      <c r="B36" s="279">
        <v>3</v>
      </c>
      <c r="C36" s="279" t="s">
        <v>1782</v>
      </c>
      <c r="D36" s="279">
        <v>4</v>
      </c>
      <c r="E36" s="279"/>
      <c r="F36" s="279">
        <v>2</v>
      </c>
      <c r="G36" s="279" t="s">
        <v>1782</v>
      </c>
      <c r="H36" s="279">
        <v>5</v>
      </c>
      <c r="I36" s="279"/>
      <c r="J36" s="325">
        <v>1</v>
      </c>
      <c r="K36" s="279" t="s">
        <v>1782</v>
      </c>
      <c r="L36" s="279">
        <v>6</v>
      </c>
      <c r="M36" s="279"/>
      <c r="N36" s="279"/>
      <c r="O36" s="279"/>
      <c r="P36" s="279"/>
      <c r="Q36" s="279"/>
      <c r="R36" s="279"/>
      <c r="S36" s="279"/>
      <c r="T36" s="279"/>
      <c r="U36" s="279"/>
      <c r="V36" s="279"/>
      <c r="W36" s="279"/>
      <c r="X36" s="279"/>
      <c r="Y36" s="279"/>
      <c r="Z36" s="506"/>
      <c r="AA36" s="279">
        <f t="shared" si="2"/>
        <v>535</v>
      </c>
      <c r="AB36" s="279">
        <v>35</v>
      </c>
      <c r="AC36" s="279">
        <v>4</v>
      </c>
      <c r="AD36" s="279">
        <v>1</v>
      </c>
      <c r="AE36" s="279"/>
    </row>
    <row r="37" spans="1:31">
      <c r="A37" s="279"/>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506"/>
      <c r="AA37" s="279">
        <f t="shared" si="2"/>
        <v>541</v>
      </c>
      <c r="AB37" s="279">
        <v>41</v>
      </c>
      <c r="AC37" s="279">
        <v>2</v>
      </c>
      <c r="AD37" s="279">
        <v>1</v>
      </c>
      <c r="AE37" s="279"/>
    </row>
    <row r="38" spans="1:31">
      <c r="A38" s="279"/>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506"/>
      <c r="AA38" s="279">
        <f t="shared" si="2"/>
        <v>542</v>
      </c>
      <c r="AB38" s="279">
        <v>42</v>
      </c>
      <c r="AC38" s="279">
        <v>1</v>
      </c>
      <c r="AD38" s="279">
        <v>1</v>
      </c>
      <c r="AE38" s="279"/>
    </row>
    <row r="39" spans="1:31">
      <c r="A39" s="279"/>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506"/>
      <c r="AA39" s="279">
        <f t="shared" si="2"/>
        <v>543</v>
      </c>
      <c r="AB39" s="279">
        <v>43</v>
      </c>
      <c r="AC39" s="279">
        <v>5</v>
      </c>
      <c r="AD39" s="279">
        <v>2</v>
      </c>
      <c r="AE39" s="279"/>
    </row>
    <row r="40" spans="1:31">
      <c r="A40" s="279"/>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506"/>
      <c r="AA40" s="279">
        <f t="shared" si="2"/>
        <v>545</v>
      </c>
      <c r="AB40" s="279">
        <v>45</v>
      </c>
      <c r="AC40" s="279">
        <v>3</v>
      </c>
      <c r="AD40" s="279">
        <v>2</v>
      </c>
      <c r="AE40" s="279"/>
    </row>
    <row r="41" spans="1:31">
      <c r="A41" s="279"/>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506"/>
      <c r="AA41" s="279">
        <f t="shared" si="2"/>
        <v>551</v>
      </c>
      <c r="AB41" s="279">
        <v>51</v>
      </c>
      <c r="AC41" s="279">
        <v>1</v>
      </c>
      <c r="AD41" s="279">
        <v>2</v>
      </c>
      <c r="AE41" s="279"/>
    </row>
    <row r="42" spans="1:31">
      <c r="A42" s="279"/>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506"/>
      <c r="AA42" s="279">
        <f t="shared" si="2"/>
        <v>552</v>
      </c>
      <c r="AB42" s="279">
        <v>52</v>
      </c>
      <c r="AC42" s="279">
        <v>5</v>
      </c>
      <c r="AD42" s="279">
        <v>1</v>
      </c>
      <c r="AE42" s="279"/>
    </row>
    <row r="43" spans="1:31">
      <c r="A43" s="279"/>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506"/>
      <c r="AA43" s="279">
        <f t="shared" si="2"/>
        <v>553</v>
      </c>
      <c r="AB43" s="279">
        <v>53</v>
      </c>
      <c r="AC43" s="279">
        <v>4</v>
      </c>
      <c r="AD43" s="279">
        <v>1</v>
      </c>
      <c r="AE43" s="279"/>
    </row>
    <row r="44" spans="1:31">
      <c r="A44" s="279"/>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506"/>
      <c r="AA44" s="279">
        <f t="shared" si="2"/>
        <v>554</v>
      </c>
      <c r="AB44" s="279">
        <v>54</v>
      </c>
      <c r="AC44" s="279">
        <v>3</v>
      </c>
      <c r="AD44" s="279">
        <v>2</v>
      </c>
      <c r="AE44" s="279"/>
    </row>
    <row r="45" spans="1:31">
      <c r="A45" s="279"/>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506"/>
      <c r="AA45" s="279"/>
      <c r="AB45" s="279"/>
      <c r="AC45" s="279"/>
      <c r="AD45" s="279"/>
      <c r="AE45" s="279"/>
    </row>
    <row r="46" spans="1:31" ht="18">
      <c r="A46" s="279"/>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506"/>
      <c r="AA46" s="507" t="s">
        <v>1790</v>
      </c>
      <c r="AB46" s="507"/>
      <c r="AC46" s="508"/>
      <c r="AD46" s="279"/>
      <c r="AE46" s="279"/>
    </row>
    <row r="47" spans="1:31">
      <c r="A47" s="279"/>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506"/>
      <c r="AA47" s="279">
        <f t="shared" ref="AA47:AA76" si="3">AB47+600</f>
        <v>612</v>
      </c>
      <c r="AB47" s="279">
        <v>12</v>
      </c>
      <c r="AC47" s="279">
        <v>4</v>
      </c>
      <c r="AD47" s="279">
        <v>3</v>
      </c>
      <c r="AE47" s="279"/>
    </row>
    <row r="48" spans="1:31">
      <c r="A48" s="279"/>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506"/>
      <c r="AA48" s="279">
        <f t="shared" si="3"/>
        <v>613</v>
      </c>
      <c r="AB48" s="279">
        <v>13</v>
      </c>
      <c r="AC48" s="279">
        <v>3</v>
      </c>
      <c r="AD48" s="279">
        <v>2</v>
      </c>
      <c r="AE48" s="279"/>
    </row>
    <row r="49" spans="1:31">
      <c r="A49" s="279"/>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506"/>
      <c r="AA49" s="279">
        <f t="shared" si="3"/>
        <v>614</v>
      </c>
      <c r="AB49" s="279">
        <v>14</v>
      </c>
      <c r="AC49" s="279">
        <v>2</v>
      </c>
      <c r="AD49" s="279">
        <v>1</v>
      </c>
      <c r="AE49" s="279"/>
    </row>
    <row r="50" spans="1:31">
      <c r="A50" s="279"/>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506"/>
      <c r="AA50" s="279">
        <f t="shared" si="3"/>
        <v>615</v>
      </c>
      <c r="AB50" s="279">
        <v>15</v>
      </c>
      <c r="AC50" s="279">
        <v>1</v>
      </c>
      <c r="AD50" s="279">
        <v>1</v>
      </c>
      <c r="AE50" s="279"/>
    </row>
    <row r="51" spans="1:31">
      <c r="A51" s="279"/>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506"/>
      <c r="AA51" s="279">
        <f t="shared" si="3"/>
        <v>616</v>
      </c>
      <c r="AB51" s="279">
        <v>16</v>
      </c>
      <c r="AC51" s="279">
        <v>5</v>
      </c>
      <c r="AD51" s="279">
        <v>3</v>
      </c>
      <c r="AE51" s="279"/>
    </row>
    <row r="52" spans="1:31">
      <c r="A52" s="279"/>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506"/>
      <c r="AA52" s="279">
        <f t="shared" si="3"/>
        <v>621</v>
      </c>
      <c r="AB52" s="279">
        <v>21</v>
      </c>
      <c r="AC52" s="279">
        <v>4</v>
      </c>
      <c r="AD52" s="279">
        <v>3</v>
      </c>
      <c r="AE52" s="279"/>
    </row>
    <row r="53" spans="1:31">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506"/>
      <c r="AA53" s="279">
        <f t="shared" si="3"/>
        <v>623</v>
      </c>
      <c r="AB53" s="279">
        <v>23</v>
      </c>
      <c r="AC53" s="279">
        <v>2</v>
      </c>
      <c r="AD53" s="279">
        <v>3</v>
      </c>
      <c r="AE53" s="279"/>
    </row>
    <row r="54" spans="1:31">
      <c r="A54" s="279"/>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506"/>
      <c r="AA54" s="279">
        <f t="shared" si="3"/>
        <v>624</v>
      </c>
      <c r="AB54" s="279">
        <v>24</v>
      </c>
      <c r="AC54" s="279">
        <v>1</v>
      </c>
      <c r="AD54" s="279">
        <v>2</v>
      </c>
      <c r="AE54" s="279"/>
    </row>
    <row r="55" spans="1:31">
      <c r="A55" s="279"/>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506"/>
      <c r="AA55" s="279">
        <f t="shared" si="3"/>
        <v>625</v>
      </c>
      <c r="AB55" s="279">
        <v>25</v>
      </c>
      <c r="AC55" s="279">
        <v>5</v>
      </c>
      <c r="AD55" s="279">
        <v>2</v>
      </c>
      <c r="AE55" s="279"/>
    </row>
    <row r="56" spans="1:31">
      <c r="A56" s="279"/>
      <c r="B56" s="279"/>
      <c r="C56" s="279"/>
      <c r="D56" s="279"/>
      <c r="E56" s="279"/>
      <c r="F56" s="279"/>
      <c r="G56" s="279"/>
      <c r="H56" s="279"/>
      <c r="I56" s="279"/>
      <c r="J56" s="279"/>
      <c r="K56" s="279"/>
      <c r="L56" s="279"/>
      <c r="M56" s="279"/>
      <c r="Z56" s="506"/>
      <c r="AA56" s="279">
        <f t="shared" si="3"/>
        <v>626</v>
      </c>
      <c r="AB56" s="279">
        <v>26</v>
      </c>
      <c r="AC56" s="279">
        <v>3</v>
      </c>
      <c r="AD56" s="279">
        <v>1</v>
      </c>
      <c r="AE56" s="279"/>
    </row>
    <row r="57" spans="1:31">
      <c r="A57" s="279"/>
      <c r="B57" s="279"/>
      <c r="C57" s="279"/>
      <c r="D57" s="279"/>
      <c r="E57" s="279"/>
      <c r="F57" s="279"/>
      <c r="G57" s="279"/>
      <c r="H57" s="279"/>
      <c r="I57" s="279"/>
      <c r="J57" s="279"/>
      <c r="K57" s="279"/>
      <c r="L57" s="279"/>
      <c r="M57" s="279"/>
      <c r="Z57" s="506"/>
      <c r="AA57" s="279">
        <f t="shared" si="3"/>
        <v>631</v>
      </c>
      <c r="AB57" s="279">
        <v>31</v>
      </c>
      <c r="AC57" s="279">
        <v>3</v>
      </c>
      <c r="AD57" s="279">
        <v>2</v>
      </c>
      <c r="AE57" s="279"/>
    </row>
    <row r="58" spans="1:31">
      <c r="A58" s="279"/>
      <c r="B58" s="279"/>
      <c r="C58" s="279"/>
      <c r="D58" s="279"/>
      <c r="E58" s="279"/>
      <c r="F58" s="279"/>
      <c r="G58" s="279"/>
      <c r="H58" s="279"/>
      <c r="I58" s="279"/>
      <c r="J58" s="279"/>
      <c r="K58" s="279"/>
      <c r="L58" s="279"/>
      <c r="M58" s="279"/>
      <c r="Z58" s="506"/>
      <c r="AA58" s="279">
        <f t="shared" si="3"/>
        <v>632</v>
      </c>
      <c r="AB58" s="279">
        <v>32</v>
      </c>
      <c r="AC58" s="279">
        <v>2</v>
      </c>
      <c r="AD58" s="279">
        <v>3</v>
      </c>
      <c r="AE58" s="279"/>
    </row>
    <row r="59" spans="1:31">
      <c r="A59" s="279"/>
      <c r="B59" s="279"/>
      <c r="C59" s="279"/>
      <c r="D59" s="279"/>
      <c r="E59" s="279"/>
      <c r="F59" s="279"/>
      <c r="G59" s="279"/>
      <c r="H59" s="279"/>
      <c r="I59" s="279"/>
      <c r="J59" s="279"/>
      <c r="K59" s="279"/>
      <c r="L59" s="279"/>
      <c r="M59" s="279"/>
      <c r="Z59" s="506"/>
      <c r="AA59" s="279">
        <f t="shared" si="3"/>
        <v>634</v>
      </c>
      <c r="AB59" s="279">
        <v>34</v>
      </c>
      <c r="AC59" s="279">
        <v>5</v>
      </c>
      <c r="AD59" s="279">
        <v>1</v>
      </c>
      <c r="AE59" s="279"/>
    </row>
    <row r="60" spans="1:31">
      <c r="A60" s="279"/>
      <c r="B60" s="279"/>
      <c r="C60" s="279"/>
      <c r="D60" s="279"/>
      <c r="E60" s="279"/>
      <c r="F60" s="279"/>
      <c r="G60" s="279"/>
      <c r="H60" s="279"/>
      <c r="I60" s="279"/>
      <c r="J60" s="279"/>
      <c r="K60" s="279"/>
      <c r="L60" s="279"/>
      <c r="M60" s="279"/>
      <c r="Z60" s="506"/>
      <c r="AA60" s="279">
        <f t="shared" si="3"/>
        <v>635</v>
      </c>
      <c r="AB60" s="279">
        <v>35</v>
      </c>
      <c r="AC60" s="279">
        <v>4</v>
      </c>
      <c r="AD60" s="279">
        <v>1</v>
      </c>
      <c r="AE60" s="279"/>
    </row>
    <row r="61" spans="1:31">
      <c r="A61" s="279"/>
      <c r="B61" s="279"/>
      <c r="C61" s="279"/>
      <c r="D61" s="279"/>
      <c r="E61" s="279"/>
      <c r="F61" s="279"/>
      <c r="G61" s="279"/>
      <c r="H61" s="279"/>
      <c r="I61" s="279"/>
      <c r="J61" s="279"/>
      <c r="K61" s="279"/>
      <c r="L61" s="279"/>
      <c r="M61" s="279"/>
      <c r="Z61" s="506"/>
      <c r="AA61" s="279">
        <f t="shared" si="3"/>
        <v>636</v>
      </c>
      <c r="AB61" s="279">
        <v>36</v>
      </c>
      <c r="AC61" s="279">
        <v>1</v>
      </c>
      <c r="AD61" s="279">
        <v>3</v>
      </c>
      <c r="AE61" s="279"/>
    </row>
    <row r="62" spans="1:31">
      <c r="A62" s="279"/>
      <c r="B62" s="279"/>
      <c r="C62" s="279"/>
      <c r="D62" s="279"/>
      <c r="E62" s="279"/>
      <c r="F62" s="279"/>
      <c r="G62" s="279"/>
      <c r="H62" s="279"/>
      <c r="I62" s="279"/>
      <c r="J62" s="279"/>
      <c r="K62" s="279"/>
      <c r="L62" s="279"/>
      <c r="M62" s="279"/>
      <c r="Z62" s="506"/>
      <c r="AA62" s="279">
        <f t="shared" si="3"/>
        <v>641</v>
      </c>
      <c r="AB62" s="279">
        <v>41</v>
      </c>
      <c r="AC62" s="279">
        <v>2</v>
      </c>
      <c r="AD62" s="279">
        <v>1</v>
      </c>
      <c r="AE62" s="279"/>
    </row>
    <row r="63" spans="1:31">
      <c r="Z63" s="506"/>
      <c r="AA63" s="279">
        <f t="shared" si="3"/>
        <v>642</v>
      </c>
      <c r="AB63" s="279">
        <v>42</v>
      </c>
      <c r="AC63" s="279">
        <v>1</v>
      </c>
      <c r="AD63" s="279">
        <v>2</v>
      </c>
      <c r="AE63" s="279"/>
    </row>
    <row r="64" spans="1:31">
      <c r="Z64" s="506"/>
      <c r="AA64" s="279">
        <f t="shared" si="3"/>
        <v>643</v>
      </c>
      <c r="AB64" s="279">
        <v>43</v>
      </c>
      <c r="AC64" s="279">
        <v>5</v>
      </c>
      <c r="AD64" s="279">
        <v>1</v>
      </c>
      <c r="AE64" s="279"/>
    </row>
    <row r="65" spans="26:31">
      <c r="Z65" s="506"/>
      <c r="AA65" s="279">
        <f t="shared" si="3"/>
        <v>645</v>
      </c>
      <c r="AB65" s="279">
        <v>45</v>
      </c>
      <c r="AC65" s="279">
        <v>3</v>
      </c>
      <c r="AD65" s="279">
        <v>3</v>
      </c>
      <c r="AE65" s="279"/>
    </row>
    <row r="66" spans="26:31">
      <c r="Z66" s="506"/>
      <c r="AA66" s="279">
        <f t="shared" si="3"/>
        <v>646</v>
      </c>
      <c r="AB66" s="279">
        <v>46</v>
      </c>
      <c r="AC66" s="279">
        <v>4</v>
      </c>
      <c r="AD66" s="279">
        <v>2</v>
      </c>
      <c r="AE66" s="279"/>
    </row>
    <row r="67" spans="26:31">
      <c r="Z67" s="506"/>
      <c r="AA67" s="279">
        <f t="shared" si="3"/>
        <v>651</v>
      </c>
      <c r="AB67" s="279">
        <v>51</v>
      </c>
      <c r="AC67" s="279">
        <v>1</v>
      </c>
      <c r="AD67" s="279">
        <v>1</v>
      </c>
      <c r="AE67" s="279"/>
    </row>
    <row r="68" spans="26:31">
      <c r="Z68" s="506"/>
      <c r="AA68" s="279">
        <f t="shared" si="3"/>
        <v>652</v>
      </c>
      <c r="AB68" s="279">
        <v>52</v>
      </c>
      <c r="AC68" s="279">
        <v>5</v>
      </c>
      <c r="AD68" s="279">
        <v>2</v>
      </c>
      <c r="AE68" s="279"/>
    </row>
    <row r="69" spans="26:31">
      <c r="Z69" s="506"/>
      <c r="AA69" s="279">
        <f t="shared" si="3"/>
        <v>653</v>
      </c>
      <c r="AB69" s="279">
        <v>53</v>
      </c>
      <c r="AC69" s="279">
        <v>4</v>
      </c>
      <c r="AD69" s="279">
        <v>1</v>
      </c>
      <c r="AE69" s="279"/>
    </row>
    <row r="70" spans="26:31">
      <c r="Z70" s="506"/>
      <c r="AA70" s="279">
        <f t="shared" si="3"/>
        <v>654</v>
      </c>
      <c r="AB70" s="279">
        <v>54</v>
      </c>
      <c r="AC70" s="279">
        <v>3</v>
      </c>
      <c r="AD70" s="279">
        <v>3</v>
      </c>
      <c r="AE70" s="279"/>
    </row>
    <row r="71" spans="26:31">
      <c r="Z71" s="506"/>
      <c r="AA71" s="279">
        <f t="shared" si="3"/>
        <v>656</v>
      </c>
      <c r="AB71" s="279">
        <v>56</v>
      </c>
      <c r="AC71" s="279">
        <v>2</v>
      </c>
      <c r="AD71" s="279">
        <v>2</v>
      </c>
      <c r="AE71" s="279"/>
    </row>
    <row r="72" spans="26:31">
      <c r="Z72" s="506"/>
      <c r="AA72" s="279">
        <f t="shared" si="3"/>
        <v>661</v>
      </c>
      <c r="AB72" s="279">
        <v>61</v>
      </c>
      <c r="AC72" s="279">
        <v>5</v>
      </c>
      <c r="AD72" s="279">
        <v>3</v>
      </c>
      <c r="AE72" s="279"/>
    </row>
    <row r="73" spans="26:31">
      <c r="Z73" s="506"/>
      <c r="AA73" s="279">
        <f t="shared" si="3"/>
        <v>662</v>
      </c>
      <c r="AB73" s="279">
        <v>62</v>
      </c>
      <c r="AC73" s="279">
        <v>3</v>
      </c>
      <c r="AD73" s="279">
        <v>1</v>
      </c>
      <c r="AE73" s="279"/>
    </row>
    <row r="74" spans="26:31">
      <c r="Z74" s="506"/>
      <c r="AA74" s="279">
        <f t="shared" si="3"/>
        <v>663</v>
      </c>
      <c r="AB74" s="279">
        <v>63</v>
      </c>
      <c r="AC74" s="279">
        <v>1</v>
      </c>
      <c r="AD74" s="279">
        <v>3</v>
      </c>
      <c r="AE74" s="279"/>
    </row>
    <row r="75" spans="26:31">
      <c r="Z75" s="506"/>
      <c r="AA75" s="279">
        <f t="shared" si="3"/>
        <v>664</v>
      </c>
      <c r="AB75" s="279">
        <v>64</v>
      </c>
      <c r="AC75" s="279">
        <v>4</v>
      </c>
      <c r="AD75" s="279">
        <v>2</v>
      </c>
      <c r="AE75" s="279"/>
    </row>
    <row r="76" spans="26:31">
      <c r="Z76" s="506"/>
      <c r="AA76" s="279">
        <f t="shared" si="3"/>
        <v>665</v>
      </c>
      <c r="AB76" s="279">
        <v>65</v>
      </c>
      <c r="AC76" s="279">
        <v>2</v>
      </c>
      <c r="AD76" s="279">
        <v>2</v>
      </c>
      <c r="AE76" s="279"/>
    </row>
    <row r="77" spans="26:31">
      <c r="Z77" s="506"/>
      <c r="AA77" s="279"/>
      <c r="AB77" s="279"/>
      <c r="AC77" s="279"/>
      <c r="AD77" s="279"/>
      <c r="AE77" s="279"/>
    </row>
    <row r="78" spans="26:31">
      <c r="Z78" s="506"/>
      <c r="AA78" s="279"/>
      <c r="AB78" s="279"/>
      <c r="AC78" s="279"/>
      <c r="AD78" s="279"/>
      <c r="AE78" s="279"/>
    </row>
    <row r="79" spans="26:31">
      <c r="Z79" s="279"/>
      <c r="AA79" s="279"/>
      <c r="AB79" s="279"/>
      <c r="AC79" s="279"/>
      <c r="AD79" s="279"/>
      <c r="AE79" s="279"/>
    </row>
    <row r="80" spans="26:31">
      <c r="Z80" s="279"/>
      <c r="AA80" s="279"/>
      <c r="AB80" s="279"/>
      <c r="AC80" s="279"/>
      <c r="AD80" s="279"/>
      <c r="AE80" s="279"/>
    </row>
    <row r="81" spans="26:31">
      <c r="Z81" s="279"/>
      <c r="AA81" s="279"/>
      <c r="AB81" s="279"/>
      <c r="AC81" s="279"/>
      <c r="AD81" s="279"/>
      <c r="AE81" s="279"/>
    </row>
    <row r="82" spans="26:31">
      <c r="Z82" s="279"/>
      <c r="AA82" s="279"/>
      <c r="AB82" s="279"/>
      <c r="AC82" s="279"/>
      <c r="AD82" s="279"/>
      <c r="AE82" s="279"/>
    </row>
  </sheetData>
  <sheetProtection sheet="1" objects="1" scenarios="1"/>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59"/>
  <sheetViews>
    <sheetView zoomScaleNormal="100" workbookViewId="0">
      <pane ySplit="3" topLeftCell="A4" activePane="bottomLeft" state="frozen"/>
      <selection pane="bottomLeft" activeCell="A5" sqref="A5"/>
    </sheetView>
  </sheetViews>
  <sheetFormatPr defaultColWidth="8.7109375" defaultRowHeight="12.75"/>
  <cols>
    <col min="3" max="3" width="9" hidden="1" customWidth="1"/>
    <col min="4" max="4" width="9.42578125" hidden="1" customWidth="1"/>
    <col min="5" max="6" width="9.42578125" customWidth="1"/>
    <col min="9" max="9" width="10.28515625" customWidth="1"/>
    <col min="10" max="10" width="13" hidden="1" customWidth="1"/>
    <col min="11" max="11" width="18.7109375" customWidth="1"/>
  </cols>
  <sheetData>
    <row r="1" spans="1:12">
      <c r="A1" s="515" t="s">
        <v>1792</v>
      </c>
      <c r="B1" s="516"/>
      <c r="C1" s="516"/>
      <c r="E1" s="516"/>
      <c r="K1" s="194" t="s">
        <v>1571</v>
      </c>
      <c r="L1" s="517" t="e">
        <f>'Kvalita turnaje'!#REF!</f>
        <v>#REF!</v>
      </c>
    </row>
    <row r="2" spans="1:12">
      <c r="A2" s="310">
        <v>1</v>
      </c>
      <c r="B2" s="310">
        <v>2</v>
      </c>
      <c r="C2" s="310">
        <v>3</v>
      </c>
      <c r="D2" s="310">
        <v>4</v>
      </c>
      <c r="E2" s="310">
        <v>5</v>
      </c>
      <c r="F2" s="310">
        <v>6</v>
      </c>
      <c r="G2" s="16" t="s">
        <v>1793</v>
      </c>
      <c r="I2" s="518" t="s">
        <v>1794</v>
      </c>
      <c r="K2" s="194" t="s">
        <v>1574</v>
      </c>
      <c r="L2" s="518">
        <f ca="1">IF(TYPE(VLOOKUP(Start.listina!N2,Bonusy!A4:B8,2,0))&gt;3,0,VLOOKUP(Start.listina!N2,Bonusy!A4:B8,2,0))</f>
        <v>0</v>
      </c>
    </row>
    <row r="3" spans="1:12" ht="35.450000000000003" customHeight="1">
      <c r="A3" s="519" t="s">
        <v>1674</v>
      </c>
      <c r="B3" s="520" t="s">
        <v>1795</v>
      </c>
      <c r="C3" s="521" t="s">
        <v>1796</v>
      </c>
      <c r="D3" s="521" t="s">
        <v>1797</v>
      </c>
      <c r="E3" s="521" t="s">
        <v>1798</v>
      </c>
      <c r="F3" s="522" t="s">
        <v>1618</v>
      </c>
      <c r="G3" s="523" t="s">
        <v>1799</v>
      </c>
      <c r="H3" s="524">
        <f ca="1">'Počet kol'!$D$3</f>
        <v>4</v>
      </c>
      <c r="I3" s="525">
        <f ca="1">Start.listina!$K$7</f>
        <v>16</v>
      </c>
      <c r="K3" s="194" t="s">
        <v>1578</v>
      </c>
      <c r="L3" s="518">
        <f ca="1">IF(TYPE(VLOOKUP(Start.listina!N2,Paušál!A4:B7,2,0))&gt;3,0,VLOOKUP(Start.listina!N2,Paušál!A4:B7,2,0))</f>
        <v>1</v>
      </c>
    </row>
    <row r="4" spans="1:12">
      <c r="A4" s="526">
        <v>1</v>
      </c>
      <c r="B4" s="527">
        <f t="shared" ref="B4:B67" ca="1" si="0">J4*($H$3-C4+D4)</f>
        <v>4</v>
      </c>
      <c r="C4" s="176">
        <v>0</v>
      </c>
      <c r="D4" s="16">
        <v>0</v>
      </c>
      <c r="E4" s="16" t="e">
        <f t="shared" ref="E4:E67" ca="1" si="1">J4*(B4*$L$1+F4)-(J4-1)*$L$3</f>
        <v>#REF!</v>
      </c>
      <c r="F4" s="16">
        <f t="shared" ref="F4:F67" ca="1" si="2">IF(A4&lt;$I$3,$L$2,0)</f>
        <v>0</v>
      </c>
      <c r="J4">
        <f t="shared" ref="J4:J67" ca="1" si="3">IF($I$3&lt;=A4,0,1)</f>
        <v>1</v>
      </c>
    </row>
    <row r="5" spans="1:12">
      <c r="A5" s="526">
        <v>2</v>
      </c>
      <c r="B5" s="527">
        <f t="shared" ca="1" si="0"/>
        <v>3</v>
      </c>
      <c r="C5" s="176">
        <v>1</v>
      </c>
      <c r="D5" s="16">
        <v>0</v>
      </c>
      <c r="E5" s="16" t="e">
        <f t="shared" ca="1" si="1"/>
        <v>#REF!</v>
      </c>
      <c r="F5" s="16">
        <f t="shared" ca="1" si="2"/>
        <v>0</v>
      </c>
      <c r="J5">
        <f t="shared" ca="1" si="3"/>
        <v>1</v>
      </c>
    </row>
    <row r="6" spans="1:12">
      <c r="A6" s="526">
        <v>3</v>
      </c>
      <c r="B6" s="527">
        <f t="shared" ca="1" si="0"/>
        <v>2.5</v>
      </c>
      <c r="C6" s="176">
        <v>2</v>
      </c>
      <c r="D6" s="527">
        <f>1/2</f>
        <v>0.5</v>
      </c>
      <c r="E6" s="16" t="e">
        <f t="shared" ca="1" si="1"/>
        <v>#REF!</v>
      </c>
      <c r="F6" s="16">
        <f t="shared" ca="1" si="2"/>
        <v>0</v>
      </c>
      <c r="J6">
        <f t="shared" ca="1" si="3"/>
        <v>1</v>
      </c>
    </row>
    <row r="7" spans="1:12">
      <c r="A7" s="526">
        <v>4</v>
      </c>
      <c r="B7" s="527">
        <f t="shared" ca="1" si="0"/>
        <v>2</v>
      </c>
      <c r="C7" s="176">
        <v>2</v>
      </c>
      <c r="D7" s="16">
        <v>0</v>
      </c>
      <c r="E7" s="16" t="e">
        <f t="shared" ca="1" si="1"/>
        <v>#REF!</v>
      </c>
      <c r="F7" s="16">
        <f t="shared" ca="1" si="2"/>
        <v>0</v>
      </c>
      <c r="J7">
        <f t="shared" ca="1" si="3"/>
        <v>1</v>
      </c>
    </row>
    <row r="8" spans="1:12">
      <c r="A8" s="526">
        <v>5</v>
      </c>
      <c r="B8" s="527">
        <f t="shared" ca="1" si="0"/>
        <v>1.75</v>
      </c>
      <c r="C8" s="176">
        <v>3</v>
      </c>
      <c r="D8" s="16">
        <f>3/4</f>
        <v>0.75</v>
      </c>
      <c r="E8" s="16" t="e">
        <f t="shared" ca="1" si="1"/>
        <v>#REF!</v>
      </c>
      <c r="F8" s="16">
        <f t="shared" ca="1" si="2"/>
        <v>0</v>
      </c>
      <c r="J8">
        <f t="shared" ca="1" si="3"/>
        <v>1</v>
      </c>
    </row>
    <row r="9" spans="1:12">
      <c r="A9" s="526">
        <v>6</v>
      </c>
      <c r="B9" s="527">
        <f t="shared" ca="1" si="0"/>
        <v>1.5</v>
      </c>
      <c r="C9" s="176">
        <v>3</v>
      </c>
      <c r="D9" s="16">
        <f>2/4</f>
        <v>0.5</v>
      </c>
      <c r="E9" s="16" t="e">
        <f t="shared" ca="1" si="1"/>
        <v>#REF!</v>
      </c>
      <c r="F9" s="16">
        <f t="shared" ca="1" si="2"/>
        <v>0</v>
      </c>
      <c r="J9">
        <f t="shared" ca="1" si="3"/>
        <v>1</v>
      </c>
    </row>
    <row r="10" spans="1:12">
      <c r="A10" s="526">
        <v>7</v>
      </c>
      <c r="B10" s="527">
        <f t="shared" ca="1" si="0"/>
        <v>1.25</v>
      </c>
      <c r="C10" s="176">
        <v>3</v>
      </c>
      <c r="D10" s="16">
        <f>1/4</f>
        <v>0.25</v>
      </c>
      <c r="E10" s="16" t="e">
        <f t="shared" ca="1" si="1"/>
        <v>#REF!</v>
      </c>
      <c r="F10" s="16">
        <f t="shared" ca="1" si="2"/>
        <v>0</v>
      </c>
      <c r="J10">
        <f t="shared" ca="1" si="3"/>
        <v>1</v>
      </c>
    </row>
    <row r="11" spans="1:12">
      <c r="A11" s="526">
        <v>8</v>
      </c>
      <c r="B11" s="527">
        <f t="shared" ca="1" si="0"/>
        <v>1</v>
      </c>
      <c r="C11" s="176">
        <v>3</v>
      </c>
      <c r="D11" s="16">
        <v>0</v>
      </c>
      <c r="E11" s="16" t="e">
        <f t="shared" ca="1" si="1"/>
        <v>#REF!</v>
      </c>
      <c r="F11" s="16">
        <f t="shared" ca="1" si="2"/>
        <v>0</v>
      </c>
      <c r="J11">
        <f t="shared" ca="1" si="3"/>
        <v>1</v>
      </c>
    </row>
    <row r="12" spans="1:12">
      <c r="A12" s="526">
        <v>9</v>
      </c>
      <c r="B12" s="527">
        <f t="shared" ca="1" si="0"/>
        <v>0.875</v>
      </c>
      <c r="C12" s="176">
        <v>4</v>
      </c>
      <c r="D12" s="16">
        <f>7/8</f>
        <v>0.875</v>
      </c>
      <c r="E12" s="16" t="e">
        <f t="shared" ca="1" si="1"/>
        <v>#REF!</v>
      </c>
      <c r="F12" s="16">
        <f t="shared" ca="1" si="2"/>
        <v>0</v>
      </c>
      <c r="J12">
        <f t="shared" ca="1" si="3"/>
        <v>1</v>
      </c>
    </row>
    <row r="13" spans="1:12">
      <c r="A13" s="526">
        <v>10</v>
      </c>
      <c r="B13" s="527">
        <f t="shared" ca="1" si="0"/>
        <v>0.75</v>
      </c>
      <c r="C13" s="176">
        <v>4</v>
      </c>
      <c r="D13" s="16">
        <f>6/8</f>
        <v>0.75</v>
      </c>
      <c r="E13" s="16" t="e">
        <f t="shared" ca="1" si="1"/>
        <v>#REF!</v>
      </c>
      <c r="F13" s="16">
        <f t="shared" ca="1" si="2"/>
        <v>0</v>
      </c>
      <c r="J13">
        <f t="shared" ca="1" si="3"/>
        <v>1</v>
      </c>
    </row>
    <row r="14" spans="1:12">
      <c r="A14" s="526">
        <v>11</v>
      </c>
      <c r="B14" s="527">
        <f t="shared" ca="1" si="0"/>
        <v>0.625</v>
      </c>
      <c r="C14" s="176">
        <v>4</v>
      </c>
      <c r="D14" s="16">
        <f>5/8</f>
        <v>0.625</v>
      </c>
      <c r="E14" s="16" t="e">
        <f t="shared" ca="1" si="1"/>
        <v>#REF!</v>
      </c>
      <c r="F14" s="16">
        <f t="shared" ca="1" si="2"/>
        <v>0</v>
      </c>
      <c r="J14">
        <f t="shared" ca="1" si="3"/>
        <v>1</v>
      </c>
    </row>
    <row r="15" spans="1:12">
      <c r="A15" s="526">
        <v>12</v>
      </c>
      <c r="B15" s="527">
        <f t="shared" ca="1" si="0"/>
        <v>0.5</v>
      </c>
      <c r="C15" s="176">
        <v>4</v>
      </c>
      <c r="D15" s="16">
        <f>4/8</f>
        <v>0.5</v>
      </c>
      <c r="E15" s="16" t="e">
        <f t="shared" ca="1" si="1"/>
        <v>#REF!</v>
      </c>
      <c r="F15" s="16">
        <f t="shared" ca="1" si="2"/>
        <v>0</v>
      </c>
      <c r="J15">
        <f t="shared" ca="1" si="3"/>
        <v>1</v>
      </c>
    </row>
    <row r="16" spans="1:12">
      <c r="A16" s="526">
        <v>13</v>
      </c>
      <c r="B16" s="527">
        <f t="shared" ca="1" si="0"/>
        <v>0.375</v>
      </c>
      <c r="C16" s="176">
        <v>4</v>
      </c>
      <c r="D16" s="16">
        <f>3/8</f>
        <v>0.375</v>
      </c>
      <c r="E16" s="16" t="e">
        <f t="shared" ca="1" si="1"/>
        <v>#REF!</v>
      </c>
      <c r="F16" s="16">
        <f t="shared" ca="1" si="2"/>
        <v>0</v>
      </c>
      <c r="J16">
        <f t="shared" ca="1" si="3"/>
        <v>1</v>
      </c>
    </row>
    <row r="17" spans="1:10">
      <c r="A17" s="526">
        <v>14</v>
      </c>
      <c r="B17" s="527">
        <f t="shared" ca="1" si="0"/>
        <v>0.25</v>
      </c>
      <c r="C17" s="176">
        <v>4</v>
      </c>
      <c r="D17" s="16">
        <f>2/8</f>
        <v>0.25</v>
      </c>
      <c r="E17" s="16" t="e">
        <f t="shared" ca="1" si="1"/>
        <v>#REF!</v>
      </c>
      <c r="F17" s="16">
        <f t="shared" ca="1" si="2"/>
        <v>0</v>
      </c>
      <c r="J17">
        <f t="shared" ca="1" si="3"/>
        <v>1</v>
      </c>
    </row>
    <row r="18" spans="1:10">
      <c r="A18" s="526">
        <v>15</v>
      </c>
      <c r="B18" s="527">
        <f t="shared" ca="1" si="0"/>
        <v>0.125</v>
      </c>
      <c r="C18" s="176">
        <v>4</v>
      </c>
      <c r="D18" s="16">
        <f>1/8</f>
        <v>0.125</v>
      </c>
      <c r="E18" s="16" t="e">
        <f t="shared" ca="1" si="1"/>
        <v>#REF!</v>
      </c>
      <c r="F18" s="16">
        <f t="shared" ca="1" si="2"/>
        <v>0</v>
      </c>
      <c r="J18">
        <f t="shared" ca="1" si="3"/>
        <v>1</v>
      </c>
    </row>
    <row r="19" spans="1:10">
      <c r="A19" s="526">
        <v>16</v>
      </c>
      <c r="B19" s="527">
        <f t="shared" ca="1" si="0"/>
        <v>0</v>
      </c>
      <c r="C19" s="176">
        <v>4</v>
      </c>
      <c r="D19" s="16">
        <v>0</v>
      </c>
      <c r="E19" s="16" t="e">
        <f t="shared" ca="1" si="1"/>
        <v>#REF!</v>
      </c>
      <c r="F19" s="16">
        <f t="shared" ca="1" si="2"/>
        <v>0</v>
      </c>
      <c r="J19">
        <f t="shared" ca="1" si="3"/>
        <v>0</v>
      </c>
    </row>
    <row r="20" spans="1:10">
      <c r="A20" s="526">
        <v>17</v>
      </c>
      <c r="B20" s="527">
        <f t="shared" ca="1" si="0"/>
        <v>0</v>
      </c>
      <c r="C20" s="176">
        <v>5</v>
      </c>
      <c r="D20" s="16">
        <f>15/16</f>
        <v>0.9375</v>
      </c>
      <c r="E20" s="16" t="e">
        <f t="shared" ca="1" si="1"/>
        <v>#REF!</v>
      </c>
      <c r="F20" s="16">
        <f t="shared" ca="1" si="2"/>
        <v>0</v>
      </c>
      <c r="J20">
        <f t="shared" ca="1" si="3"/>
        <v>0</v>
      </c>
    </row>
    <row r="21" spans="1:10">
      <c r="A21" s="526">
        <v>18</v>
      </c>
      <c r="B21" s="527">
        <f t="shared" ca="1" si="0"/>
        <v>0</v>
      </c>
      <c r="C21" s="176">
        <v>5</v>
      </c>
      <c r="D21" s="16">
        <f>14/16</f>
        <v>0.875</v>
      </c>
      <c r="E21" s="16" t="e">
        <f t="shared" ca="1" si="1"/>
        <v>#REF!</v>
      </c>
      <c r="F21" s="16">
        <f t="shared" ca="1" si="2"/>
        <v>0</v>
      </c>
      <c r="J21">
        <f t="shared" ca="1" si="3"/>
        <v>0</v>
      </c>
    </row>
    <row r="22" spans="1:10">
      <c r="A22" s="526">
        <v>19</v>
      </c>
      <c r="B22" s="527">
        <f t="shared" ca="1" si="0"/>
        <v>0</v>
      </c>
      <c r="C22" s="176">
        <v>5</v>
      </c>
      <c r="D22" s="16">
        <f>13/16</f>
        <v>0.8125</v>
      </c>
      <c r="E22" s="16" t="e">
        <f t="shared" ca="1" si="1"/>
        <v>#REF!</v>
      </c>
      <c r="F22" s="16">
        <f t="shared" ca="1" si="2"/>
        <v>0</v>
      </c>
      <c r="J22">
        <f t="shared" ca="1" si="3"/>
        <v>0</v>
      </c>
    </row>
    <row r="23" spans="1:10">
      <c r="A23" s="526">
        <v>20</v>
      </c>
      <c r="B23" s="527">
        <f t="shared" ca="1" si="0"/>
        <v>0</v>
      </c>
      <c r="C23" s="176">
        <v>5</v>
      </c>
      <c r="D23" s="16">
        <f>12/16</f>
        <v>0.75</v>
      </c>
      <c r="E23" s="16" t="e">
        <f t="shared" ca="1" si="1"/>
        <v>#REF!</v>
      </c>
      <c r="F23" s="16">
        <f t="shared" ca="1" si="2"/>
        <v>0</v>
      </c>
      <c r="J23">
        <f t="shared" ca="1" si="3"/>
        <v>0</v>
      </c>
    </row>
    <row r="24" spans="1:10">
      <c r="A24" s="526">
        <v>21</v>
      </c>
      <c r="B24" s="527">
        <f t="shared" ca="1" si="0"/>
        <v>0</v>
      </c>
      <c r="C24" s="176">
        <v>5</v>
      </c>
      <c r="D24" s="16">
        <f>11/16</f>
        <v>0.6875</v>
      </c>
      <c r="E24" s="16" t="e">
        <f t="shared" ca="1" si="1"/>
        <v>#REF!</v>
      </c>
      <c r="F24" s="16">
        <f t="shared" ca="1" si="2"/>
        <v>0</v>
      </c>
      <c r="J24">
        <f t="shared" ca="1" si="3"/>
        <v>0</v>
      </c>
    </row>
    <row r="25" spans="1:10">
      <c r="A25" s="526">
        <v>22</v>
      </c>
      <c r="B25" s="527">
        <f t="shared" ca="1" si="0"/>
        <v>0</v>
      </c>
      <c r="C25" s="176">
        <v>5</v>
      </c>
      <c r="D25" s="16">
        <f>10/16</f>
        <v>0.625</v>
      </c>
      <c r="E25" s="16" t="e">
        <f t="shared" ca="1" si="1"/>
        <v>#REF!</v>
      </c>
      <c r="F25" s="16">
        <f t="shared" ca="1" si="2"/>
        <v>0</v>
      </c>
      <c r="J25">
        <f t="shared" ca="1" si="3"/>
        <v>0</v>
      </c>
    </row>
    <row r="26" spans="1:10">
      <c r="A26" s="526">
        <v>23</v>
      </c>
      <c r="B26" s="527">
        <f t="shared" ca="1" si="0"/>
        <v>0</v>
      </c>
      <c r="C26" s="176">
        <v>5</v>
      </c>
      <c r="D26" s="16">
        <f>9/16</f>
        <v>0.5625</v>
      </c>
      <c r="E26" s="16" t="e">
        <f t="shared" ca="1" si="1"/>
        <v>#REF!</v>
      </c>
      <c r="F26" s="16">
        <f t="shared" ca="1" si="2"/>
        <v>0</v>
      </c>
      <c r="J26">
        <f t="shared" ca="1" si="3"/>
        <v>0</v>
      </c>
    </row>
    <row r="27" spans="1:10">
      <c r="A27" s="526">
        <v>24</v>
      </c>
      <c r="B27" s="527">
        <f t="shared" ca="1" si="0"/>
        <v>0</v>
      </c>
      <c r="C27" s="176">
        <v>5</v>
      </c>
      <c r="D27" s="16">
        <f>8/16</f>
        <v>0.5</v>
      </c>
      <c r="E27" s="16" t="e">
        <f t="shared" ca="1" si="1"/>
        <v>#REF!</v>
      </c>
      <c r="F27" s="16">
        <f t="shared" ca="1" si="2"/>
        <v>0</v>
      </c>
      <c r="J27">
        <f t="shared" ca="1" si="3"/>
        <v>0</v>
      </c>
    </row>
    <row r="28" spans="1:10">
      <c r="A28" s="526">
        <v>25</v>
      </c>
      <c r="B28" s="527">
        <f t="shared" ca="1" si="0"/>
        <v>0</v>
      </c>
      <c r="C28" s="176">
        <v>5</v>
      </c>
      <c r="D28" s="16">
        <f>7/16</f>
        <v>0.4375</v>
      </c>
      <c r="E28" s="16" t="e">
        <f t="shared" ca="1" si="1"/>
        <v>#REF!</v>
      </c>
      <c r="F28" s="16">
        <f t="shared" ca="1" si="2"/>
        <v>0</v>
      </c>
      <c r="J28">
        <f t="shared" ca="1" si="3"/>
        <v>0</v>
      </c>
    </row>
    <row r="29" spans="1:10">
      <c r="A29" s="526">
        <v>26</v>
      </c>
      <c r="B29" s="527">
        <f t="shared" ca="1" si="0"/>
        <v>0</v>
      </c>
      <c r="C29" s="176">
        <v>5</v>
      </c>
      <c r="D29" s="16">
        <f>6/16</f>
        <v>0.375</v>
      </c>
      <c r="E29" s="16" t="e">
        <f t="shared" ca="1" si="1"/>
        <v>#REF!</v>
      </c>
      <c r="F29" s="16">
        <f t="shared" ca="1" si="2"/>
        <v>0</v>
      </c>
      <c r="J29">
        <f t="shared" ca="1" si="3"/>
        <v>0</v>
      </c>
    </row>
    <row r="30" spans="1:10">
      <c r="A30" s="526">
        <v>27</v>
      </c>
      <c r="B30" s="527">
        <f t="shared" ca="1" si="0"/>
        <v>0</v>
      </c>
      <c r="C30" s="176">
        <v>5</v>
      </c>
      <c r="D30" s="16">
        <f>5/16</f>
        <v>0.3125</v>
      </c>
      <c r="E30" s="16" t="e">
        <f t="shared" ca="1" si="1"/>
        <v>#REF!</v>
      </c>
      <c r="F30" s="16">
        <f t="shared" ca="1" si="2"/>
        <v>0</v>
      </c>
      <c r="J30">
        <f t="shared" ca="1" si="3"/>
        <v>0</v>
      </c>
    </row>
    <row r="31" spans="1:10">
      <c r="A31" s="526">
        <v>28</v>
      </c>
      <c r="B31" s="527">
        <f t="shared" ca="1" si="0"/>
        <v>0</v>
      </c>
      <c r="C31" s="176">
        <v>5</v>
      </c>
      <c r="D31" s="16">
        <f>4/16</f>
        <v>0.25</v>
      </c>
      <c r="E31" s="16" t="e">
        <f t="shared" ca="1" si="1"/>
        <v>#REF!</v>
      </c>
      <c r="F31" s="16">
        <f t="shared" ca="1" si="2"/>
        <v>0</v>
      </c>
      <c r="J31">
        <f t="shared" ca="1" si="3"/>
        <v>0</v>
      </c>
    </row>
    <row r="32" spans="1:10">
      <c r="A32" s="526">
        <v>29</v>
      </c>
      <c r="B32" s="527">
        <f t="shared" ca="1" si="0"/>
        <v>0</v>
      </c>
      <c r="C32" s="176">
        <v>5</v>
      </c>
      <c r="D32" s="16">
        <f>3/16</f>
        <v>0.1875</v>
      </c>
      <c r="E32" s="16" t="e">
        <f t="shared" ca="1" si="1"/>
        <v>#REF!</v>
      </c>
      <c r="F32" s="16">
        <f t="shared" ca="1" si="2"/>
        <v>0</v>
      </c>
      <c r="J32">
        <f t="shared" ca="1" si="3"/>
        <v>0</v>
      </c>
    </row>
    <row r="33" spans="1:10">
      <c r="A33" s="526">
        <v>30</v>
      </c>
      <c r="B33" s="527">
        <f t="shared" ca="1" si="0"/>
        <v>0</v>
      </c>
      <c r="C33" s="176">
        <v>5</v>
      </c>
      <c r="D33" s="16">
        <f>2/16</f>
        <v>0.125</v>
      </c>
      <c r="E33" s="16" t="e">
        <f t="shared" ca="1" si="1"/>
        <v>#REF!</v>
      </c>
      <c r="F33" s="16">
        <f t="shared" ca="1" si="2"/>
        <v>0</v>
      </c>
      <c r="J33">
        <f t="shared" ca="1" si="3"/>
        <v>0</v>
      </c>
    </row>
    <row r="34" spans="1:10">
      <c r="A34" s="526">
        <v>31</v>
      </c>
      <c r="B34" s="527">
        <f t="shared" ca="1" si="0"/>
        <v>0</v>
      </c>
      <c r="C34" s="176">
        <v>5</v>
      </c>
      <c r="D34" s="16">
        <f>1/16</f>
        <v>6.25E-2</v>
      </c>
      <c r="E34" s="16" t="e">
        <f t="shared" ca="1" si="1"/>
        <v>#REF!</v>
      </c>
      <c r="F34" s="16">
        <f t="shared" ca="1" si="2"/>
        <v>0</v>
      </c>
      <c r="J34">
        <f t="shared" ca="1" si="3"/>
        <v>0</v>
      </c>
    </row>
    <row r="35" spans="1:10">
      <c r="A35" s="526">
        <v>32</v>
      </c>
      <c r="B35" s="527">
        <f t="shared" ca="1" si="0"/>
        <v>0</v>
      </c>
      <c r="C35" s="176">
        <v>5</v>
      </c>
      <c r="D35" s="16">
        <v>0</v>
      </c>
      <c r="E35" s="16" t="e">
        <f t="shared" ca="1" si="1"/>
        <v>#REF!</v>
      </c>
      <c r="F35" s="16">
        <f t="shared" ca="1" si="2"/>
        <v>0</v>
      </c>
      <c r="J35">
        <f t="shared" ca="1" si="3"/>
        <v>0</v>
      </c>
    </row>
    <row r="36" spans="1:10">
      <c r="A36" s="526">
        <v>33</v>
      </c>
      <c r="B36" s="527">
        <f t="shared" ca="1" si="0"/>
        <v>0</v>
      </c>
      <c r="C36" s="176">
        <v>6</v>
      </c>
      <c r="D36" s="16">
        <f>31/32</f>
        <v>0.96875</v>
      </c>
      <c r="E36" s="16" t="e">
        <f t="shared" ca="1" si="1"/>
        <v>#REF!</v>
      </c>
      <c r="F36" s="16">
        <f t="shared" ca="1" si="2"/>
        <v>0</v>
      </c>
      <c r="J36">
        <f t="shared" ca="1" si="3"/>
        <v>0</v>
      </c>
    </row>
    <row r="37" spans="1:10">
      <c r="A37" s="526">
        <v>34</v>
      </c>
      <c r="B37" s="527">
        <f t="shared" ca="1" si="0"/>
        <v>0</v>
      </c>
      <c r="C37" s="176">
        <v>6</v>
      </c>
      <c r="D37" s="16">
        <f>30/32</f>
        <v>0.9375</v>
      </c>
      <c r="E37" s="16" t="e">
        <f t="shared" ca="1" si="1"/>
        <v>#REF!</v>
      </c>
      <c r="F37" s="16">
        <f t="shared" ca="1" si="2"/>
        <v>0</v>
      </c>
      <c r="J37">
        <f t="shared" ca="1" si="3"/>
        <v>0</v>
      </c>
    </row>
    <row r="38" spans="1:10">
      <c r="A38" s="526">
        <v>35</v>
      </c>
      <c r="B38" s="527">
        <f t="shared" ca="1" si="0"/>
        <v>0</v>
      </c>
      <c r="C38" s="176">
        <v>6</v>
      </c>
      <c r="D38" s="16">
        <f>29/32</f>
        <v>0.90625</v>
      </c>
      <c r="E38" s="16" t="e">
        <f t="shared" ca="1" si="1"/>
        <v>#REF!</v>
      </c>
      <c r="F38" s="16">
        <f t="shared" ca="1" si="2"/>
        <v>0</v>
      </c>
      <c r="J38">
        <f t="shared" ca="1" si="3"/>
        <v>0</v>
      </c>
    </row>
    <row r="39" spans="1:10">
      <c r="A39" s="526">
        <v>36</v>
      </c>
      <c r="B39" s="527">
        <f t="shared" ca="1" si="0"/>
        <v>0</v>
      </c>
      <c r="C39" s="176">
        <v>6</v>
      </c>
      <c r="D39" s="16">
        <f>28/32</f>
        <v>0.875</v>
      </c>
      <c r="E39" s="16" t="e">
        <f t="shared" ca="1" si="1"/>
        <v>#REF!</v>
      </c>
      <c r="F39" s="16">
        <f t="shared" ca="1" si="2"/>
        <v>0</v>
      </c>
      <c r="J39">
        <f t="shared" ca="1" si="3"/>
        <v>0</v>
      </c>
    </row>
    <row r="40" spans="1:10">
      <c r="A40" s="526">
        <v>37</v>
      </c>
      <c r="B40" s="527">
        <f t="shared" ca="1" si="0"/>
        <v>0</v>
      </c>
      <c r="C40" s="176">
        <v>6</v>
      </c>
      <c r="D40" s="16">
        <f>27/32</f>
        <v>0.84375</v>
      </c>
      <c r="E40" s="16" t="e">
        <f t="shared" ca="1" si="1"/>
        <v>#REF!</v>
      </c>
      <c r="F40" s="16">
        <f t="shared" ca="1" si="2"/>
        <v>0</v>
      </c>
      <c r="J40">
        <f t="shared" ca="1" si="3"/>
        <v>0</v>
      </c>
    </row>
    <row r="41" spans="1:10">
      <c r="A41" s="526">
        <v>38</v>
      </c>
      <c r="B41" s="527">
        <f t="shared" ca="1" si="0"/>
        <v>0</v>
      </c>
      <c r="C41" s="176">
        <v>6</v>
      </c>
      <c r="D41" s="16">
        <f>26/32</f>
        <v>0.8125</v>
      </c>
      <c r="E41" s="16" t="e">
        <f t="shared" ca="1" si="1"/>
        <v>#REF!</v>
      </c>
      <c r="F41" s="16">
        <f t="shared" ca="1" si="2"/>
        <v>0</v>
      </c>
      <c r="J41">
        <f t="shared" ca="1" si="3"/>
        <v>0</v>
      </c>
    </row>
    <row r="42" spans="1:10">
      <c r="A42" s="526">
        <v>39</v>
      </c>
      <c r="B42" s="527">
        <f t="shared" ca="1" si="0"/>
        <v>0</v>
      </c>
      <c r="C42" s="176">
        <v>6</v>
      </c>
      <c r="D42" s="16">
        <f>25/32</f>
        <v>0.78125</v>
      </c>
      <c r="E42" s="16" t="e">
        <f t="shared" ca="1" si="1"/>
        <v>#REF!</v>
      </c>
      <c r="F42" s="16">
        <f t="shared" ca="1" si="2"/>
        <v>0</v>
      </c>
      <c r="J42">
        <f t="shared" ca="1" si="3"/>
        <v>0</v>
      </c>
    </row>
    <row r="43" spans="1:10">
      <c r="A43" s="526">
        <v>40</v>
      </c>
      <c r="B43" s="527">
        <f t="shared" ca="1" si="0"/>
        <v>0</v>
      </c>
      <c r="C43" s="176">
        <v>6</v>
      </c>
      <c r="D43" s="16">
        <f>24/32</f>
        <v>0.75</v>
      </c>
      <c r="E43" s="16" t="e">
        <f t="shared" ca="1" si="1"/>
        <v>#REF!</v>
      </c>
      <c r="F43" s="16">
        <f t="shared" ca="1" si="2"/>
        <v>0</v>
      </c>
      <c r="J43">
        <f t="shared" ca="1" si="3"/>
        <v>0</v>
      </c>
    </row>
    <row r="44" spans="1:10">
      <c r="A44" s="526">
        <v>41</v>
      </c>
      <c r="B44" s="527">
        <f t="shared" ca="1" si="0"/>
        <v>0</v>
      </c>
      <c r="C44" s="176">
        <v>6</v>
      </c>
      <c r="D44" s="16">
        <f>23/32</f>
        <v>0.71875</v>
      </c>
      <c r="E44" s="16" t="e">
        <f t="shared" ca="1" si="1"/>
        <v>#REF!</v>
      </c>
      <c r="F44" s="16">
        <f t="shared" ca="1" si="2"/>
        <v>0</v>
      </c>
      <c r="J44">
        <f t="shared" ca="1" si="3"/>
        <v>0</v>
      </c>
    </row>
    <row r="45" spans="1:10">
      <c r="A45" s="526">
        <v>42</v>
      </c>
      <c r="B45" s="527">
        <f t="shared" ca="1" si="0"/>
        <v>0</v>
      </c>
      <c r="C45" s="176">
        <v>6</v>
      </c>
      <c r="D45" s="16">
        <f>22/32</f>
        <v>0.6875</v>
      </c>
      <c r="E45" s="16" t="e">
        <f t="shared" ca="1" si="1"/>
        <v>#REF!</v>
      </c>
      <c r="F45" s="16">
        <f t="shared" ca="1" si="2"/>
        <v>0</v>
      </c>
      <c r="J45">
        <f t="shared" ca="1" si="3"/>
        <v>0</v>
      </c>
    </row>
    <row r="46" spans="1:10">
      <c r="A46" s="526">
        <v>43</v>
      </c>
      <c r="B46" s="527">
        <f t="shared" ca="1" si="0"/>
        <v>0</v>
      </c>
      <c r="C46" s="176">
        <v>6</v>
      </c>
      <c r="D46" s="16">
        <f>21/32</f>
        <v>0.65625</v>
      </c>
      <c r="E46" s="16" t="e">
        <f t="shared" ca="1" si="1"/>
        <v>#REF!</v>
      </c>
      <c r="F46" s="16">
        <f t="shared" ca="1" si="2"/>
        <v>0</v>
      </c>
      <c r="J46">
        <f t="shared" ca="1" si="3"/>
        <v>0</v>
      </c>
    </row>
    <row r="47" spans="1:10">
      <c r="A47" s="526">
        <v>44</v>
      </c>
      <c r="B47" s="527">
        <f t="shared" ca="1" si="0"/>
        <v>0</v>
      </c>
      <c r="C47" s="176">
        <v>6</v>
      </c>
      <c r="D47" s="16">
        <f>20/32</f>
        <v>0.625</v>
      </c>
      <c r="E47" s="16" t="e">
        <f t="shared" ca="1" si="1"/>
        <v>#REF!</v>
      </c>
      <c r="F47" s="16">
        <f t="shared" ca="1" si="2"/>
        <v>0</v>
      </c>
      <c r="J47">
        <f t="shared" ca="1" si="3"/>
        <v>0</v>
      </c>
    </row>
    <row r="48" spans="1:10">
      <c r="A48" s="526">
        <v>45</v>
      </c>
      <c r="B48" s="527">
        <f t="shared" ca="1" si="0"/>
        <v>0</v>
      </c>
      <c r="C48" s="176">
        <v>6</v>
      </c>
      <c r="D48" s="16">
        <f>19/32</f>
        <v>0.59375</v>
      </c>
      <c r="E48" s="16" t="e">
        <f t="shared" ca="1" si="1"/>
        <v>#REF!</v>
      </c>
      <c r="F48" s="16">
        <f t="shared" ca="1" si="2"/>
        <v>0</v>
      </c>
      <c r="J48">
        <f t="shared" ca="1" si="3"/>
        <v>0</v>
      </c>
    </row>
    <row r="49" spans="1:10">
      <c r="A49" s="526">
        <v>46</v>
      </c>
      <c r="B49" s="527">
        <f t="shared" ca="1" si="0"/>
        <v>0</v>
      </c>
      <c r="C49" s="176">
        <v>6</v>
      </c>
      <c r="D49" s="16">
        <f>18/32</f>
        <v>0.5625</v>
      </c>
      <c r="E49" s="16" t="e">
        <f t="shared" ca="1" si="1"/>
        <v>#REF!</v>
      </c>
      <c r="F49" s="16">
        <f t="shared" ca="1" si="2"/>
        <v>0</v>
      </c>
      <c r="J49">
        <f t="shared" ca="1" si="3"/>
        <v>0</v>
      </c>
    </row>
    <row r="50" spans="1:10">
      <c r="A50" s="526">
        <v>47</v>
      </c>
      <c r="B50" s="527">
        <f t="shared" ca="1" si="0"/>
        <v>0</v>
      </c>
      <c r="C50" s="176">
        <v>6</v>
      </c>
      <c r="D50" s="16">
        <f>17/32</f>
        <v>0.53125</v>
      </c>
      <c r="E50" s="16" t="e">
        <f t="shared" ca="1" si="1"/>
        <v>#REF!</v>
      </c>
      <c r="F50" s="16">
        <f t="shared" ca="1" si="2"/>
        <v>0</v>
      </c>
      <c r="J50">
        <f t="shared" ca="1" si="3"/>
        <v>0</v>
      </c>
    </row>
    <row r="51" spans="1:10">
      <c r="A51" s="526">
        <v>48</v>
      </c>
      <c r="B51" s="527">
        <f t="shared" ca="1" si="0"/>
        <v>0</v>
      </c>
      <c r="C51" s="176">
        <v>6</v>
      </c>
      <c r="D51" s="16">
        <f>16/32</f>
        <v>0.5</v>
      </c>
      <c r="E51" s="16" t="e">
        <f t="shared" ca="1" si="1"/>
        <v>#REF!</v>
      </c>
      <c r="F51" s="16">
        <f t="shared" ca="1" si="2"/>
        <v>0</v>
      </c>
      <c r="J51">
        <f t="shared" ca="1" si="3"/>
        <v>0</v>
      </c>
    </row>
    <row r="52" spans="1:10">
      <c r="A52" s="526">
        <v>49</v>
      </c>
      <c r="B52" s="527">
        <f t="shared" ca="1" si="0"/>
        <v>0</v>
      </c>
      <c r="C52" s="176">
        <v>6</v>
      </c>
      <c r="D52" s="16">
        <f>15/32</f>
        <v>0.46875</v>
      </c>
      <c r="E52" s="16" t="e">
        <f t="shared" ca="1" si="1"/>
        <v>#REF!</v>
      </c>
      <c r="F52" s="16">
        <f t="shared" ca="1" si="2"/>
        <v>0</v>
      </c>
      <c r="J52">
        <f t="shared" ca="1" si="3"/>
        <v>0</v>
      </c>
    </row>
    <row r="53" spans="1:10">
      <c r="A53" s="526">
        <v>50</v>
      </c>
      <c r="B53" s="527">
        <f t="shared" ca="1" si="0"/>
        <v>0</v>
      </c>
      <c r="C53" s="176">
        <v>6</v>
      </c>
      <c r="D53" s="16">
        <f>14/32</f>
        <v>0.4375</v>
      </c>
      <c r="E53" s="16" t="e">
        <f t="shared" ca="1" si="1"/>
        <v>#REF!</v>
      </c>
      <c r="F53" s="16">
        <f t="shared" ca="1" si="2"/>
        <v>0</v>
      </c>
      <c r="J53">
        <f t="shared" ca="1" si="3"/>
        <v>0</v>
      </c>
    </row>
    <row r="54" spans="1:10">
      <c r="A54" s="526">
        <v>51</v>
      </c>
      <c r="B54" s="527">
        <f t="shared" ca="1" si="0"/>
        <v>0</v>
      </c>
      <c r="C54" s="176">
        <v>6</v>
      </c>
      <c r="D54" s="16">
        <f>13/32</f>
        <v>0.40625</v>
      </c>
      <c r="E54" s="16" t="e">
        <f t="shared" ca="1" si="1"/>
        <v>#REF!</v>
      </c>
      <c r="F54" s="16">
        <f t="shared" ca="1" si="2"/>
        <v>0</v>
      </c>
      <c r="J54">
        <f t="shared" ca="1" si="3"/>
        <v>0</v>
      </c>
    </row>
    <row r="55" spans="1:10">
      <c r="A55" s="526">
        <v>52</v>
      </c>
      <c r="B55" s="527">
        <f t="shared" ca="1" si="0"/>
        <v>0</v>
      </c>
      <c r="C55" s="176">
        <v>6</v>
      </c>
      <c r="D55" s="16">
        <f>12/32</f>
        <v>0.375</v>
      </c>
      <c r="E55" s="16" t="e">
        <f t="shared" ca="1" si="1"/>
        <v>#REF!</v>
      </c>
      <c r="F55" s="16">
        <f t="shared" ca="1" si="2"/>
        <v>0</v>
      </c>
      <c r="J55">
        <f t="shared" ca="1" si="3"/>
        <v>0</v>
      </c>
    </row>
    <row r="56" spans="1:10">
      <c r="A56" s="526">
        <v>53</v>
      </c>
      <c r="B56" s="527">
        <f t="shared" ca="1" si="0"/>
        <v>0</v>
      </c>
      <c r="C56" s="176">
        <v>6</v>
      </c>
      <c r="D56" s="16">
        <f>11/32</f>
        <v>0.34375</v>
      </c>
      <c r="E56" s="16" t="e">
        <f t="shared" ca="1" si="1"/>
        <v>#REF!</v>
      </c>
      <c r="F56" s="16">
        <f t="shared" ca="1" si="2"/>
        <v>0</v>
      </c>
      <c r="J56">
        <f t="shared" ca="1" si="3"/>
        <v>0</v>
      </c>
    </row>
    <row r="57" spans="1:10">
      <c r="A57" s="526">
        <v>54</v>
      </c>
      <c r="B57" s="527">
        <f t="shared" ca="1" si="0"/>
        <v>0</v>
      </c>
      <c r="C57" s="176">
        <v>6</v>
      </c>
      <c r="D57" s="16">
        <f>10/32</f>
        <v>0.3125</v>
      </c>
      <c r="E57" s="16" t="e">
        <f t="shared" ca="1" si="1"/>
        <v>#REF!</v>
      </c>
      <c r="F57" s="16">
        <f t="shared" ca="1" si="2"/>
        <v>0</v>
      </c>
      <c r="J57">
        <f t="shared" ca="1" si="3"/>
        <v>0</v>
      </c>
    </row>
    <row r="58" spans="1:10">
      <c r="A58" s="526">
        <v>55</v>
      </c>
      <c r="B58" s="527">
        <f t="shared" ca="1" si="0"/>
        <v>0</v>
      </c>
      <c r="C58" s="176">
        <v>6</v>
      </c>
      <c r="D58" s="16">
        <f>9/32</f>
        <v>0.28125</v>
      </c>
      <c r="E58" s="16" t="e">
        <f t="shared" ca="1" si="1"/>
        <v>#REF!</v>
      </c>
      <c r="F58" s="16">
        <f t="shared" ca="1" si="2"/>
        <v>0</v>
      </c>
      <c r="J58">
        <f t="shared" ca="1" si="3"/>
        <v>0</v>
      </c>
    </row>
    <row r="59" spans="1:10">
      <c r="A59" s="526">
        <v>56</v>
      </c>
      <c r="B59" s="527">
        <f t="shared" ca="1" si="0"/>
        <v>0</v>
      </c>
      <c r="C59" s="176">
        <v>6</v>
      </c>
      <c r="D59" s="16">
        <f>8/32</f>
        <v>0.25</v>
      </c>
      <c r="E59" s="16" t="e">
        <f t="shared" ca="1" si="1"/>
        <v>#REF!</v>
      </c>
      <c r="F59" s="16">
        <f t="shared" ca="1" si="2"/>
        <v>0</v>
      </c>
      <c r="J59">
        <f t="shared" ca="1" si="3"/>
        <v>0</v>
      </c>
    </row>
    <row r="60" spans="1:10">
      <c r="A60" s="526">
        <v>57</v>
      </c>
      <c r="B60" s="527">
        <f t="shared" ca="1" si="0"/>
        <v>0</v>
      </c>
      <c r="C60" s="176">
        <v>6</v>
      </c>
      <c r="D60" s="16">
        <f>7/32</f>
        <v>0.21875</v>
      </c>
      <c r="E60" s="16" t="e">
        <f t="shared" ca="1" si="1"/>
        <v>#REF!</v>
      </c>
      <c r="F60" s="16">
        <f t="shared" ca="1" si="2"/>
        <v>0</v>
      </c>
      <c r="J60">
        <f t="shared" ca="1" si="3"/>
        <v>0</v>
      </c>
    </row>
    <row r="61" spans="1:10">
      <c r="A61" s="526">
        <v>58</v>
      </c>
      <c r="B61" s="527">
        <f t="shared" ca="1" si="0"/>
        <v>0</v>
      </c>
      <c r="C61" s="176">
        <v>6</v>
      </c>
      <c r="D61" s="16">
        <f>6/32</f>
        <v>0.1875</v>
      </c>
      <c r="E61" s="16" t="e">
        <f t="shared" ca="1" si="1"/>
        <v>#REF!</v>
      </c>
      <c r="F61" s="16">
        <f t="shared" ca="1" si="2"/>
        <v>0</v>
      </c>
      <c r="J61">
        <f t="shared" ca="1" si="3"/>
        <v>0</v>
      </c>
    </row>
    <row r="62" spans="1:10">
      <c r="A62" s="526">
        <v>59</v>
      </c>
      <c r="B62" s="527">
        <f t="shared" ca="1" si="0"/>
        <v>0</v>
      </c>
      <c r="C62" s="176">
        <v>6</v>
      </c>
      <c r="D62" s="16">
        <f>5/32</f>
        <v>0.15625</v>
      </c>
      <c r="E62" s="16" t="e">
        <f t="shared" ca="1" si="1"/>
        <v>#REF!</v>
      </c>
      <c r="F62" s="16">
        <f t="shared" ca="1" si="2"/>
        <v>0</v>
      </c>
      <c r="J62">
        <f t="shared" ca="1" si="3"/>
        <v>0</v>
      </c>
    </row>
    <row r="63" spans="1:10">
      <c r="A63" s="526">
        <v>60</v>
      </c>
      <c r="B63" s="527">
        <f t="shared" ca="1" si="0"/>
        <v>0</v>
      </c>
      <c r="C63" s="176">
        <v>6</v>
      </c>
      <c r="D63" s="16">
        <f>4/32</f>
        <v>0.125</v>
      </c>
      <c r="E63" s="16" t="e">
        <f t="shared" ca="1" si="1"/>
        <v>#REF!</v>
      </c>
      <c r="F63" s="16">
        <f t="shared" ca="1" si="2"/>
        <v>0</v>
      </c>
      <c r="J63">
        <f t="shared" ca="1" si="3"/>
        <v>0</v>
      </c>
    </row>
    <row r="64" spans="1:10">
      <c r="A64" s="526">
        <v>61</v>
      </c>
      <c r="B64" s="527">
        <f t="shared" ca="1" si="0"/>
        <v>0</v>
      </c>
      <c r="C64" s="176">
        <v>6</v>
      </c>
      <c r="D64" s="16">
        <f>3/32</f>
        <v>9.375E-2</v>
      </c>
      <c r="E64" s="16" t="e">
        <f t="shared" ca="1" si="1"/>
        <v>#REF!</v>
      </c>
      <c r="F64" s="16">
        <f t="shared" ca="1" si="2"/>
        <v>0</v>
      </c>
      <c r="J64">
        <f t="shared" ca="1" si="3"/>
        <v>0</v>
      </c>
    </row>
    <row r="65" spans="1:10">
      <c r="A65" s="526">
        <v>62</v>
      </c>
      <c r="B65" s="527">
        <f t="shared" ca="1" si="0"/>
        <v>0</v>
      </c>
      <c r="C65" s="176">
        <v>6</v>
      </c>
      <c r="D65" s="16">
        <f>2/32</f>
        <v>6.25E-2</v>
      </c>
      <c r="E65" s="16" t="e">
        <f t="shared" ca="1" si="1"/>
        <v>#REF!</v>
      </c>
      <c r="F65" s="16">
        <f t="shared" ca="1" si="2"/>
        <v>0</v>
      </c>
      <c r="J65">
        <f t="shared" ca="1" si="3"/>
        <v>0</v>
      </c>
    </row>
    <row r="66" spans="1:10">
      <c r="A66" s="526">
        <v>63</v>
      </c>
      <c r="B66" s="527">
        <f t="shared" ca="1" si="0"/>
        <v>0</v>
      </c>
      <c r="C66" s="176">
        <v>6</v>
      </c>
      <c r="D66" s="16">
        <f>1/32</f>
        <v>3.125E-2</v>
      </c>
      <c r="E66" s="16" t="e">
        <f t="shared" ca="1" si="1"/>
        <v>#REF!</v>
      </c>
      <c r="F66" s="16">
        <f t="shared" ca="1" si="2"/>
        <v>0</v>
      </c>
      <c r="J66">
        <f t="shared" ca="1" si="3"/>
        <v>0</v>
      </c>
    </row>
    <row r="67" spans="1:10">
      <c r="A67" s="526">
        <v>64</v>
      </c>
      <c r="B67" s="527">
        <f t="shared" ca="1" si="0"/>
        <v>0</v>
      </c>
      <c r="C67" s="176">
        <v>6</v>
      </c>
      <c r="D67" s="16">
        <v>0</v>
      </c>
      <c r="E67" s="16" t="e">
        <f t="shared" ca="1" si="1"/>
        <v>#REF!</v>
      </c>
      <c r="F67" s="16">
        <f t="shared" ca="1" si="2"/>
        <v>0</v>
      </c>
      <c r="J67">
        <f t="shared" ca="1" si="3"/>
        <v>0</v>
      </c>
    </row>
    <row r="68" spans="1:10">
      <c r="A68" s="526">
        <v>65</v>
      </c>
      <c r="B68" s="527">
        <f t="shared" ref="B68:B131" ca="1" si="4">J68*($H$3-C68+D68)</f>
        <v>0</v>
      </c>
      <c r="E68" s="16" t="e">
        <f t="shared" ref="E68:E131" ca="1" si="5">J68*(B68*$L$1+F68)-(J68-1)*$L$3</f>
        <v>#REF!</v>
      </c>
      <c r="F68" s="16">
        <f t="shared" ref="F68:F131" ca="1" si="6">IF(A68&lt;$I$3,$L$2,0)</f>
        <v>0</v>
      </c>
      <c r="J68">
        <f t="shared" ref="J68:J131" ca="1" si="7">IF($I$3&lt;=A68,0,1)</f>
        <v>0</v>
      </c>
    </row>
    <row r="69" spans="1:10">
      <c r="A69" s="526">
        <v>66</v>
      </c>
      <c r="B69" s="527">
        <f t="shared" ca="1" si="4"/>
        <v>0</v>
      </c>
      <c r="E69" s="16" t="e">
        <f t="shared" ca="1" si="5"/>
        <v>#REF!</v>
      </c>
      <c r="F69" s="16">
        <f t="shared" ca="1" si="6"/>
        <v>0</v>
      </c>
      <c r="J69">
        <f t="shared" ca="1" si="7"/>
        <v>0</v>
      </c>
    </row>
    <row r="70" spans="1:10">
      <c r="A70" s="526">
        <v>67</v>
      </c>
      <c r="B70" s="527">
        <f t="shared" ca="1" si="4"/>
        <v>0</v>
      </c>
      <c r="E70" s="16" t="e">
        <f t="shared" ca="1" si="5"/>
        <v>#REF!</v>
      </c>
      <c r="F70" s="16">
        <f t="shared" ca="1" si="6"/>
        <v>0</v>
      </c>
      <c r="J70">
        <f t="shared" ca="1" si="7"/>
        <v>0</v>
      </c>
    </row>
    <row r="71" spans="1:10">
      <c r="A71" s="526">
        <v>68</v>
      </c>
      <c r="B71" s="527">
        <f t="shared" ca="1" si="4"/>
        <v>0</v>
      </c>
      <c r="E71" s="16" t="e">
        <f t="shared" ca="1" si="5"/>
        <v>#REF!</v>
      </c>
      <c r="F71" s="16">
        <f t="shared" ca="1" si="6"/>
        <v>0</v>
      </c>
      <c r="J71">
        <f t="shared" ca="1" si="7"/>
        <v>0</v>
      </c>
    </row>
    <row r="72" spans="1:10">
      <c r="A72" s="526">
        <v>69</v>
      </c>
      <c r="B72" s="527">
        <f t="shared" ca="1" si="4"/>
        <v>0</v>
      </c>
      <c r="E72" s="16" t="e">
        <f t="shared" ca="1" si="5"/>
        <v>#REF!</v>
      </c>
      <c r="F72" s="16">
        <f t="shared" ca="1" si="6"/>
        <v>0</v>
      </c>
      <c r="J72">
        <f t="shared" ca="1" si="7"/>
        <v>0</v>
      </c>
    </row>
    <row r="73" spans="1:10">
      <c r="A73" s="526">
        <v>70</v>
      </c>
      <c r="B73" s="527">
        <f t="shared" ca="1" si="4"/>
        <v>0</v>
      </c>
      <c r="E73" s="16" t="e">
        <f t="shared" ca="1" si="5"/>
        <v>#REF!</v>
      </c>
      <c r="F73" s="16">
        <f t="shared" ca="1" si="6"/>
        <v>0</v>
      </c>
      <c r="J73">
        <f t="shared" ca="1" si="7"/>
        <v>0</v>
      </c>
    </row>
    <row r="74" spans="1:10">
      <c r="A74" s="526">
        <v>71</v>
      </c>
      <c r="B74" s="527">
        <f t="shared" ca="1" si="4"/>
        <v>0</v>
      </c>
      <c r="E74" s="16" t="e">
        <f t="shared" ca="1" si="5"/>
        <v>#REF!</v>
      </c>
      <c r="F74" s="16">
        <f t="shared" ca="1" si="6"/>
        <v>0</v>
      </c>
      <c r="J74">
        <f t="shared" ca="1" si="7"/>
        <v>0</v>
      </c>
    </row>
    <row r="75" spans="1:10">
      <c r="A75" s="526">
        <v>72</v>
      </c>
      <c r="B75" s="527">
        <f t="shared" ca="1" si="4"/>
        <v>0</v>
      </c>
      <c r="E75" s="16" t="e">
        <f t="shared" ca="1" si="5"/>
        <v>#REF!</v>
      </c>
      <c r="F75" s="16">
        <f t="shared" ca="1" si="6"/>
        <v>0</v>
      </c>
      <c r="J75">
        <f t="shared" ca="1" si="7"/>
        <v>0</v>
      </c>
    </row>
    <row r="76" spans="1:10">
      <c r="A76" s="526">
        <v>73</v>
      </c>
      <c r="B76" s="527">
        <f t="shared" ca="1" si="4"/>
        <v>0</v>
      </c>
      <c r="E76" s="16" t="e">
        <f t="shared" ca="1" si="5"/>
        <v>#REF!</v>
      </c>
      <c r="F76" s="16">
        <f t="shared" ca="1" si="6"/>
        <v>0</v>
      </c>
      <c r="J76">
        <f t="shared" ca="1" si="7"/>
        <v>0</v>
      </c>
    </row>
    <row r="77" spans="1:10">
      <c r="A77" s="526">
        <v>74</v>
      </c>
      <c r="B77" s="527">
        <f t="shared" ca="1" si="4"/>
        <v>0</v>
      </c>
      <c r="E77" s="16" t="e">
        <f t="shared" ca="1" si="5"/>
        <v>#REF!</v>
      </c>
      <c r="F77" s="16">
        <f t="shared" ca="1" si="6"/>
        <v>0</v>
      </c>
      <c r="J77">
        <f t="shared" ca="1" si="7"/>
        <v>0</v>
      </c>
    </row>
    <row r="78" spans="1:10">
      <c r="A78" s="526">
        <v>75</v>
      </c>
      <c r="B78" s="527">
        <f t="shared" ca="1" si="4"/>
        <v>0</v>
      </c>
      <c r="E78" s="16" t="e">
        <f t="shared" ca="1" si="5"/>
        <v>#REF!</v>
      </c>
      <c r="F78" s="16">
        <f t="shared" ca="1" si="6"/>
        <v>0</v>
      </c>
      <c r="J78">
        <f t="shared" ca="1" si="7"/>
        <v>0</v>
      </c>
    </row>
    <row r="79" spans="1:10">
      <c r="A79" s="526">
        <v>76</v>
      </c>
      <c r="B79" s="527">
        <f t="shared" ca="1" si="4"/>
        <v>0</v>
      </c>
      <c r="E79" s="16" t="e">
        <f t="shared" ca="1" si="5"/>
        <v>#REF!</v>
      </c>
      <c r="F79" s="16">
        <f t="shared" ca="1" si="6"/>
        <v>0</v>
      </c>
      <c r="J79">
        <f t="shared" ca="1" si="7"/>
        <v>0</v>
      </c>
    </row>
    <row r="80" spans="1:10">
      <c r="A80" s="526">
        <v>77</v>
      </c>
      <c r="B80" s="527">
        <f t="shared" ca="1" si="4"/>
        <v>0</v>
      </c>
      <c r="E80" s="16" t="e">
        <f t="shared" ca="1" si="5"/>
        <v>#REF!</v>
      </c>
      <c r="F80" s="16">
        <f t="shared" ca="1" si="6"/>
        <v>0</v>
      </c>
      <c r="J80">
        <f t="shared" ca="1" si="7"/>
        <v>0</v>
      </c>
    </row>
    <row r="81" spans="1:10">
      <c r="A81" s="526">
        <v>78</v>
      </c>
      <c r="B81" s="527">
        <f t="shared" ca="1" si="4"/>
        <v>0</v>
      </c>
      <c r="E81" s="16" t="e">
        <f t="shared" ca="1" si="5"/>
        <v>#REF!</v>
      </c>
      <c r="F81" s="16">
        <f t="shared" ca="1" si="6"/>
        <v>0</v>
      </c>
      <c r="J81">
        <f t="shared" ca="1" si="7"/>
        <v>0</v>
      </c>
    </row>
    <row r="82" spans="1:10">
      <c r="A82" s="526">
        <v>79</v>
      </c>
      <c r="B82" s="527">
        <f t="shared" ca="1" si="4"/>
        <v>0</v>
      </c>
      <c r="E82" s="16" t="e">
        <f t="shared" ca="1" si="5"/>
        <v>#REF!</v>
      </c>
      <c r="F82" s="16">
        <f t="shared" ca="1" si="6"/>
        <v>0</v>
      </c>
      <c r="J82">
        <f t="shared" ca="1" si="7"/>
        <v>0</v>
      </c>
    </row>
    <row r="83" spans="1:10">
      <c r="A83" s="526">
        <v>80</v>
      </c>
      <c r="B83" s="527">
        <f t="shared" ca="1" si="4"/>
        <v>0</v>
      </c>
      <c r="E83" s="16" t="e">
        <f t="shared" ca="1" si="5"/>
        <v>#REF!</v>
      </c>
      <c r="F83" s="16">
        <f t="shared" ca="1" si="6"/>
        <v>0</v>
      </c>
      <c r="J83">
        <f t="shared" ca="1" si="7"/>
        <v>0</v>
      </c>
    </row>
    <row r="84" spans="1:10">
      <c r="A84" s="526">
        <v>81</v>
      </c>
      <c r="B84" s="527">
        <f t="shared" ca="1" si="4"/>
        <v>0</v>
      </c>
      <c r="E84" s="16" t="e">
        <f t="shared" ca="1" si="5"/>
        <v>#REF!</v>
      </c>
      <c r="F84" s="16">
        <f t="shared" ca="1" si="6"/>
        <v>0</v>
      </c>
      <c r="J84">
        <f t="shared" ca="1" si="7"/>
        <v>0</v>
      </c>
    </row>
    <row r="85" spans="1:10">
      <c r="A85" s="526">
        <v>82</v>
      </c>
      <c r="B85" s="527">
        <f t="shared" ca="1" si="4"/>
        <v>0</v>
      </c>
      <c r="E85" s="16" t="e">
        <f t="shared" ca="1" si="5"/>
        <v>#REF!</v>
      </c>
      <c r="F85" s="16">
        <f t="shared" ca="1" si="6"/>
        <v>0</v>
      </c>
      <c r="J85">
        <f t="shared" ca="1" si="7"/>
        <v>0</v>
      </c>
    </row>
    <row r="86" spans="1:10">
      <c r="A86" s="526">
        <v>83</v>
      </c>
      <c r="B86" s="527">
        <f t="shared" ca="1" si="4"/>
        <v>0</v>
      </c>
      <c r="E86" s="16" t="e">
        <f t="shared" ca="1" si="5"/>
        <v>#REF!</v>
      </c>
      <c r="F86" s="16">
        <f t="shared" ca="1" si="6"/>
        <v>0</v>
      </c>
      <c r="J86">
        <f t="shared" ca="1" si="7"/>
        <v>0</v>
      </c>
    </row>
    <row r="87" spans="1:10">
      <c r="A87" s="526">
        <v>84</v>
      </c>
      <c r="B87" s="527">
        <f t="shared" ca="1" si="4"/>
        <v>0</v>
      </c>
      <c r="E87" s="16" t="e">
        <f t="shared" ca="1" si="5"/>
        <v>#REF!</v>
      </c>
      <c r="F87" s="16">
        <f t="shared" ca="1" si="6"/>
        <v>0</v>
      </c>
      <c r="J87">
        <f t="shared" ca="1" si="7"/>
        <v>0</v>
      </c>
    </row>
    <row r="88" spans="1:10">
      <c r="A88" s="526">
        <v>85</v>
      </c>
      <c r="B88" s="527">
        <f t="shared" ca="1" si="4"/>
        <v>0</v>
      </c>
      <c r="E88" s="16" t="e">
        <f t="shared" ca="1" si="5"/>
        <v>#REF!</v>
      </c>
      <c r="F88" s="16">
        <f t="shared" ca="1" si="6"/>
        <v>0</v>
      </c>
      <c r="J88">
        <f t="shared" ca="1" si="7"/>
        <v>0</v>
      </c>
    </row>
    <row r="89" spans="1:10">
      <c r="A89" s="526">
        <v>86</v>
      </c>
      <c r="B89" s="527">
        <f t="shared" ca="1" si="4"/>
        <v>0</v>
      </c>
      <c r="E89" s="16" t="e">
        <f t="shared" ca="1" si="5"/>
        <v>#REF!</v>
      </c>
      <c r="F89" s="16">
        <f t="shared" ca="1" si="6"/>
        <v>0</v>
      </c>
      <c r="J89">
        <f t="shared" ca="1" si="7"/>
        <v>0</v>
      </c>
    </row>
    <row r="90" spans="1:10">
      <c r="A90" s="526">
        <v>87</v>
      </c>
      <c r="B90" s="527">
        <f t="shared" ca="1" si="4"/>
        <v>0</v>
      </c>
      <c r="E90" s="16" t="e">
        <f t="shared" ca="1" si="5"/>
        <v>#REF!</v>
      </c>
      <c r="F90" s="16">
        <f t="shared" ca="1" si="6"/>
        <v>0</v>
      </c>
      <c r="J90">
        <f t="shared" ca="1" si="7"/>
        <v>0</v>
      </c>
    </row>
    <row r="91" spans="1:10">
      <c r="A91" s="526">
        <v>88</v>
      </c>
      <c r="B91" s="527">
        <f t="shared" ca="1" si="4"/>
        <v>0</v>
      </c>
      <c r="E91" s="16" t="e">
        <f t="shared" ca="1" si="5"/>
        <v>#REF!</v>
      </c>
      <c r="F91" s="16">
        <f t="shared" ca="1" si="6"/>
        <v>0</v>
      </c>
      <c r="J91">
        <f t="shared" ca="1" si="7"/>
        <v>0</v>
      </c>
    </row>
    <row r="92" spans="1:10">
      <c r="A92" s="526">
        <v>89</v>
      </c>
      <c r="B92" s="527">
        <f t="shared" ca="1" si="4"/>
        <v>0</v>
      </c>
      <c r="E92" s="16" t="e">
        <f t="shared" ca="1" si="5"/>
        <v>#REF!</v>
      </c>
      <c r="F92" s="16">
        <f t="shared" ca="1" si="6"/>
        <v>0</v>
      </c>
      <c r="J92">
        <f t="shared" ca="1" si="7"/>
        <v>0</v>
      </c>
    </row>
    <row r="93" spans="1:10">
      <c r="A93" s="526">
        <v>90</v>
      </c>
      <c r="B93" s="527">
        <f t="shared" ca="1" si="4"/>
        <v>0</v>
      </c>
      <c r="E93" s="16" t="e">
        <f t="shared" ca="1" si="5"/>
        <v>#REF!</v>
      </c>
      <c r="F93" s="16">
        <f t="shared" ca="1" si="6"/>
        <v>0</v>
      </c>
      <c r="J93">
        <f t="shared" ca="1" si="7"/>
        <v>0</v>
      </c>
    </row>
    <row r="94" spans="1:10">
      <c r="A94" s="526">
        <v>91</v>
      </c>
      <c r="B94" s="527">
        <f t="shared" ca="1" si="4"/>
        <v>0</v>
      </c>
      <c r="E94" s="16" t="e">
        <f t="shared" ca="1" si="5"/>
        <v>#REF!</v>
      </c>
      <c r="F94" s="16">
        <f t="shared" ca="1" si="6"/>
        <v>0</v>
      </c>
      <c r="J94">
        <f t="shared" ca="1" si="7"/>
        <v>0</v>
      </c>
    </row>
    <row r="95" spans="1:10">
      <c r="A95" s="526">
        <v>92</v>
      </c>
      <c r="B95" s="527">
        <f t="shared" ca="1" si="4"/>
        <v>0</v>
      </c>
      <c r="E95" s="16" t="e">
        <f t="shared" ca="1" si="5"/>
        <v>#REF!</v>
      </c>
      <c r="F95" s="16">
        <f t="shared" ca="1" si="6"/>
        <v>0</v>
      </c>
      <c r="J95">
        <f t="shared" ca="1" si="7"/>
        <v>0</v>
      </c>
    </row>
    <row r="96" spans="1:10">
      <c r="A96" s="526">
        <v>93</v>
      </c>
      <c r="B96" s="527">
        <f t="shared" ca="1" si="4"/>
        <v>0</v>
      </c>
      <c r="E96" s="16" t="e">
        <f t="shared" ca="1" si="5"/>
        <v>#REF!</v>
      </c>
      <c r="F96" s="16">
        <f t="shared" ca="1" si="6"/>
        <v>0</v>
      </c>
      <c r="J96">
        <f t="shared" ca="1" si="7"/>
        <v>0</v>
      </c>
    </row>
    <row r="97" spans="1:10">
      <c r="A97" s="526">
        <v>94</v>
      </c>
      <c r="B97" s="527">
        <f t="shared" ca="1" si="4"/>
        <v>0</v>
      </c>
      <c r="E97" s="16" t="e">
        <f t="shared" ca="1" si="5"/>
        <v>#REF!</v>
      </c>
      <c r="F97" s="16">
        <f t="shared" ca="1" si="6"/>
        <v>0</v>
      </c>
      <c r="J97">
        <f t="shared" ca="1" si="7"/>
        <v>0</v>
      </c>
    </row>
    <row r="98" spans="1:10">
      <c r="A98" s="526">
        <v>95</v>
      </c>
      <c r="B98" s="527">
        <f t="shared" ca="1" si="4"/>
        <v>0</v>
      </c>
      <c r="E98" s="16" t="e">
        <f t="shared" ca="1" si="5"/>
        <v>#REF!</v>
      </c>
      <c r="F98" s="16">
        <f t="shared" ca="1" si="6"/>
        <v>0</v>
      </c>
      <c r="J98">
        <f t="shared" ca="1" si="7"/>
        <v>0</v>
      </c>
    </row>
    <row r="99" spans="1:10">
      <c r="A99" s="526">
        <v>96</v>
      </c>
      <c r="B99" s="527">
        <f t="shared" ca="1" si="4"/>
        <v>0</v>
      </c>
      <c r="E99" s="16" t="e">
        <f t="shared" ca="1" si="5"/>
        <v>#REF!</v>
      </c>
      <c r="F99" s="16">
        <f t="shared" ca="1" si="6"/>
        <v>0</v>
      </c>
      <c r="J99">
        <f t="shared" ca="1" si="7"/>
        <v>0</v>
      </c>
    </row>
    <row r="100" spans="1:10">
      <c r="A100" s="526">
        <v>97</v>
      </c>
      <c r="B100" s="527">
        <f t="shared" ca="1" si="4"/>
        <v>0</v>
      </c>
      <c r="E100" s="16" t="e">
        <f t="shared" ca="1" si="5"/>
        <v>#REF!</v>
      </c>
      <c r="F100" s="16">
        <f t="shared" ca="1" si="6"/>
        <v>0</v>
      </c>
      <c r="J100">
        <f t="shared" ca="1" si="7"/>
        <v>0</v>
      </c>
    </row>
    <row r="101" spans="1:10">
      <c r="A101" s="526">
        <v>98</v>
      </c>
      <c r="B101" s="527">
        <f t="shared" ca="1" si="4"/>
        <v>0</v>
      </c>
      <c r="E101" s="16" t="e">
        <f t="shared" ca="1" si="5"/>
        <v>#REF!</v>
      </c>
      <c r="F101" s="16">
        <f t="shared" ca="1" si="6"/>
        <v>0</v>
      </c>
      <c r="J101">
        <f t="shared" ca="1" si="7"/>
        <v>0</v>
      </c>
    </row>
    <row r="102" spans="1:10">
      <c r="A102" s="526">
        <v>99</v>
      </c>
      <c r="B102" s="527">
        <f t="shared" ca="1" si="4"/>
        <v>0</v>
      </c>
      <c r="E102" s="16" t="e">
        <f t="shared" ca="1" si="5"/>
        <v>#REF!</v>
      </c>
      <c r="F102" s="16">
        <f t="shared" ca="1" si="6"/>
        <v>0</v>
      </c>
      <c r="J102">
        <f t="shared" ca="1" si="7"/>
        <v>0</v>
      </c>
    </row>
    <row r="103" spans="1:10">
      <c r="A103" s="526">
        <v>100</v>
      </c>
      <c r="B103" s="527">
        <f t="shared" ca="1" si="4"/>
        <v>0</v>
      </c>
      <c r="E103" s="16" t="e">
        <f t="shared" ca="1" si="5"/>
        <v>#REF!</v>
      </c>
      <c r="F103" s="16">
        <f t="shared" ca="1" si="6"/>
        <v>0</v>
      </c>
      <c r="J103">
        <f t="shared" ca="1" si="7"/>
        <v>0</v>
      </c>
    </row>
    <row r="104" spans="1:10">
      <c r="A104" s="526">
        <v>101</v>
      </c>
      <c r="B104" s="527">
        <f t="shared" ca="1" si="4"/>
        <v>0</v>
      </c>
      <c r="E104" s="16" t="e">
        <f t="shared" ca="1" si="5"/>
        <v>#REF!</v>
      </c>
      <c r="F104" s="16">
        <f t="shared" ca="1" si="6"/>
        <v>0</v>
      </c>
      <c r="J104">
        <f t="shared" ca="1" si="7"/>
        <v>0</v>
      </c>
    </row>
    <row r="105" spans="1:10">
      <c r="A105" s="526">
        <v>102</v>
      </c>
      <c r="B105" s="527">
        <f t="shared" ca="1" si="4"/>
        <v>0</v>
      </c>
      <c r="E105" s="16" t="e">
        <f t="shared" ca="1" si="5"/>
        <v>#REF!</v>
      </c>
      <c r="F105" s="16">
        <f t="shared" ca="1" si="6"/>
        <v>0</v>
      </c>
      <c r="J105">
        <f t="shared" ca="1" si="7"/>
        <v>0</v>
      </c>
    </row>
    <row r="106" spans="1:10">
      <c r="A106" s="526">
        <v>103</v>
      </c>
      <c r="B106" s="527">
        <f t="shared" ca="1" si="4"/>
        <v>0</v>
      </c>
      <c r="E106" s="16" t="e">
        <f t="shared" ca="1" si="5"/>
        <v>#REF!</v>
      </c>
      <c r="F106" s="16">
        <f t="shared" ca="1" si="6"/>
        <v>0</v>
      </c>
      <c r="J106">
        <f t="shared" ca="1" si="7"/>
        <v>0</v>
      </c>
    </row>
    <row r="107" spans="1:10">
      <c r="A107" s="526">
        <v>104</v>
      </c>
      <c r="B107" s="527">
        <f t="shared" ca="1" si="4"/>
        <v>0</v>
      </c>
      <c r="E107" s="16" t="e">
        <f t="shared" ca="1" si="5"/>
        <v>#REF!</v>
      </c>
      <c r="F107" s="16">
        <f t="shared" ca="1" si="6"/>
        <v>0</v>
      </c>
      <c r="J107">
        <f t="shared" ca="1" si="7"/>
        <v>0</v>
      </c>
    </row>
    <row r="108" spans="1:10">
      <c r="A108" s="526">
        <v>105</v>
      </c>
      <c r="B108" s="527">
        <f t="shared" ca="1" si="4"/>
        <v>0</v>
      </c>
      <c r="E108" s="16" t="e">
        <f t="shared" ca="1" si="5"/>
        <v>#REF!</v>
      </c>
      <c r="F108" s="16">
        <f t="shared" ca="1" si="6"/>
        <v>0</v>
      </c>
      <c r="J108">
        <f t="shared" ca="1" si="7"/>
        <v>0</v>
      </c>
    </row>
    <row r="109" spans="1:10">
      <c r="A109" s="526">
        <v>106</v>
      </c>
      <c r="B109" s="527">
        <f t="shared" ca="1" si="4"/>
        <v>0</v>
      </c>
      <c r="E109" s="16" t="e">
        <f t="shared" ca="1" si="5"/>
        <v>#REF!</v>
      </c>
      <c r="F109" s="16">
        <f t="shared" ca="1" si="6"/>
        <v>0</v>
      </c>
      <c r="J109">
        <f t="shared" ca="1" si="7"/>
        <v>0</v>
      </c>
    </row>
    <row r="110" spans="1:10">
      <c r="A110" s="526">
        <v>107</v>
      </c>
      <c r="B110" s="527">
        <f t="shared" ca="1" si="4"/>
        <v>0</v>
      </c>
      <c r="E110" s="16" t="e">
        <f t="shared" ca="1" si="5"/>
        <v>#REF!</v>
      </c>
      <c r="F110" s="16">
        <f t="shared" ca="1" si="6"/>
        <v>0</v>
      </c>
      <c r="J110">
        <f t="shared" ca="1" si="7"/>
        <v>0</v>
      </c>
    </row>
    <row r="111" spans="1:10">
      <c r="A111" s="526">
        <v>108</v>
      </c>
      <c r="B111" s="527">
        <f t="shared" ca="1" si="4"/>
        <v>0</v>
      </c>
      <c r="E111" s="16" t="e">
        <f t="shared" ca="1" si="5"/>
        <v>#REF!</v>
      </c>
      <c r="F111" s="16">
        <f t="shared" ca="1" si="6"/>
        <v>0</v>
      </c>
      <c r="J111">
        <f t="shared" ca="1" si="7"/>
        <v>0</v>
      </c>
    </row>
    <row r="112" spans="1:10">
      <c r="A112" s="526">
        <v>109</v>
      </c>
      <c r="B112" s="527">
        <f t="shared" ca="1" si="4"/>
        <v>0</v>
      </c>
      <c r="E112" s="16" t="e">
        <f t="shared" ca="1" si="5"/>
        <v>#REF!</v>
      </c>
      <c r="F112" s="16">
        <f t="shared" ca="1" si="6"/>
        <v>0</v>
      </c>
      <c r="J112">
        <f t="shared" ca="1" si="7"/>
        <v>0</v>
      </c>
    </row>
    <row r="113" spans="1:10">
      <c r="A113" s="526">
        <v>110</v>
      </c>
      <c r="B113" s="527">
        <f t="shared" ca="1" si="4"/>
        <v>0</v>
      </c>
      <c r="E113" s="16" t="e">
        <f t="shared" ca="1" si="5"/>
        <v>#REF!</v>
      </c>
      <c r="F113" s="16">
        <f t="shared" ca="1" si="6"/>
        <v>0</v>
      </c>
      <c r="J113">
        <f t="shared" ca="1" si="7"/>
        <v>0</v>
      </c>
    </row>
    <row r="114" spans="1:10">
      <c r="A114" s="526">
        <v>111</v>
      </c>
      <c r="B114" s="527">
        <f t="shared" ca="1" si="4"/>
        <v>0</v>
      </c>
      <c r="E114" s="16" t="e">
        <f t="shared" ca="1" si="5"/>
        <v>#REF!</v>
      </c>
      <c r="F114" s="16">
        <f t="shared" ca="1" si="6"/>
        <v>0</v>
      </c>
      <c r="J114">
        <f t="shared" ca="1" si="7"/>
        <v>0</v>
      </c>
    </row>
    <row r="115" spans="1:10">
      <c r="A115" s="526">
        <v>112</v>
      </c>
      <c r="B115" s="527">
        <f t="shared" ca="1" si="4"/>
        <v>0</v>
      </c>
      <c r="E115" s="16" t="e">
        <f t="shared" ca="1" si="5"/>
        <v>#REF!</v>
      </c>
      <c r="F115" s="16">
        <f t="shared" ca="1" si="6"/>
        <v>0</v>
      </c>
      <c r="J115">
        <f t="shared" ca="1" si="7"/>
        <v>0</v>
      </c>
    </row>
    <row r="116" spans="1:10">
      <c r="A116" s="526">
        <v>113</v>
      </c>
      <c r="B116" s="527">
        <f t="shared" ca="1" si="4"/>
        <v>0</v>
      </c>
      <c r="E116" s="16" t="e">
        <f t="shared" ca="1" si="5"/>
        <v>#REF!</v>
      </c>
      <c r="F116" s="16">
        <f t="shared" ca="1" si="6"/>
        <v>0</v>
      </c>
      <c r="J116">
        <f t="shared" ca="1" si="7"/>
        <v>0</v>
      </c>
    </row>
    <row r="117" spans="1:10">
      <c r="A117" s="526">
        <v>114</v>
      </c>
      <c r="B117" s="527">
        <f t="shared" ca="1" si="4"/>
        <v>0</v>
      </c>
      <c r="E117" s="16" t="e">
        <f t="shared" ca="1" si="5"/>
        <v>#REF!</v>
      </c>
      <c r="F117" s="16">
        <f t="shared" ca="1" si="6"/>
        <v>0</v>
      </c>
      <c r="J117">
        <f t="shared" ca="1" si="7"/>
        <v>0</v>
      </c>
    </row>
    <row r="118" spans="1:10">
      <c r="A118" s="526">
        <v>115</v>
      </c>
      <c r="B118" s="527">
        <f t="shared" ca="1" si="4"/>
        <v>0</v>
      </c>
      <c r="E118" s="16" t="e">
        <f t="shared" ca="1" si="5"/>
        <v>#REF!</v>
      </c>
      <c r="F118" s="16">
        <f t="shared" ca="1" si="6"/>
        <v>0</v>
      </c>
      <c r="J118">
        <f t="shared" ca="1" si="7"/>
        <v>0</v>
      </c>
    </row>
    <row r="119" spans="1:10">
      <c r="A119" s="526">
        <v>116</v>
      </c>
      <c r="B119" s="527">
        <f t="shared" ca="1" si="4"/>
        <v>0</v>
      </c>
      <c r="E119" s="16" t="e">
        <f t="shared" ca="1" si="5"/>
        <v>#REF!</v>
      </c>
      <c r="F119" s="16">
        <f t="shared" ca="1" si="6"/>
        <v>0</v>
      </c>
      <c r="J119">
        <f t="shared" ca="1" si="7"/>
        <v>0</v>
      </c>
    </row>
    <row r="120" spans="1:10">
      <c r="A120" s="526">
        <v>117</v>
      </c>
      <c r="B120" s="527">
        <f t="shared" ca="1" si="4"/>
        <v>0</v>
      </c>
      <c r="E120" s="16" t="e">
        <f t="shared" ca="1" si="5"/>
        <v>#REF!</v>
      </c>
      <c r="F120" s="16">
        <f t="shared" ca="1" si="6"/>
        <v>0</v>
      </c>
      <c r="J120">
        <f t="shared" ca="1" si="7"/>
        <v>0</v>
      </c>
    </row>
    <row r="121" spans="1:10">
      <c r="A121" s="526">
        <v>118</v>
      </c>
      <c r="B121" s="527">
        <f t="shared" ca="1" si="4"/>
        <v>0</v>
      </c>
      <c r="E121" s="16" t="e">
        <f t="shared" ca="1" si="5"/>
        <v>#REF!</v>
      </c>
      <c r="F121" s="16">
        <f t="shared" ca="1" si="6"/>
        <v>0</v>
      </c>
      <c r="J121">
        <f t="shared" ca="1" si="7"/>
        <v>0</v>
      </c>
    </row>
    <row r="122" spans="1:10">
      <c r="A122" s="526">
        <v>119</v>
      </c>
      <c r="B122" s="527">
        <f t="shared" ca="1" si="4"/>
        <v>0</v>
      </c>
      <c r="E122" s="16" t="e">
        <f t="shared" ca="1" si="5"/>
        <v>#REF!</v>
      </c>
      <c r="F122" s="16">
        <f t="shared" ca="1" si="6"/>
        <v>0</v>
      </c>
      <c r="J122">
        <f t="shared" ca="1" si="7"/>
        <v>0</v>
      </c>
    </row>
    <row r="123" spans="1:10">
      <c r="A123" s="526">
        <v>120</v>
      </c>
      <c r="B123" s="527">
        <f t="shared" ca="1" si="4"/>
        <v>0</v>
      </c>
      <c r="E123" s="16" t="e">
        <f t="shared" ca="1" si="5"/>
        <v>#REF!</v>
      </c>
      <c r="F123" s="16">
        <f t="shared" ca="1" si="6"/>
        <v>0</v>
      </c>
      <c r="J123">
        <f t="shared" ca="1" si="7"/>
        <v>0</v>
      </c>
    </row>
    <row r="124" spans="1:10">
      <c r="A124" s="526">
        <v>121</v>
      </c>
      <c r="B124" s="527">
        <f t="shared" ca="1" si="4"/>
        <v>0</v>
      </c>
      <c r="E124" s="16" t="e">
        <f t="shared" ca="1" si="5"/>
        <v>#REF!</v>
      </c>
      <c r="F124" s="16">
        <f t="shared" ca="1" si="6"/>
        <v>0</v>
      </c>
      <c r="J124">
        <f t="shared" ca="1" si="7"/>
        <v>0</v>
      </c>
    </row>
    <row r="125" spans="1:10">
      <c r="A125" s="526">
        <v>122</v>
      </c>
      <c r="B125" s="527">
        <f t="shared" ca="1" si="4"/>
        <v>0</v>
      </c>
      <c r="E125" s="16" t="e">
        <f t="shared" ca="1" si="5"/>
        <v>#REF!</v>
      </c>
      <c r="F125" s="16">
        <f t="shared" ca="1" si="6"/>
        <v>0</v>
      </c>
      <c r="J125">
        <f t="shared" ca="1" si="7"/>
        <v>0</v>
      </c>
    </row>
    <row r="126" spans="1:10">
      <c r="A126" s="526">
        <v>123</v>
      </c>
      <c r="B126" s="527">
        <f t="shared" ca="1" si="4"/>
        <v>0</v>
      </c>
      <c r="E126" s="16" t="e">
        <f t="shared" ca="1" si="5"/>
        <v>#REF!</v>
      </c>
      <c r="F126" s="16">
        <f t="shared" ca="1" si="6"/>
        <v>0</v>
      </c>
      <c r="J126">
        <f t="shared" ca="1" si="7"/>
        <v>0</v>
      </c>
    </row>
    <row r="127" spans="1:10">
      <c r="A127" s="526">
        <v>124</v>
      </c>
      <c r="B127" s="527">
        <f t="shared" ca="1" si="4"/>
        <v>0</v>
      </c>
      <c r="E127" s="16" t="e">
        <f t="shared" ca="1" si="5"/>
        <v>#REF!</v>
      </c>
      <c r="F127" s="16">
        <f t="shared" ca="1" si="6"/>
        <v>0</v>
      </c>
      <c r="J127">
        <f t="shared" ca="1" si="7"/>
        <v>0</v>
      </c>
    </row>
    <row r="128" spans="1:10">
      <c r="A128" s="526">
        <v>125</v>
      </c>
      <c r="B128" s="527">
        <f t="shared" ca="1" si="4"/>
        <v>0</v>
      </c>
      <c r="E128" s="16" t="e">
        <f t="shared" ca="1" si="5"/>
        <v>#REF!</v>
      </c>
      <c r="F128" s="16">
        <f t="shared" ca="1" si="6"/>
        <v>0</v>
      </c>
      <c r="J128">
        <f t="shared" ca="1" si="7"/>
        <v>0</v>
      </c>
    </row>
    <row r="129" spans="1:10">
      <c r="A129" s="526">
        <v>126</v>
      </c>
      <c r="B129" s="527">
        <f t="shared" ca="1" si="4"/>
        <v>0</v>
      </c>
      <c r="E129" s="16" t="e">
        <f t="shared" ca="1" si="5"/>
        <v>#REF!</v>
      </c>
      <c r="F129" s="16">
        <f t="shared" ca="1" si="6"/>
        <v>0</v>
      </c>
      <c r="J129">
        <f t="shared" ca="1" si="7"/>
        <v>0</v>
      </c>
    </row>
    <row r="130" spans="1:10">
      <c r="A130" s="526">
        <v>127</v>
      </c>
      <c r="B130" s="527">
        <f t="shared" ca="1" si="4"/>
        <v>0</v>
      </c>
      <c r="E130" s="16" t="e">
        <f t="shared" ca="1" si="5"/>
        <v>#REF!</v>
      </c>
      <c r="F130" s="16">
        <f t="shared" ca="1" si="6"/>
        <v>0</v>
      </c>
      <c r="J130">
        <f t="shared" ca="1" si="7"/>
        <v>0</v>
      </c>
    </row>
    <row r="131" spans="1:10">
      <c r="A131" s="526">
        <v>128</v>
      </c>
      <c r="B131" s="527">
        <f t="shared" ca="1" si="4"/>
        <v>0</v>
      </c>
      <c r="E131" s="16" t="e">
        <f t="shared" ca="1" si="5"/>
        <v>#REF!</v>
      </c>
      <c r="F131" s="16">
        <f t="shared" ca="1" si="6"/>
        <v>0</v>
      </c>
      <c r="J131">
        <f t="shared" ca="1" si="7"/>
        <v>0</v>
      </c>
    </row>
    <row r="132" spans="1:10">
      <c r="A132" s="526">
        <v>129</v>
      </c>
      <c r="B132" s="527">
        <f t="shared" ref="B132:B195" ca="1" si="8">J132*($H$3-C132+D132)</f>
        <v>0</v>
      </c>
      <c r="E132" s="16" t="e">
        <f t="shared" ref="E132:E195" ca="1" si="9">J132*(B132*$L$1+F132)-(J132-1)*$L$3</f>
        <v>#REF!</v>
      </c>
      <c r="F132" s="16">
        <f t="shared" ref="F132:F195" ca="1" si="10">IF(A132&lt;$I$3,$L$2,0)</f>
        <v>0</v>
      </c>
      <c r="J132">
        <f t="shared" ref="J132:J195" ca="1" si="11">IF($I$3&lt;=A132,0,1)</f>
        <v>0</v>
      </c>
    </row>
    <row r="133" spans="1:10">
      <c r="A133" s="526">
        <v>130</v>
      </c>
      <c r="B133" s="527">
        <f t="shared" ca="1" si="8"/>
        <v>0</v>
      </c>
      <c r="E133" s="16" t="e">
        <f t="shared" ca="1" si="9"/>
        <v>#REF!</v>
      </c>
      <c r="F133" s="16">
        <f t="shared" ca="1" si="10"/>
        <v>0</v>
      </c>
      <c r="J133">
        <f t="shared" ca="1" si="11"/>
        <v>0</v>
      </c>
    </row>
    <row r="134" spans="1:10">
      <c r="A134" s="526">
        <v>131</v>
      </c>
      <c r="B134" s="527">
        <f t="shared" ca="1" si="8"/>
        <v>0</v>
      </c>
      <c r="E134" s="16" t="e">
        <f t="shared" ca="1" si="9"/>
        <v>#REF!</v>
      </c>
      <c r="F134" s="16">
        <f t="shared" ca="1" si="10"/>
        <v>0</v>
      </c>
      <c r="J134">
        <f t="shared" ca="1" si="11"/>
        <v>0</v>
      </c>
    </row>
    <row r="135" spans="1:10">
      <c r="A135" s="526">
        <v>132</v>
      </c>
      <c r="B135" s="527">
        <f t="shared" ca="1" si="8"/>
        <v>0</v>
      </c>
      <c r="E135" s="16" t="e">
        <f t="shared" ca="1" si="9"/>
        <v>#REF!</v>
      </c>
      <c r="F135" s="16">
        <f t="shared" ca="1" si="10"/>
        <v>0</v>
      </c>
      <c r="J135">
        <f t="shared" ca="1" si="11"/>
        <v>0</v>
      </c>
    </row>
    <row r="136" spans="1:10">
      <c r="A136" s="526">
        <v>133</v>
      </c>
      <c r="B136" s="527">
        <f t="shared" ca="1" si="8"/>
        <v>0</v>
      </c>
      <c r="E136" s="16" t="e">
        <f t="shared" ca="1" si="9"/>
        <v>#REF!</v>
      </c>
      <c r="F136" s="16">
        <f t="shared" ca="1" si="10"/>
        <v>0</v>
      </c>
      <c r="J136">
        <f t="shared" ca="1" si="11"/>
        <v>0</v>
      </c>
    </row>
    <row r="137" spans="1:10">
      <c r="A137" s="526">
        <v>134</v>
      </c>
      <c r="B137" s="527">
        <f t="shared" ca="1" si="8"/>
        <v>0</v>
      </c>
      <c r="E137" s="16" t="e">
        <f t="shared" ca="1" si="9"/>
        <v>#REF!</v>
      </c>
      <c r="F137" s="16">
        <f t="shared" ca="1" si="10"/>
        <v>0</v>
      </c>
      <c r="J137">
        <f t="shared" ca="1" si="11"/>
        <v>0</v>
      </c>
    </row>
    <row r="138" spans="1:10">
      <c r="A138" s="526">
        <v>135</v>
      </c>
      <c r="B138" s="527">
        <f t="shared" ca="1" si="8"/>
        <v>0</v>
      </c>
      <c r="E138" s="16" t="e">
        <f t="shared" ca="1" si="9"/>
        <v>#REF!</v>
      </c>
      <c r="F138" s="16">
        <f t="shared" ca="1" si="10"/>
        <v>0</v>
      </c>
      <c r="J138">
        <f t="shared" ca="1" si="11"/>
        <v>0</v>
      </c>
    </row>
    <row r="139" spans="1:10">
      <c r="A139" s="526">
        <v>136</v>
      </c>
      <c r="B139" s="527">
        <f t="shared" ca="1" si="8"/>
        <v>0</v>
      </c>
      <c r="E139" s="16" t="e">
        <f t="shared" ca="1" si="9"/>
        <v>#REF!</v>
      </c>
      <c r="F139" s="16">
        <f t="shared" ca="1" si="10"/>
        <v>0</v>
      </c>
      <c r="J139">
        <f t="shared" ca="1" si="11"/>
        <v>0</v>
      </c>
    </row>
    <row r="140" spans="1:10">
      <c r="A140" s="526">
        <v>137</v>
      </c>
      <c r="B140" s="527">
        <f t="shared" ca="1" si="8"/>
        <v>0</v>
      </c>
      <c r="E140" s="16" t="e">
        <f t="shared" ca="1" si="9"/>
        <v>#REF!</v>
      </c>
      <c r="F140" s="16">
        <f t="shared" ca="1" si="10"/>
        <v>0</v>
      </c>
      <c r="J140">
        <f t="shared" ca="1" si="11"/>
        <v>0</v>
      </c>
    </row>
    <row r="141" spans="1:10">
      <c r="A141" s="526">
        <v>138</v>
      </c>
      <c r="B141" s="527">
        <f t="shared" ca="1" si="8"/>
        <v>0</v>
      </c>
      <c r="E141" s="16" t="e">
        <f t="shared" ca="1" si="9"/>
        <v>#REF!</v>
      </c>
      <c r="F141" s="16">
        <f t="shared" ca="1" si="10"/>
        <v>0</v>
      </c>
      <c r="J141">
        <f t="shared" ca="1" si="11"/>
        <v>0</v>
      </c>
    </row>
    <row r="142" spans="1:10">
      <c r="A142" s="526">
        <v>139</v>
      </c>
      <c r="B142" s="527">
        <f t="shared" ca="1" si="8"/>
        <v>0</v>
      </c>
      <c r="E142" s="16" t="e">
        <f t="shared" ca="1" si="9"/>
        <v>#REF!</v>
      </c>
      <c r="F142" s="16">
        <f t="shared" ca="1" si="10"/>
        <v>0</v>
      </c>
      <c r="J142">
        <f t="shared" ca="1" si="11"/>
        <v>0</v>
      </c>
    </row>
    <row r="143" spans="1:10">
      <c r="A143" s="526">
        <v>140</v>
      </c>
      <c r="B143" s="527">
        <f t="shared" ca="1" si="8"/>
        <v>0</v>
      </c>
      <c r="E143" s="16" t="e">
        <f t="shared" ca="1" si="9"/>
        <v>#REF!</v>
      </c>
      <c r="F143" s="16">
        <f t="shared" ca="1" si="10"/>
        <v>0</v>
      </c>
      <c r="J143">
        <f t="shared" ca="1" si="11"/>
        <v>0</v>
      </c>
    </row>
    <row r="144" spans="1:10">
      <c r="A144" s="526">
        <v>141</v>
      </c>
      <c r="B144" s="527">
        <f t="shared" ca="1" si="8"/>
        <v>0</v>
      </c>
      <c r="E144" s="16" t="e">
        <f t="shared" ca="1" si="9"/>
        <v>#REF!</v>
      </c>
      <c r="F144" s="16">
        <f t="shared" ca="1" si="10"/>
        <v>0</v>
      </c>
      <c r="J144">
        <f t="shared" ca="1" si="11"/>
        <v>0</v>
      </c>
    </row>
    <row r="145" spans="1:10">
      <c r="A145" s="526">
        <v>142</v>
      </c>
      <c r="B145" s="527">
        <f t="shared" ca="1" si="8"/>
        <v>0</v>
      </c>
      <c r="E145" s="16" t="e">
        <f t="shared" ca="1" si="9"/>
        <v>#REF!</v>
      </c>
      <c r="F145" s="16">
        <f t="shared" ca="1" si="10"/>
        <v>0</v>
      </c>
      <c r="J145">
        <f t="shared" ca="1" si="11"/>
        <v>0</v>
      </c>
    </row>
    <row r="146" spans="1:10">
      <c r="A146" s="526">
        <v>143</v>
      </c>
      <c r="B146" s="527">
        <f t="shared" ca="1" si="8"/>
        <v>0</v>
      </c>
      <c r="E146" s="16" t="e">
        <f t="shared" ca="1" si="9"/>
        <v>#REF!</v>
      </c>
      <c r="F146" s="16">
        <f t="shared" ca="1" si="10"/>
        <v>0</v>
      </c>
      <c r="J146">
        <f t="shared" ca="1" si="11"/>
        <v>0</v>
      </c>
    </row>
    <row r="147" spans="1:10">
      <c r="A147" s="526">
        <v>144</v>
      </c>
      <c r="B147" s="527">
        <f t="shared" ca="1" si="8"/>
        <v>0</v>
      </c>
      <c r="E147" s="16" t="e">
        <f t="shared" ca="1" si="9"/>
        <v>#REF!</v>
      </c>
      <c r="F147" s="16">
        <f t="shared" ca="1" si="10"/>
        <v>0</v>
      </c>
      <c r="J147">
        <f t="shared" ca="1" si="11"/>
        <v>0</v>
      </c>
    </row>
    <row r="148" spans="1:10">
      <c r="A148" s="526">
        <v>145</v>
      </c>
      <c r="B148" s="527">
        <f t="shared" ca="1" si="8"/>
        <v>0</v>
      </c>
      <c r="E148" s="16" t="e">
        <f t="shared" ca="1" si="9"/>
        <v>#REF!</v>
      </c>
      <c r="F148" s="16">
        <f t="shared" ca="1" si="10"/>
        <v>0</v>
      </c>
      <c r="J148">
        <f t="shared" ca="1" si="11"/>
        <v>0</v>
      </c>
    </row>
    <row r="149" spans="1:10">
      <c r="A149" s="526">
        <v>146</v>
      </c>
      <c r="B149" s="527">
        <f t="shared" ca="1" si="8"/>
        <v>0</v>
      </c>
      <c r="E149" s="16" t="e">
        <f t="shared" ca="1" si="9"/>
        <v>#REF!</v>
      </c>
      <c r="F149" s="16">
        <f t="shared" ca="1" si="10"/>
        <v>0</v>
      </c>
      <c r="J149">
        <f t="shared" ca="1" si="11"/>
        <v>0</v>
      </c>
    </row>
    <row r="150" spans="1:10">
      <c r="A150" s="526">
        <v>147</v>
      </c>
      <c r="B150" s="527">
        <f t="shared" ca="1" si="8"/>
        <v>0</v>
      </c>
      <c r="E150" s="16" t="e">
        <f t="shared" ca="1" si="9"/>
        <v>#REF!</v>
      </c>
      <c r="F150" s="16">
        <f t="shared" ca="1" si="10"/>
        <v>0</v>
      </c>
      <c r="J150">
        <f t="shared" ca="1" si="11"/>
        <v>0</v>
      </c>
    </row>
    <row r="151" spans="1:10">
      <c r="A151" s="526">
        <v>148</v>
      </c>
      <c r="B151" s="527">
        <f t="shared" ca="1" si="8"/>
        <v>0</v>
      </c>
      <c r="E151" s="16" t="e">
        <f t="shared" ca="1" si="9"/>
        <v>#REF!</v>
      </c>
      <c r="F151" s="16">
        <f t="shared" ca="1" si="10"/>
        <v>0</v>
      </c>
      <c r="J151">
        <f t="shared" ca="1" si="11"/>
        <v>0</v>
      </c>
    </row>
    <row r="152" spans="1:10">
      <c r="A152" s="526">
        <v>149</v>
      </c>
      <c r="B152" s="527">
        <f t="shared" ca="1" si="8"/>
        <v>0</v>
      </c>
      <c r="E152" s="16" t="e">
        <f t="shared" ca="1" si="9"/>
        <v>#REF!</v>
      </c>
      <c r="F152" s="16">
        <f t="shared" ca="1" si="10"/>
        <v>0</v>
      </c>
      <c r="J152">
        <f t="shared" ca="1" si="11"/>
        <v>0</v>
      </c>
    </row>
    <row r="153" spans="1:10">
      <c r="A153" s="526">
        <v>150</v>
      </c>
      <c r="B153" s="527">
        <f t="shared" ca="1" si="8"/>
        <v>0</v>
      </c>
      <c r="E153" s="16" t="e">
        <f t="shared" ca="1" si="9"/>
        <v>#REF!</v>
      </c>
      <c r="F153" s="16">
        <f t="shared" ca="1" si="10"/>
        <v>0</v>
      </c>
      <c r="J153">
        <f t="shared" ca="1" si="11"/>
        <v>0</v>
      </c>
    </row>
    <row r="154" spans="1:10">
      <c r="A154" s="526">
        <v>151</v>
      </c>
      <c r="B154" s="527">
        <f t="shared" ca="1" si="8"/>
        <v>0</v>
      </c>
      <c r="E154" s="16" t="e">
        <f t="shared" ca="1" si="9"/>
        <v>#REF!</v>
      </c>
      <c r="F154" s="16">
        <f t="shared" ca="1" si="10"/>
        <v>0</v>
      </c>
      <c r="J154">
        <f t="shared" ca="1" si="11"/>
        <v>0</v>
      </c>
    </row>
    <row r="155" spans="1:10">
      <c r="A155" s="526">
        <v>152</v>
      </c>
      <c r="B155" s="527">
        <f t="shared" ca="1" si="8"/>
        <v>0</v>
      </c>
      <c r="E155" s="16" t="e">
        <f t="shared" ca="1" si="9"/>
        <v>#REF!</v>
      </c>
      <c r="F155" s="16">
        <f t="shared" ca="1" si="10"/>
        <v>0</v>
      </c>
      <c r="J155">
        <f t="shared" ca="1" si="11"/>
        <v>0</v>
      </c>
    </row>
    <row r="156" spans="1:10">
      <c r="A156" s="526">
        <v>153</v>
      </c>
      <c r="B156" s="527">
        <f t="shared" ca="1" si="8"/>
        <v>0</v>
      </c>
      <c r="E156" s="16" t="e">
        <f t="shared" ca="1" si="9"/>
        <v>#REF!</v>
      </c>
      <c r="F156" s="16">
        <f t="shared" ca="1" si="10"/>
        <v>0</v>
      </c>
      <c r="J156">
        <f t="shared" ca="1" si="11"/>
        <v>0</v>
      </c>
    </row>
    <row r="157" spans="1:10">
      <c r="A157" s="526">
        <v>154</v>
      </c>
      <c r="B157" s="527">
        <f t="shared" ca="1" si="8"/>
        <v>0</v>
      </c>
      <c r="E157" s="16" t="e">
        <f t="shared" ca="1" si="9"/>
        <v>#REF!</v>
      </c>
      <c r="F157" s="16">
        <f t="shared" ca="1" si="10"/>
        <v>0</v>
      </c>
      <c r="J157">
        <f t="shared" ca="1" si="11"/>
        <v>0</v>
      </c>
    </row>
    <row r="158" spans="1:10">
      <c r="A158" s="526">
        <v>155</v>
      </c>
      <c r="B158" s="527">
        <f t="shared" ca="1" si="8"/>
        <v>0</v>
      </c>
      <c r="E158" s="16" t="e">
        <f t="shared" ca="1" si="9"/>
        <v>#REF!</v>
      </c>
      <c r="F158" s="16">
        <f t="shared" ca="1" si="10"/>
        <v>0</v>
      </c>
      <c r="J158">
        <f t="shared" ca="1" si="11"/>
        <v>0</v>
      </c>
    </row>
    <row r="159" spans="1:10">
      <c r="A159" s="526">
        <v>156</v>
      </c>
      <c r="B159" s="527">
        <f t="shared" ca="1" si="8"/>
        <v>0</v>
      </c>
      <c r="E159" s="16" t="e">
        <f t="shared" ca="1" si="9"/>
        <v>#REF!</v>
      </c>
      <c r="F159" s="16">
        <f t="shared" ca="1" si="10"/>
        <v>0</v>
      </c>
      <c r="J159">
        <f t="shared" ca="1" si="11"/>
        <v>0</v>
      </c>
    </row>
    <row r="160" spans="1:10">
      <c r="A160" s="526">
        <v>157</v>
      </c>
      <c r="B160" s="527">
        <f t="shared" ca="1" si="8"/>
        <v>0</v>
      </c>
      <c r="E160" s="16" t="e">
        <f t="shared" ca="1" si="9"/>
        <v>#REF!</v>
      </c>
      <c r="F160" s="16">
        <f t="shared" ca="1" si="10"/>
        <v>0</v>
      </c>
      <c r="J160">
        <f t="shared" ca="1" si="11"/>
        <v>0</v>
      </c>
    </row>
    <row r="161" spans="1:10">
      <c r="A161" s="526">
        <v>158</v>
      </c>
      <c r="B161" s="527">
        <f t="shared" ca="1" si="8"/>
        <v>0</v>
      </c>
      <c r="E161" s="16" t="e">
        <f t="shared" ca="1" si="9"/>
        <v>#REF!</v>
      </c>
      <c r="F161" s="16">
        <f t="shared" ca="1" si="10"/>
        <v>0</v>
      </c>
      <c r="J161">
        <f t="shared" ca="1" si="11"/>
        <v>0</v>
      </c>
    </row>
    <row r="162" spans="1:10">
      <c r="A162" s="526">
        <v>159</v>
      </c>
      <c r="B162" s="527">
        <f t="shared" ca="1" si="8"/>
        <v>0</v>
      </c>
      <c r="E162" s="16" t="e">
        <f t="shared" ca="1" si="9"/>
        <v>#REF!</v>
      </c>
      <c r="F162" s="16">
        <f t="shared" ca="1" si="10"/>
        <v>0</v>
      </c>
      <c r="J162">
        <f t="shared" ca="1" si="11"/>
        <v>0</v>
      </c>
    </row>
    <row r="163" spans="1:10">
      <c r="A163" s="526">
        <v>160</v>
      </c>
      <c r="B163" s="527">
        <f t="shared" ca="1" si="8"/>
        <v>0</v>
      </c>
      <c r="E163" s="16" t="e">
        <f t="shared" ca="1" si="9"/>
        <v>#REF!</v>
      </c>
      <c r="F163" s="16">
        <f t="shared" ca="1" si="10"/>
        <v>0</v>
      </c>
      <c r="J163">
        <f t="shared" ca="1" si="11"/>
        <v>0</v>
      </c>
    </row>
    <row r="164" spans="1:10">
      <c r="A164" s="526">
        <v>161</v>
      </c>
      <c r="B164" s="527">
        <f t="shared" ca="1" si="8"/>
        <v>0</v>
      </c>
      <c r="E164" s="16" t="e">
        <f t="shared" ca="1" si="9"/>
        <v>#REF!</v>
      </c>
      <c r="F164" s="16">
        <f t="shared" ca="1" si="10"/>
        <v>0</v>
      </c>
      <c r="J164">
        <f t="shared" ca="1" si="11"/>
        <v>0</v>
      </c>
    </row>
    <row r="165" spans="1:10">
      <c r="A165" s="526">
        <v>162</v>
      </c>
      <c r="B165" s="527">
        <f t="shared" ca="1" si="8"/>
        <v>0</v>
      </c>
      <c r="E165" s="16" t="e">
        <f t="shared" ca="1" si="9"/>
        <v>#REF!</v>
      </c>
      <c r="F165" s="16">
        <f t="shared" ca="1" si="10"/>
        <v>0</v>
      </c>
      <c r="J165">
        <f t="shared" ca="1" si="11"/>
        <v>0</v>
      </c>
    </row>
    <row r="166" spans="1:10">
      <c r="A166" s="526">
        <v>163</v>
      </c>
      <c r="B166" s="527">
        <f t="shared" ca="1" si="8"/>
        <v>0</v>
      </c>
      <c r="E166" s="16" t="e">
        <f t="shared" ca="1" si="9"/>
        <v>#REF!</v>
      </c>
      <c r="F166" s="16">
        <f t="shared" ca="1" si="10"/>
        <v>0</v>
      </c>
      <c r="J166">
        <f t="shared" ca="1" si="11"/>
        <v>0</v>
      </c>
    </row>
    <row r="167" spans="1:10">
      <c r="A167" s="526">
        <v>164</v>
      </c>
      <c r="B167" s="527">
        <f t="shared" ca="1" si="8"/>
        <v>0</v>
      </c>
      <c r="E167" s="16" t="e">
        <f t="shared" ca="1" si="9"/>
        <v>#REF!</v>
      </c>
      <c r="F167" s="16">
        <f t="shared" ca="1" si="10"/>
        <v>0</v>
      </c>
      <c r="J167">
        <f t="shared" ca="1" si="11"/>
        <v>0</v>
      </c>
    </row>
    <row r="168" spans="1:10">
      <c r="A168" s="526">
        <v>165</v>
      </c>
      <c r="B168" s="527">
        <f t="shared" ca="1" si="8"/>
        <v>0</v>
      </c>
      <c r="E168" s="16" t="e">
        <f t="shared" ca="1" si="9"/>
        <v>#REF!</v>
      </c>
      <c r="F168" s="16">
        <f t="shared" ca="1" si="10"/>
        <v>0</v>
      </c>
      <c r="J168">
        <f t="shared" ca="1" si="11"/>
        <v>0</v>
      </c>
    </row>
    <row r="169" spans="1:10">
      <c r="A169" s="526">
        <v>166</v>
      </c>
      <c r="B169" s="527">
        <f t="shared" ca="1" si="8"/>
        <v>0</v>
      </c>
      <c r="E169" s="16" t="e">
        <f t="shared" ca="1" si="9"/>
        <v>#REF!</v>
      </c>
      <c r="F169" s="16">
        <f t="shared" ca="1" si="10"/>
        <v>0</v>
      </c>
      <c r="J169">
        <f t="shared" ca="1" si="11"/>
        <v>0</v>
      </c>
    </row>
    <row r="170" spans="1:10">
      <c r="A170" s="526">
        <v>167</v>
      </c>
      <c r="B170" s="527">
        <f t="shared" ca="1" si="8"/>
        <v>0</v>
      </c>
      <c r="E170" s="16" t="e">
        <f t="shared" ca="1" si="9"/>
        <v>#REF!</v>
      </c>
      <c r="F170" s="16">
        <f t="shared" ca="1" si="10"/>
        <v>0</v>
      </c>
      <c r="J170">
        <f t="shared" ca="1" si="11"/>
        <v>0</v>
      </c>
    </row>
    <row r="171" spans="1:10">
      <c r="A171" s="526">
        <v>168</v>
      </c>
      <c r="B171" s="527">
        <f t="shared" ca="1" si="8"/>
        <v>0</v>
      </c>
      <c r="E171" s="16" t="e">
        <f t="shared" ca="1" si="9"/>
        <v>#REF!</v>
      </c>
      <c r="F171" s="16">
        <f t="shared" ca="1" si="10"/>
        <v>0</v>
      </c>
      <c r="J171">
        <f t="shared" ca="1" si="11"/>
        <v>0</v>
      </c>
    </row>
    <row r="172" spans="1:10">
      <c r="A172" s="526">
        <v>169</v>
      </c>
      <c r="B172" s="527">
        <f t="shared" ca="1" si="8"/>
        <v>0</v>
      </c>
      <c r="E172" s="16" t="e">
        <f t="shared" ca="1" si="9"/>
        <v>#REF!</v>
      </c>
      <c r="F172" s="16">
        <f t="shared" ca="1" si="10"/>
        <v>0</v>
      </c>
      <c r="J172">
        <f t="shared" ca="1" si="11"/>
        <v>0</v>
      </c>
    </row>
    <row r="173" spans="1:10">
      <c r="A173" s="526">
        <v>170</v>
      </c>
      <c r="B173" s="527">
        <f t="shared" ca="1" si="8"/>
        <v>0</v>
      </c>
      <c r="E173" s="16" t="e">
        <f t="shared" ca="1" si="9"/>
        <v>#REF!</v>
      </c>
      <c r="F173" s="16">
        <f t="shared" ca="1" si="10"/>
        <v>0</v>
      </c>
      <c r="J173">
        <f t="shared" ca="1" si="11"/>
        <v>0</v>
      </c>
    </row>
    <row r="174" spans="1:10">
      <c r="A174" s="526">
        <v>171</v>
      </c>
      <c r="B174" s="527">
        <f t="shared" ca="1" si="8"/>
        <v>0</v>
      </c>
      <c r="E174" s="16" t="e">
        <f t="shared" ca="1" si="9"/>
        <v>#REF!</v>
      </c>
      <c r="F174" s="16">
        <f t="shared" ca="1" si="10"/>
        <v>0</v>
      </c>
      <c r="J174">
        <f t="shared" ca="1" si="11"/>
        <v>0</v>
      </c>
    </row>
    <row r="175" spans="1:10">
      <c r="A175" s="526">
        <v>172</v>
      </c>
      <c r="B175" s="527">
        <f t="shared" ca="1" si="8"/>
        <v>0</v>
      </c>
      <c r="E175" s="16" t="e">
        <f t="shared" ca="1" si="9"/>
        <v>#REF!</v>
      </c>
      <c r="F175" s="16">
        <f t="shared" ca="1" si="10"/>
        <v>0</v>
      </c>
      <c r="J175">
        <f t="shared" ca="1" si="11"/>
        <v>0</v>
      </c>
    </row>
    <row r="176" spans="1:10">
      <c r="A176" s="526">
        <v>173</v>
      </c>
      <c r="B176" s="527">
        <f t="shared" ca="1" si="8"/>
        <v>0</v>
      </c>
      <c r="E176" s="16" t="e">
        <f t="shared" ca="1" si="9"/>
        <v>#REF!</v>
      </c>
      <c r="F176" s="16">
        <f t="shared" ca="1" si="10"/>
        <v>0</v>
      </c>
      <c r="J176">
        <f t="shared" ca="1" si="11"/>
        <v>0</v>
      </c>
    </row>
    <row r="177" spans="1:10">
      <c r="A177" s="526">
        <v>174</v>
      </c>
      <c r="B177" s="527">
        <f t="shared" ca="1" si="8"/>
        <v>0</v>
      </c>
      <c r="E177" s="16" t="e">
        <f t="shared" ca="1" si="9"/>
        <v>#REF!</v>
      </c>
      <c r="F177" s="16">
        <f t="shared" ca="1" si="10"/>
        <v>0</v>
      </c>
      <c r="J177">
        <f t="shared" ca="1" si="11"/>
        <v>0</v>
      </c>
    </row>
    <row r="178" spans="1:10">
      <c r="A178" s="526">
        <v>175</v>
      </c>
      <c r="B178" s="527">
        <f t="shared" ca="1" si="8"/>
        <v>0</v>
      </c>
      <c r="E178" s="16" t="e">
        <f t="shared" ca="1" si="9"/>
        <v>#REF!</v>
      </c>
      <c r="F178" s="16">
        <f t="shared" ca="1" si="10"/>
        <v>0</v>
      </c>
      <c r="J178">
        <f t="shared" ca="1" si="11"/>
        <v>0</v>
      </c>
    </row>
    <row r="179" spans="1:10">
      <c r="A179" s="526">
        <v>176</v>
      </c>
      <c r="B179" s="527">
        <f t="shared" ca="1" si="8"/>
        <v>0</v>
      </c>
      <c r="E179" s="16" t="e">
        <f t="shared" ca="1" si="9"/>
        <v>#REF!</v>
      </c>
      <c r="F179" s="16">
        <f t="shared" ca="1" si="10"/>
        <v>0</v>
      </c>
      <c r="J179">
        <f t="shared" ca="1" si="11"/>
        <v>0</v>
      </c>
    </row>
    <row r="180" spans="1:10">
      <c r="A180" s="526">
        <v>177</v>
      </c>
      <c r="B180" s="527">
        <f t="shared" ca="1" si="8"/>
        <v>0</v>
      </c>
      <c r="E180" s="16" t="e">
        <f t="shared" ca="1" si="9"/>
        <v>#REF!</v>
      </c>
      <c r="F180" s="16">
        <f t="shared" ca="1" si="10"/>
        <v>0</v>
      </c>
      <c r="J180">
        <f t="shared" ca="1" si="11"/>
        <v>0</v>
      </c>
    </row>
    <row r="181" spans="1:10">
      <c r="A181" s="526">
        <v>178</v>
      </c>
      <c r="B181" s="527">
        <f t="shared" ca="1" si="8"/>
        <v>0</v>
      </c>
      <c r="E181" s="16" t="e">
        <f t="shared" ca="1" si="9"/>
        <v>#REF!</v>
      </c>
      <c r="F181" s="16">
        <f t="shared" ca="1" si="10"/>
        <v>0</v>
      </c>
      <c r="J181">
        <f t="shared" ca="1" si="11"/>
        <v>0</v>
      </c>
    </row>
    <row r="182" spans="1:10">
      <c r="A182" s="526">
        <v>179</v>
      </c>
      <c r="B182" s="527">
        <f t="shared" ca="1" si="8"/>
        <v>0</v>
      </c>
      <c r="E182" s="16" t="e">
        <f t="shared" ca="1" si="9"/>
        <v>#REF!</v>
      </c>
      <c r="F182" s="16">
        <f t="shared" ca="1" si="10"/>
        <v>0</v>
      </c>
      <c r="J182">
        <f t="shared" ca="1" si="11"/>
        <v>0</v>
      </c>
    </row>
    <row r="183" spans="1:10">
      <c r="A183" s="526">
        <v>180</v>
      </c>
      <c r="B183" s="527">
        <f t="shared" ca="1" si="8"/>
        <v>0</v>
      </c>
      <c r="E183" s="16" t="e">
        <f t="shared" ca="1" si="9"/>
        <v>#REF!</v>
      </c>
      <c r="F183" s="16">
        <f t="shared" ca="1" si="10"/>
        <v>0</v>
      </c>
      <c r="J183">
        <f t="shared" ca="1" si="11"/>
        <v>0</v>
      </c>
    </row>
    <row r="184" spans="1:10">
      <c r="A184" s="526">
        <v>181</v>
      </c>
      <c r="B184" s="527">
        <f t="shared" ca="1" si="8"/>
        <v>0</v>
      </c>
      <c r="E184" s="16" t="e">
        <f t="shared" ca="1" si="9"/>
        <v>#REF!</v>
      </c>
      <c r="F184" s="16">
        <f t="shared" ca="1" si="10"/>
        <v>0</v>
      </c>
      <c r="J184">
        <f t="shared" ca="1" si="11"/>
        <v>0</v>
      </c>
    </row>
    <row r="185" spans="1:10">
      <c r="A185" s="526">
        <v>182</v>
      </c>
      <c r="B185" s="527">
        <f t="shared" ca="1" si="8"/>
        <v>0</v>
      </c>
      <c r="E185" s="16" t="e">
        <f t="shared" ca="1" si="9"/>
        <v>#REF!</v>
      </c>
      <c r="F185" s="16">
        <f t="shared" ca="1" si="10"/>
        <v>0</v>
      </c>
      <c r="J185">
        <f t="shared" ca="1" si="11"/>
        <v>0</v>
      </c>
    </row>
    <row r="186" spans="1:10">
      <c r="A186" s="526">
        <v>183</v>
      </c>
      <c r="B186" s="527">
        <f t="shared" ca="1" si="8"/>
        <v>0</v>
      </c>
      <c r="E186" s="16" t="e">
        <f t="shared" ca="1" si="9"/>
        <v>#REF!</v>
      </c>
      <c r="F186" s="16">
        <f t="shared" ca="1" si="10"/>
        <v>0</v>
      </c>
      <c r="J186">
        <f t="shared" ca="1" si="11"/>
        <v>0</v>
      </c>
    </row>
    <row r="187" spans="1:10">
      <c r="A187" s="526">
        <v>184</v>
      </c>
      <c r="B187" s="527">
        <f t="shared" ca="1" si="8"/>
        <v>0</v>
      </c>
      <c r="E187" s="16" t="e">
        <f t="shared" ca="1" si="9"/>
        <v>#REF!</v>
      </c>
      <c r="F187" s="16">
        <f t="shared" ca="1" si="10"/>
        <v>0</v>
      </c>
      <c r="J187">
        <f t="shared" ca="1" si="11"/>
        <v>0</v>
      </c>
    </row>
    <row r="188" spans="1:10">
      <c r="A188" s="526">
        <v>185</v>
      </c>
      <c r="B188" s="527">
        <f t="shared" ca="1" si="8"/>
        <v>0</v>
      </c>
      <c r="E188" s="16" t="e">
        <f t="shared" ca="1" si="9"/>
        <v>#REF!</v>
      </c>
      <c r="F188" s="16">
        <f t="shared" ca="1" si="10"/>
        <v>0</v>
      </c>
      <c r="J188">
        <f t="shared" ca="1" si="11"/>
        <v>0</v>
      </c>
    </row>
    <row r="189" spans="1:10">
      <c r="A189" s="526">
        <v>186</v>
      </c>
      <c r="B189" s="527">
        <f t="shared" ca="1" si="8"/>
        <v>0</v>
      </c>
      <c r="E189" s="16" t="e">
        <f t="shared" ca="1" si="9"/>
        <v>#REF!</v>
      </c>
      <c r="F189" s="16">
        <f t="shared" ca="1" si="10"/>
        <v>0</v>
      </c>
      <c r="J189">
        <f t="shared" ca="1" si="11"/>
        <v>0</v>
      </c>
    </row>
    <row r="190" spans="1:10">
      <c r="A190" s="526">
        <v>187</v>
      </c>
      <c r="B190" s="527">
        <f t="shared" ca="1" si="8"/>
        <v>0</v>
      </c>
      <c r="E190" s="16" t="e">
        <f t="shared" ca="1" si="9"/>
        <v>#REF!</v>
      </c>
      <c r="F190" s="16">
        <f t="shared" ca="1" si="10"/>
        <v>0</v>
      </c>
      <c r="J190">
        <f t="shared" ca="1" si="11"/>
        <v>0</v>
      </c>
    </row>
    <row r="191" spans="1:10">
      <c r="A191" s="526">
        <v>188</v>
      </c>
      <c r="B191" s="527">
        <f t="shared" ca="1" si="8"/>
        <v>0</v>
      </c>
      <c r="E191" s="16" t="e">
        <f t="shared" ca="1" si="9"/>
        <v>#REF!</v>
      </c>
      <c r="F191" s="16">
        <f t="shared" ca="1" si="10"/>
        <v>0</v>
      </c>
      <c r="J191">
        <f t="shared" ca="1" si="11"/>
        <v>0</v>
      </c>
    </row>
    <row r="192" spans="1:10">
      <c r="A192" s="526">
        <v>189</v>
      </c>
      <c r="B192" s="527">
        <f t="shared" ca="1" si="8"/>
        <v>0</v>
      </c>
      <c r="E192" s="16" t="e">
        <f t="shared" ca="1" si="9"/>
        <v>#REF!</v>
      </c>
      <c r="F192" s="16">
        <f t="shared" ca="1" si="10"/>
        <v>0</v>
      </c>
      <c r="J192">
        <f t="shared" ca="1" si="11"/>
        <v>0</v>
      </c>
    </row>
    <row r="193" spans="1:10">
      <c r="A193" s="526">
        <v>190</v>
      </c>
      <c r="B193" s="527">
        <f t="shared" ca="1" si="8"/>
        <v>0</v>
      </c>
      <c r="E193" s="16" t="e">
        <f t="shared" ca="1" si="9"/>
        <v>#REF!</v>
      </c>
      <c r="F193" s="16">
        <f t="shared" ca="1" si="10"/>
        <v>0</v>
      </c>
      <c r="J193">
        <f t="shared" ca="1" si="11"/>
        <v>0</v>
      </c>
    </row>
    <row r="194" spans="1:10">
      <c r="A194" s="526">
        <v>191</v>
      </c>
      <c r="B194" s="527">
        <f t="shared" ca="1" si="8"/>
        <v>0</v>
      </c>
      <c r="E194" s="16" t="e">
        <f t="shared" ca="1" si="9"/>
        <v>#REF!</v>
      </c>
      <c r="F194" s="16">
        <f t="shared" ca="1" si="10"/>
        <v>0</v>
      </c>
      <c r="J194">
        <f t="shared" ca="1" si="11"/>
        <v>0</v>
      </c>
    </row>
    <row r="195" spans="1:10">
      <c r="A195" s="526">
        <v>192</v>
      </c>
      <c r="B195" s="527">
        <f t="shared" ca="1" si="8"/>
        <v>0</v>
      </c>
      <c r="E195" s="16" t="e">
        <f t="shared" ca="1" si="9"/>
        <v>#REF!</v>
      </c>
      <c r="F195" s="16">
        <f t="shared" ca="1" si="10"/>
        <v>0</v>
      </c>
      <c r="J195">
        <f t="shared" ca="1" si="11"/>
        <v>0</v>
      </c>
    </row>
    <row r="196" spans="1:10">
      <c r="A196" s="526">
        <v>193</v>
      </c>
      <c r="B196" s="527">
        <f t="shared" ref="B196:B259" ca="1" si="12">J196*($H$3-C196+D196)</f>
        <v>0</v>
      </c>
      <c r="E196" s="16" t="e">
        <f t="shared" ref="E196:E259" ca="1" si="13">J196*(B196*$L$1+F196)-(J196-1)*$L$3</f>
        <v>#REF!</v>
      </c>
      <c r="F196" s="16">
        <f t="shared" ref="F196:F259" ca="1" si="14">IF(A196&lt;$I$3,$L$2,0)</f>
        <v>0</v>
      </c>
      <c r="J196">
        <f t="shared" ref="J196:J259" ca="1" si="15">IF($I$3&lt;=A196,0,1)</f>
        <v>0</v>
      </c>
    </row>
    <row r="197" spans="1:10">
      <c r="A197" s="526">
        <v>194</v>
      </c>
      <c r="B197" s="527">
        <f t="shared" ca="1" si="12"/>
        <v>0</v>
      </c>
      <c r="E197" s="16" t="e">
        <f t="shared" ca="1" si="13"/>
        <v>#REF!</v>
      </c>
      <c r="F197" s="16">
        <f t="shared" ca="1" si="14"/>
        <v>0</v>
      </c>
      <c r="J197">
        <f t="shared" ca="1" si="15"/>
        <v>0</v>
      </c>
    </row>
    <row r="198" spans="1:10">
      <c r="A198" s="526">
        <v>195</v>
      </c>
      <c r="B198" s="527">
        <f t="shared" ca="1" si="12"/>
        <v>0</v>
      </c>
      <c r="E198" s="16" t="e">
        <f t="shared" ca="1" si="13"/>
        <v>#REF!</v>
      </c>
      <c r="F198" s="16">
        <f t="shared" ca="1" si="14"/>
        <v>0</v>
      </c>
      <c r="J198">
        <f t="shared" ca="1" si="15"/>
        <v>0</v>
      </c>
    </row>
    <row r="199" spans="1:10">
      <c r="A199" s="526">
        <v>196</v>
      </c>
      <c r="B199" s="527">
        <f t="shared" ca="1" si="12"/>
        <v>0</v>
      </c>
      <c r="E199" s="16" t="e">
        <f t="shared" ca="1" si="13"/>
        <v>#REF!</v>
      </c>
      <c r="F199" s="16">
        <f t="shared" ca="1" si="14"/>
        <v>0</v>
      </c>
      <c r="J199">
        <f t="shared" ca="1" si="15"/>
        <v>0</v>
      </c>
    </row>
    <row r="200" spans="1:10">
      <c r="A200" s="526">
        <v>197</v>
      </c>
      <c r="B200" s="527">
        <f t="shared" ca="1" si="12"/>
        <v>0</v>
      </c>
      <c r="E200" s="16" t="e">
        <f t="shared" ca="1" si="13"/>
        <v>#REF!</v>
      </c>
      <c r="F200" s="16">
        <f t="shared" ca="1" si="14"/>
        <v>0</v>
      </c>
      <c r="J200">
        <f t="shared" ca="1" si="15"/>
        <v>0</v>
      </c>
    </row>
    <row r="201" spans="1:10">
      <c r="A201" s="526">
        <v>198</v>
      </c>
      <c r="B201" s="527">
        <f t="shared" ca="1" si="12"/>
        <v>0</v>
      </c>
      <c r="E201" s="16" t="e">
        <f t="shared" ca="1" si="13"/>
        <v>#REF!</v>
      </c>
      <c r="F201" s="16">
        <f t="shared" ca="1" si="14"/>
        <v>0</v>
      </c>
      <c r="J201">
        <f t="shared" ca="1" si="15"/>
        <v>0</v>
      </c>
    </row>
    <row r="202" spans="1:10">
      <c r="A202" s="526">
        <v>199</v>
      </c>
      <c r="B202" s="527">
        <f t="shared" ca="1" si="12"/>
        <v>0</v>
      </c>
      <c r="E202" s="16" t="e">
        <f t="shared" ca="1" si="13"/>
        <v>#REF!</v>
      </c>
      <c r="F202" s="16">
        <f t="shared" ca="1" si="14"/>
        <v>0</v>
      </c>
      <c r="J202">
        <f t="shared" ca="1" si="15"/>
        <v>0</v>
      </c>
    </row>
    <row r="203" spans="1:10">
      <c r="A203" s="526">
        <v>200</v>
      </c>
      <c r="B203" s="527">
        <f t="shared" ca="1" si="12"/>
        <v>0</v>
      </c>
      <c r="E203" s="16" t="e">
        <f t="shared" ca="1" si="13"/>
        <v>#REF!</v>
      </c>
      <c r="F203" s="16">
        <f t="shared" ca="1" si="14"/>
        <v>0</v>
      </c>
      <c r="J203">
        <f t="shared" ca="1" si="15"/>
        <v>0</v>
      </c>
    </row>
    <row r="204" spans="1:10">
      <c r="A204" s="526">
        <v>201</v>
      </c>
      <c r="B204" s="527">
        <f t="shared" ca="1" si="12"/>
        <v>0</v>
      </c>
      <c r="E204" s="16" t="e">
        <f t="shared" ca="1" si="13"/>
        <v>#REF!</v>
      </c>
      <c r="F204" s="16">
        <f t="shared" ca="1" si="14"/>
        <v>0</v>
      </c>
      <c r="J204">
        <f t="shared" ca="1" si="15"/>
        <v>0</v>
      </c>
    </row>
    <row r="205" spans="1:10">
      <c r="A205" s="526">
        <v>202</v>
      </c>
      <c r="B205" s="527">
        <f t="shared" ca="1" si="12"/>
        <v>0</v>
      </c>
      <c r="E205" s="16" t="e">
        <f t="shared" ca="1" si="13"/>
        <v>#REF!</v>
      </c>
      <c r="F205" s="16">
        <f t="shared" ca="1" si="14"/>
        <v>0</v>
      </c>
      <c r="J205">
        <f t="shared" ca="1" si="15"/>
        <v>0</v>
      </c>
    </row>
    <row r="206" spans="1:10">
      <c r="A206" s="526">
        <v>203</v>
      </c>
      <c r="B206" s="527">
        <f t="shared" ca="1" si="12"/>
        <v>0</v>
      </c>
      <c r="E206" s="16" t="e">
        <f t="shared" ca="1" si="13"/>
        <v>#REF!</v>
      </c>
      <c r="F206" s="16">
        <f t="shared" ca="1" si="14"/>
        <v>0</v>
      </c>
      <c r="J206">
        <f t="shared" ca="1" si="15"/>
        <v>0</v>
      </c>
    </row>
    <row r="207" spans="1:10">
      <c r="A207" s="526">
        <v>204</v>
      </c>
      <c r="B207" s="527">
        <f t="shared" ca="1" si="12"/>
        <v>0</v>
      </c>
      <c r="E207" s="16" t="e">
        <f t="shared" ca="1" si="13"/>
        <v>#REF!</v>
      </c>
      <c r="F207" s="16">
        <f t="shared" ca="1" si="14"/>
        <v>0</v>
      </c>
      <c r="J207">
        <f t="shared" ca="1" si="15"/>
        <v>0</v>
      </c>
    </row>
    <row r="208" spans="1:10">
      <c r="A208" s="526">
        <v>205</v>
      </c>
      <c r="B208" s="527">
        <f t="shared" ca="1" si="12"/>
        <v>0</v>
      </c>
      <c r="E208" s="16" t="e">
        <f t="shared" ca="1" si="13"/>
        <v>#REF!</v>
      </c>
      <c r="F208" s="16">
        <f t="shared" ca="1" si="14"/>
        <v>0</v>
      </c>
      <c r="J208">
        <f t="shared" ca="1" si="15"/>
        <v>0</v>
      </c>
    </row>
    <row r="209" spans="1:10">
      <c r="A209" s="526">
        <v>206</v>
      </c>
      <c r="B209" s="527">
        <f t="shared" ca="1" si="12"/>
        <v>0</v>
      </c>
      <c r="E209" s="16" t="e">
        <f t="shared" ca="1" si="13"/>
        <v>#REF!</v>
      </c>
      <c r="F209" s="16">
        <f t="shared" ca="1" si="14"/>
        <v>0</v>
      </c>
      <c r="J209">
        <f t="shared" ca="1" si="15"/>
        <v>0</v>
      </c>
    </row>
    <row r="210" spans="1:10">
      <c r="A210" s="526">
        <v>207</v>
      </c>
      <c r="B210" s="527">
        <f t="shared" ca="1" si="12"/>
        <v>0</v>
      </c>
      <c r="E210" s="16" t="e">
        <f t="shared" ca="1" si="13"/>
        <v>#REF!</v>
      </c>
      <c r="F210" s="16">
        <f t="shared" ca="1" si="14"/>
        <v>0</v>
      </c>
      <c r="J210">
        <f t="shared" ca="1" si="15"/>
        <v>0</v>
      </c>
    </row>
    <row r="211" spans="1:10">
      <c r="A211" s="526">
        <v>208</v>
      </c>
      <c r="B211" s="527">
        <f t="shared" ca="1" si="12"/>
        <v>0</v>
      </c>
      <c r="E211" s="16" t="e">
        <f t="shared" ca="1" si="13"/>
        <v>#REF!</v>
      </c>
      <c r="F211" s="16">
        <f t="shared" ca="1" si="14"/>
        <v>0</v>
      </c>
      <c r="J211">
        <f t="shared" ca="1" si="15"/>
        <v>0</v>
      </c>
    </row>
    <row r="212" spans="1:10">
      <c r="A212" s="526">
        <v>209</v>
      </c>
      <c r="B212" s="527">
        <f t="shared" ca="1" si="12"/>
        <v>0</v>
      </c>
      <c r="E212" s="16" t="e">
        <f t="shared" ca="1" si="13"/>
        <v>#REF!</v>
      </c>
      <c r="F212" s="16">
        <f t="shared" ca="1" si="14"/>
        <v>0</v>
      </c>
      <c r="J212">
        <f t="shared" ca="1" si="15"/>
        <v>0</v>
      </c>
    </row>
    <row r="213" spans="1:10">
      <c r="A213" s="526">
        <v>210</v>
      </c>
      <c r="B213" s="527">
        <f t="shared" ca="1" si="12"/>
        <v>0</v>
      </c>
      <c r="E213" s="16" t="e">
        <f t="shared" ca="1" si="13"/>
        <v>#REF!</v>
      </c>
      <c r="F213" s="16">
        <f t="shared" ca="1" si="14"/>
        <v>0</v>
      </c>
      <c r="J213">
        <f t="shared" ca="1" si="15"/>
        <v>0</v>
      </c>
    </row>
    <row r="214" spans="1:10">
      <c r="A214" s="526">
        <v>211</v>
      </c>
      <c r="B214" s="527">
        <f t="shared" ca="1" si="12"/>
        <v>0</v>
      </c>
      <c r="E214" s="16" t="e">
        <f t="shared" ca="1" si="13"/>
        <v>#REF!</v>
      </c>
      <c r="F214" s="16">
        <f t="shared" ca="1" si="14"/>
        <v>0</v>
      </c>
      <c r="J214">
        <f t="shared" ca="1" si="15"/>
        <v>0</v>
      </c>
    </row>
    <row r="215" spans="1:10">
      <c r="A215" s="526">
        <v>212</v>
      </c>
      <c r="B215" s="527">
        <f t="shared" ca="1" si="12"/>
        <v>0</v>
      </c>
      <c r="E215" s="16" t="e">
        <f t="shared" ca="1" si="13"/>
        <v>#REF!</v>
      </c>
      <c r="F215" s="16">
        <f t="shared" ca="1" si="14"/>
        <v>0</v>
      </c>
      <c r="J215">
        <f t="shared" ca="1" si="15"/>
        <v>0</v>
      </c>
    </row>
    <row r="216" spans="1:10">
      <c r="A216" s="526">
        <v>213</v>
      </c>
      <c r="B216" s="527">
        <f t="shared" ca="1" si="12"/>
        <v>0</v>
      </c>
      <c r="E216" s="16" t="e">
        <f t="shared" ca="1" si="13"/>
        <v>#REF!</v>
      </c>
      <c r="F216" s="16">
        <f t="shared" ca="1" si="14"/>
        <v>0</v>
      </c>
      <c r="J216">
        <f t="shared" ca="1" si="15"/>
        <v>0</v>
      </c>
    </row>
    <row r="217" spans="1:10">
      <c r="A217" s="526">
        <v>214</v>
      </c>
      <c r="B217" s="527">
        <f t="shared" ca="1" si="12"/>
        <v>0</v>
      </c>
      <c r="E217" s="16" t="e">
        <f t="shared" ca="1" si="13"/>
        <v>#REF!</v>
      </c>
      <c r="F217" s="16">
        <f t="shared" ca="1" si="14"/>
        <v>0</v>
      </c>
      <c r="J217">
        <f t="shared" ca="1" si="15"/>
        <v>0</v>
      </c>
    </row>
    <row r="218" spans="1:10">
      <c r="A218" s="526">
        <v>215</v>
      </c>
      <c r="B218" s="527">
        <f t="shared" ca="1" si="12"/>
        <v>0</v>
      </c>
      <c r="E218" s="16" t="e">
        <f t="shared" ca="1" si="13"/>
        <v>#REF!</v>
      </c>
      <c r="F218" s="16">
        <f t="shared" ca="1" si="14"/>
        <v>0</v>
      </c>
      <c r="J218">
        <f t="shared" ca="1" si="15"/>
        <v>0</v>
      </c>
    </row>
    <row r="219" spans="1:10">
      <c r="A219" s="526">
        <v>216</v>
      </c>
      <c r="B219" s="527">
        <f t="shared" ca="1" si="12"/>
        <v>0</v>
      </c>
      <c r="E219" s="16" t="e">
        <f t="shared" ca="1" si="13"/>
        <v>#REF!</v>
      </c>
      <c r="F219" s="16">
        <f t="shared" ca="1" si="14"/>
        <v>0</v>
      </c>
      <c r="J219">
        <f t="shared" ca="1" si="15"/>
        <v>0</v>
      </c>
    </row>
    <row r="220" spans="1:10">
      <c r="A220" s="526">
        <v>217</v>
      </c>
      <c r="B220" s="527">
        <f t="shared" ca="1" si="12"/>
        <v>0</v>
      </c>
      <c r="E220" s="16" t="e">
        <f t="shared" ca="1" si="13"/>
        <v>#REF!</v>
      </c>
      <c r="F220" s="16">
        <f t="shared" ca="1" si="14"/>
        <v>0</v>
      </c>
      <c r="J220">
        <f t="shared" ca="1" si="15"/>
        <v>0</v>
      </c>
    </row>
    <row r="221" spans="1:10">
      <c r="A221" s="526">
        <v>218</v>
      </c>
      <c r="B221" s="527">
        <f t="shared" ca="1" si="12"/>
        <v>0</v>
      </c>
      <c r="E221" s="16" t="e">
        <f t="shared" ca="1" si="13"/>
        <v>#REF!</v>
      </c>
      <c r="F221" s="16">
        <f t="shared" ca="1" si="14"/>
        <v>0</v>
      </c>
      <c r="J221">
        <f t="shared" ca="1" si="15"/>
        <v>0</v>
      </c>
    </row>
    <row r="222" spans="1:10">
      <c r="A222" s="526">
        <v>219</v>
      </c>
      <c r="B222" s="527">
        <f t="shared" ca="1" si="12"/>
        <v>0</v>
      </c>
      <c r="E222" s="16" t="e">
        <f t="shared" ca="1" si="13"/>
        <v>#REF!</v>
      </c>
      <c r="F222" s="16">
        <f t="shared" ca="1" si="14"/>
        <v>0</v>
      </c>
      <c r="J222">
        <f t="shared" ca="1" si="15"/>
        <v>0</v>
      </c>
    </row>
    <row r="223" spans="1:10">
      <c r="A223" s="526">
        <v>220</v>
      </c>
      <c r="B223" s="527">
        <f t="shared" ca="1" si="12"/>
        <v>0</v>
      </c>
      <c r="E223" s="16" t="e">
        <f t="shared" ca="1" si="13"/>
        <v>#REF!</v>
      </c>
      <c r="F223" s="16">
        <f t="shared" ca="1" si="14"/>
        <v>0</v>
      </c>
      <c r="J223">
        <f t="shared" ca="1" si="15"/>
        <v>0</v>
      </c>
    </row>
    <row r="224" spans="1:10">
      <c r="A224" s="526">
        <v>221</v>
      </c>
      <c r="B224" s="527">
        <f t="shared" ca="1" si="12"/>
        <v>0</v>
      </c>
      <c r="E224" s="16" t="e">
        <f t="shared" ca="1" si="13"/>
        <v>#REF!</v>
      </c>
      <c r="F224" s="16">
        <f t="shared" ca="1" si="14"/>
        <v>0</v>
      </c>
      <c r="J224">
        <f t="shared" ca="1" si="15"/>
        <v>0</v>
      </c>
    </row>
    <row r="225" spans="1:10">
      <c r="A225" s="526">
        <v>222</v>
      </c>
      <c r="B225" s="527">
        <f t="shared" ca="1" si="12"/>
        <v>0</v>
      </c>
      <c r="E225" s="16" t="e">
        <f t="shared" ca="1" si="13"/>
        <v>#REF!</v>
      </c>
      <c r="F225" s="16">
        <f t="shared" ca="1" si="14"/>
        <v>0</v>
      </c>
      <c r="J225">
        <f t="shared" ca="1" si="15"/>
        <v>0</v>
      </c>
    </row>
    <row r="226" spans="1:10">
      <c r="A226" s="526">
        <v>223</v>
      </c>
      <c r="B226" s="527">
        <f t="shared" ca="1" si="12"/>
        <v>0</v>
      </c>
      <c r="E226" s="16" t="e">
        <f t="shared" ca="1" si="13"/>
        <v>#REF!</v>
      </c>
      <c r="F226" s="16">
        <f t="shared" ca="1" si="14"/>
        <v>0</v>
      </c>
      <c r="J226">
        <f t="shared" ca="1" si="15"/>
        <v>0</v>
      </c>
    </row>
    <row r="227" spans="1:10">
      <c r="A227" s="526">
        <v>224</v>
      </c>
      <c r="B227" s="527">
        <f t="shared" ca="1" si="12"/>
        <v>0</v>
      </c>
      <c r="E227" s="16" t="e">
        <f t="shared" ca="1" si="13"/>
        <v>#REF!</v>
      </c>
      <c r="F227" s="16">
        <f t="shared" ca="1" si="14"/>
        <v>0</v>
      </c>
      <c r="J227">
        <f t="shared" ca="1" si="15"/>
        <v>0</v>
      </c>
    </row>
    <row r="228" spans="1:10">
      <c r="A228" s="526">
        <v>225</v>
      </c>
      <c r="B228" s="527">
        <f t="shared" ca="1" si="12"/>
        <v>0</v>
      </c>
      <c r="E228" s="16" t="e">
        <f t="shared" ca="1" si="13"/>
        <v>#REF!</v>
      </c>
      <c r="F228" s="16">
        <f t="shared" ca="1" si="14"/>
        <v>0</v>
      </c>
      <c r="J228">
        <f t="shared" ca="1" si="15"/>
        <v>0</v>
      </c>
    </row>
    <row r="229" spans="1:10">
      <c r="A229" s="526">
        <v>226</v>
      </c>
      <c r="B229" s="527">
        <f t="shared" ca="1" si="12"/>
        <v>0</v>
      </c>
      <c r="E229" s="16" t="e">
        <f t="shared" ca="1" si="13"/>
        <v>#REF!</v>
      </c>
      <c r="F229" s="16">
        <f t="shared" ca="1" si="14"/>
        <v>0</v>
      </c>
      <c r="J229">
        <f t="shared" ca="1" si="15"/>
        <v>0</v>
      </c>
    </row>
    <row r="230" spans="1:10">
      <c r="A230" s="526">
        <v>227</v>
      </c>
      <c r="B230" s="527">
        <f t="shared" ca="1" si="12"/>
        <v>0</v>
      </c>
      <c r="E230" s="16" t="e">
        <f t="shared" ca="1" si="13"/>
        <v>#REF!</v>
      </c>
      <c r="F230" s="16">
        <f t="shared" ca="1" si="14"/>
        <v>0</v>
      </c>
      <c r="J230">
        <f t="shared" ca="1" si="15"/>
        <v>0</v>
      </c>
    </row>
    <row r="231" spans="1:10">
      <c r="A231" s="526">
        <v>228</v>
      </c>
      <c r="B231" s="527">
        <f t="shared" ca="1" si="12"/>
        <v>0</v>
      </c>
      <c r="E231" s="16" t="e">
        <f t="shared" ca="1" si="13"/>
        <v>#REF!</v>
      </c>
      <c r="F231" s="16">
        <f t="shared" ca="1" si="14"/>
        <v>0</v>
      </c>
      <c r="J231">
        <f t="shared" ca="1" si="15"/>
        <v>0</v>
      </c>
    </row>
    <row r="232" spans="1:10">
      <c r="A232" s="526">
        <v>229</v>
      </c>
      <c r="B232" s="527">
        <f t="shared" ca="1" si="12"/>
        <v>0</v>
      </c>
      <c r="E232" s="16" t="e">
        <f t="shared" ca="1" si="13"/>
        <v>#REF!</v>
      </c>
      <c r="F232" s="16">
        <f t="shared" ca="1" si="14"/>
        <v>0</v>
      </c>
      <c r="J232">
        <f t="shared" ca="1" si="15"/>
        <v>0</v>
      </c>
    </row>
    <row r="233" spans="1:10">
      <c r="A233" s="526">
        <v>230</v>
      </c>
      <c r="B233" s="527">
        <f t="shared" ca="1" si="12"/>
        <v>0</v>
      </c>
      <c r="E233" s="16" t="e">
        <f t="shared" ca="1" si="13"/>
        <v>#REF!</v>
      </c>
      <c r="F233" s="16">
        <f t="shared" ca="1" si="14"/>
        <v>0</v>
      </c>
      <c r="J233">
        <f t="shared" ca="1" si="15"/>
        <v>0</v>
      </c>
    </row>
    <row r="234" spans="1:10">
      <c r="A234" s="526">
        <v>231</v>
      </c>
      <c r="B234" s="527">
        <f t="shared" ca="1" si="12"/>
        <v>0</v>
      </c>
      <c r="E234" s="16" t="e">
        <f t="shared" ca="1" si="13"/>
        <v>#REF!</v>
      </c>
      <c r="F234" s="16">
        <f t="shared" ca="1" si="14"/>
        <v>0</v>
      </c>
      <c r="J234">
        <f t="shared" ca="1" si="15"/>
        <v>0</v>
      </c>
    </row>
    <row r="235" spans="1:10">
      <c r="A235" s="526">
        <v>232</v>
      </c>
      <c r="B235" s="527">
        <f t="shared" ca="1" si="12"/>
        <v>0</v>
      </c>
      <c r="E235" s="16" t="e">
        <f t="shared" ca="1" si="13"/>
        <v>#REF!</v>
      </c>
      <c r="F235" s="16">
        <f t="shared" ca="1" si="14"/>
        <v>0</v>
      </c>
      <c r="J235">
        <f t="shared" ca="1" si="15"/>
        <v>0</v>
      </c>
    </row>
    <row r="236" spans="1:10">
      <c r="A236" s="526">
        <v>233</v>
      </c>
      <c r="B236" s="527">
        <f t="shared" ca="1" si="12"/>
        <v>0</v>
      </c>
      <c r="E236" s="16" t="e">
        <f t="shared" ca="1" si="13"/>
        <v>#REF!</v>
      </c>
      <c r="F236" s="16">
        <f t="shared" ca="1" si="14"/>
        <v>0</v>
      </c>
      <c r="J236">
        <f t="shared" ca="1" si="15"/>
        <v>0</v>
      </c>
    </row>
    <row r="237" spans="1:10">
      <c r="A237" s="526">
        <v>234</v>
      </c>
      <c r="B237" s="527">
        <f t="shared" ca="1" si="12"/>
        <v>0</v>
      </c>
      <c r="E237" s="16" t="e">
        <f t="shared" ca="1" si="13"/>
        <v>#REF!</v>
      </c>
      <c r="F237" s="16">
        <f t="shared" ca="1" si="14"/>
        <v>0</v>
      </c>
      <c r="J237">
        <f t="shared" ca="1" si="15"/>
        <v>0</v>
      </c>
    </row>
    <row r="238" spans="1:10">
      <c r="A238" s="526">
        <v>235</v>
      </c>
      <c r="B238" s="527">
        <f t="shared" ca="1" si="12"/>
        <v>0</v>
      </c>
      <c r="E238" s="16" t="e">
        <f t="shared" ca="1" si="13"/>
        <v>#REF!</v>
      </c>
      <c r="F238" s="16">
        <f t="shared" ca="1" si="14"/>
        <v>0</v>
      </c>
      <c r="J238">
        <f t="shared" ca="1" si="15"/>
        <v>0</v>
      </c>
    </row>
    <row r="239" spans="1:10">
      <c r="A239" s="526">
        <v>236</v>
      </c>
      <c r="B239" s="527">
        <f t="shared" ca="1" si="12"/>
        <v>0</v>
      </c>
      <c r="E239" s="16" t="e">
        <f t="shared" ca="1" si="13"/>
        <v>#REF!</v>
      </c>
      <c r="F239" s="16">
        <f t="shared" ca="1" si="14"/>
        <v>0</v>
      </c>
      <c r="J239">
        <f t="shared" ca="1" si="15"/>
        <v>0</v>
      </c>
    </row>
    <row r="240" spans="1:10">
      <c r="A240" s="526">
        <v>237</v>
      </c>
      <c r="B240" s="527">
        <f t="shared" ca="1" si="12"/>
        <v>0</v>
      </c>
      <c r="E240" s="16" t="e">
        <f t="shared" ca="1" si="13"/>
        <v>#REF!</v>
      </c>
      <c r="F240" s="16">
        <f t="shared" ca="1" si="14"/>
        <v>0</v>
      </c>
      <c r="J240">
        <f t="shared" ca="1" si="15"/>
        <v>0</v>
      </c>
    </row>
    <row r="241" spans="1:10">
      <c r="A241" s="526">
        <v>238</v>
      </c>
      <c r="B241" s="527">
        <f t="shared" ca="1" si="12"/>
        <v>0</v>
      </c>
      <c r="E241" s="16" t="e">
        <f t="shared" ca="1" si="13"/>
        <v>#REF!</v>
      </c>
      <c r="F241" s="16">
        <f t="shared" ca="1" si="14"/>
        <v>0</v>
      </c>
      <c r="J241">
        <f t="shared" ca="1" si="15"/>
        <v>0</v>
      </c>
    </row>
    <row r="242" spans="1:10">
      <c r="A242" s="526">
        <v>239</v>
      </c>
      <c r="B242" s="527">
        <f t="shared" ca="1" si="12"/>
        <v>0</v>
      </c>
      <c r="E242" s="16" t="e">
        <f t="shared" ca="1" si="13"/>
        <v>#REF!</v>
      </c>
      <c r="F242" s="16">
        <f t="shared" ca="1" si="14"/>
        <v>0</v>
      </c>
      <c r="J242">
        <f t="shared" ca="1" si="15"/>
        <v>0</v>
      </c>
    </row>
    <row r="243" spans="1:10">
      <c r="A243" s="526">
        <v>240</v>
      </c>
      <c r="B243" s="527">
        <f t="shared" ca="1" si="12"/>
        <v>0</v>
      </c>
      <c r="E243" s="16" t="e">
        <f t="shared" ca="1" si="13"/>
        <v>#REF!</v>
      </c>
      <c r="F243" s="16">
        <f t="shared" ca="1" si="14"/>
        <v>0</v>
      </c>
      <c r="J243">
        <f t="shared" ca="1" si="15"/>
        <v>0</v>
      </c>
    </row>
    <row r="244" spans="1:10">
      <c r="A244" s="526">
        <v>241</v>
      </c>
      <c r="B244" s="527">
        <f t="shared" ca="1" si="12"/>
        <v>0</v>
      </c>
      <c r="E244" s="16" t="e">
        <f t="shared" ca="1" si="13"/>
        <v>#REF!</v>
      </c>
      <c r="F244" s="16">
        <f t="shared" ca="1" si="14"/>
        <v>0</v>
      </c>
      <c r="J244">
        <f t="shared" ca="1" si="15"/>
        <v>0</v>
      </c>
    </row>
    <row r="245" spans="1:10">
      <c r="A245" s="526">
        <v>242</v>
      </c>
      <c r="B245" s="527">
        <f t="shared" ca="1" si="12"/>
        <v>0</v>
      </c>
      <c r="E245" s="16" t="e">
        <f t="shared" ca="1" si="13"/>
        <v>#REF!</v>
      </c>
      <c r="F245" s="16">
        <f t="shared" ca="1" si="14"/>
        <v>0</v>
      </c>
      <c r="J245">
        <f t="shared" ca="1" si="15"/>
        <v>0</v>
      </c>
    </row>
    <row r="246" spans="1:10">
      <c r="A246" s="526">
        <v>243</v>
      </c>
      <c r="B246" s="527">
        <f t="shared" ca="1" si="12"/>
        <v>0</v>
      </c>
      <c r="E246" s="16" t="e">
        <f t="shared" ca="1" si="13"/>
        <v>#REF!</v>
      </c>
      <c r="F246" s="16">
        <f t="shared" ca="1" si="14"/>
        <v>0</v>
      </c>
      <c r="J246">
        <f t="shared" ca="1" si="15"/>
        <v>0</v>
      </c>
    </row>
    <row r="247" spans="1:10">
      <c r="A247" s="526">
        <v>244</v>
      </c>
      <c r="B247" s="527">
        <f t="shared" ca="1" si="12"/>
        <v>0</v>
      </c>
      <c r="E247" s="16" t="e">
        <f t="shared" ca="1" si="13"/>
        <v>#REF!</v>
      </c>
      <c r="F247" s="16">
        <f t="shared" ca="1" si="14"/>
        <v>0</v>
      </c>
      <c r="J247">
        <f t="shared" ca="1" si="15"/>
        <v>0</v>
      </c>
    </row>
    <row r="248" spans="1:10">
      <c r="A248" s="526">
        <v>245</v>
      </c>
      <c r="B248" s="527">
        <f t="shared" ca="1" si="12"/>
        <v>0</v>
      </c>
      <c r="E248" s="16" t="e">
        <f t="shared" ca="1" si="13"/>
        <v>#REF!</v>
      </c>
      <c r="F248" s="16">
        <f t="shared" ca="1" si="14"/>
        <v>0</v>
      </c>
      <c r="J248">
        <f t="shared" ca="1" si="15"/>
        <v>0</v>
      </c>
    </row>
    <row r="249" spans="1:10">
      <c r="A249" s="526">
        <v>246</v>
      </c>
      <c r="B249" s="527">
        <f t="shared" ca="1" si="12"/>
        <v>0</v>
      </c>
      <c r="E249" s="16" t="e">
        <f t="shared" ca="1" si="13"/>
        <v>#REF!</v>
      </c>
      <c r="F249" s="16">
        <f t="shared" ca="1" si="14"/>
        <v>0</v>
      </c>
      <c r="J249">
        <f t="shared" ca="1" si="15"/>
        <v>0</v>
      </c>
    </row>
    <row r="250" spans="1:10">
      <c r="A250" s="526">
        <v>247</v>
      </c>
      <c r="B250" s="527">
        <f t="shared" ca="1" si="12"/>
        <v>0</v>
      </c>
      <c r="E250" s="16" t="e">
        <f t="shared" ca="1" si="13"/>
        <v>#REF!</v>
      </c>
      <c r="F250" s="16">
        <f t="shared" ca="1" si="14"/>
        <v>0</v>
      </c>
      <c r="J250">
        <f t="shared" ca="1" si="15"/>
        <v>0</v>
      </c>
    </row>
    <row r="251" spans="1:10">
      <c r="A251" s="526">
        <v>248</v>
      </c>
      <c r="B251" s="527">
        <f t="shared" ca="1" si="12"/>
        <v>0</v>
      </c>
      <c r="E251" s="16" t="e">
        <f t="shared" ca="1" si="13"/>
        <v>#REF!</v>
      </c>
      <c r="F251" s="16">
        <f t="shared" ca="1" si="14"/>
        <v>0</v>
      </c>
      <c r="J251">
        <f t="shared" ca="1" si="15"/>
        <v>0</v>
      </c>
    </row>
    <row r="252" spans="1:10">
      <c r="A252" s="526">
        <v>249</v>
      </c>
      <c r="B252" s="527">
        <f t="shared" ca="1" si="12"/>
        <v>0</v>
      </c>
      <c r="E252" s="16" t="e">
        <f t="shared" ca="1" si="13"/>
        <v>#REF!</v>
      </c>
      <c r="F252" s="16">
        <f t="shared" ca="1" si="14"/>
        <v>0</v>
      </c>
      <c r="J252">
        <f t="shared" ca="1" si="15"/>
        <v>0</v>
      </c>
    </row>
    <row r="253" spans="1:10">
      <c r="A253" s="526">
        <v>250</v>
      </c>
      <c r="B253" s="527">
        <f t="shared" ca="1" si="12"/>
        <v>0</v>
      </c>
      <c r="E253" s="16" t="e">
        <f t="shared" ca="1" si="13"/>
        <v>#REF!</v>
      </c>
      <c r="F253" s="16">
        <f t="shared" ca="1" si="14"/>
        <v>0</v>
      </c>
      <c r="J253">
        <f t="shared" ca="1" si="15"/>
        <v>0</v>
      </c>
    </row>
    <row r="254" spans="1:10">
      <c r="A254" s="526">
        <v>251</v>
      </c>
      <c r="B254" s="527">
        <f t="shared" ca="1" si="12"/>
        <v>0</v>
      </c>
      <c r="E254" s="16" t="e">
        <f t="shared" ca="1" si="13"/>
        <v>#REF!</v>
      </c>
      <c r="F254" s="16">
        <f t="shared" ca="1" si="14"/>
        <v>0</v>
      </c>
      <c r="J254">
        <f t="shared" ca="1" si="15"/>
        <v>0</v>
      </c>
    </row>
    <row r="255" spans="1:10">
      <c r="A255" s="526">
        <v>252</v>
      </c>
      <c r="B255" s="527">
        <f t="shared" ca="1" si="12"/>
        <v>0</v>
      </c>
      <c r="E255" s="16" t="e">
        <f t="shared" ca="1" si="13"/>
        <v>#REF!</v>
      </c>
      <c r="F255" s="16">
        <f t="shared" ca="1" si="14"/>
        <v>0</v>
      </c>
      <c r="J255">
        <f t="shared" ca="1" si="15"/>
        <v>0</v>
      </c>
    </row>
    <row r="256" spans="1:10">
      <c r="A256" s="526">
        <v>253</v>
      </c>
      <c r="B256" s="527">
        <f t="shared" ca="1" si="12"/>
        <v>0</v>
      </c>
      <c r="E256" s="16" t="e">
        <f t="shared" ca="1" si="13"/>
        <v>#REF!</v>
      </c>
      <c r="F256" s="16">
        <f t="shared" ca="1" si="14"/>
        <v>0</v>
      </c>
      <c r="J256">
        <f t="shared" ca="1" si="15"/>
        <v>0</v>
      </c>
    </row>
    <row r="257" spans="1:10">
      <c r="A257" s="526">
        <v>254</v>
      </c>
      <c r="B257" s="527">
        <f t="shared" ca="1" si="12"/>
        <v>0</v>
      </c>
      <c r="E257" s="16" t="e">
        <f t="shared" ca="1" si="13"/>
        <v>#REF!</v>
      </c>
      <c r="F257" s="16">
        <f t="shared" ca="1" si="14"/>
        <v>0</v>
      </c>
      <c r="J257">
        <f t="shared" ca="1" si="15"/>
        <v>0</v>
      </c>
    </row>
    <row r="258" spans="1:10">
      <c r="A258" s="526">
        <v>255</v>
      </c>
      <c r="B258" s="527">
        <f t="shared" ca="1" si="12"/>
        <v>0</v>
      </c>
      <c r="E258" s="16" t="e">
        <f t="shared" ca="1" si="13"/>
        <v>#REF!</v>
      </c>
      <c r="F258" s="16">
        <f t="shared" ca="1" si="14"/>
        <v>0</v>
      </c>
      <c r="J258">
        <f t="shared" ca="1" si="15"/>
        <v>0</v>
      </c>
    </row>
    <row r="259" spans="1:10">
      <c r="A259" s="526">
        <v>256</v>
      </c>
      <c r="B259" s="527">
        <f t="shared" ca="1" si="12"/>
        <v>0</v>
      </c>
      <c r="E259" s="16" t="e">
        <f t="shared" ca="1" si="13"/>
        <v>#REF!</v>
      </c>
      <c r="F259" s="16">
        <f t="shared" ca="1" si="14"/>
        <v>0</v>
      </c>
      <c r="J259">
        <f t="shared" ca="1" si="15"/>
        <v>0</v>
      </c>
    </row>
  </sheetData>
  <sheetProtection sheet="1" objects="1" scenarios="1"/>
  <pageMargins left="0.78749999999999998" right="0.78749999999999998" top="0.98402777777777795" bottom="0.98402777777777795" header="0.51180555555555496" footer="0.51180555555555496"/>
  <pageSetup paperSize="9" firstPageNumber="0" orientation="portrait" horizontalDpi="300" verticalDpi="30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zoomScaleNormal="100" workbookViewId="0">
      <selection activeCell="A5" sqref="A5"/>
    </sheetView>
  </sheetViews>
  <sheetFormatPr defaultColWidth="8.7109375" defaultRowHeight="12.75"/>
  <sheetData>
    <row r="1" spans="1:3">
      <c r="A1" s="515" t="s">
        <v>1800</v>
      </c>
      <c r="B1" s="516"/>
      <c r="C1" s="516"/>
    </row>
    <row r="3" spans="1:3" ht="25.5">
      <c r="A3" s="528" t="s">
        <v>1801</v>
      </c>
      <c r="B3" s="520" t="s">
        <v>1618</v>
      </c>
    </row>
    <row r="4" spans="1:3">
      <c r="A4" s="176" t="s">
        <v>1697</v>
      </c>
      <c r="B4">
        <v>250</v>
      </c>
    </row>
    <row r="5" spans="1:3">
      <c r="A5" s="176" t="s">
        <v>1703</v>
      </c>
      <c r="B5">
        <v>200</v>
      </c>
    </row>
    <row r="6" spans="1:3">
      <c r="A6" s="176" t="s">
        <v>257</v>
      </c>
      <c r="B6">
        <v>150</v>
      </c>
    </row>
    <row r="7" spans="1:3">
      <c r="A7" s="176" t="s">
        <v>1706</v>
      </c>
      <c r="B7">
        <v>100</v>
      </c>
    </row>
    <row r="8" spans="1:3">
      <c r="A8" s="176" t="s">
        <v>1749</v>
      </c>
      <c r="B8">
        <v>0</v>
      </c>
    </row>
  </sheetData>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Normal="100" workbookViewId="0">
      <selection activeCell="A5" sqref="A5"/>
    </sheetView>
  </sheetViews>
  <sheetFormatPr defaultColWidth="8.7109375" defaultRowHeight="12.75"/>
  <cols>
    <col min="1" max="1" width="8.140625" customWidth="1"/>
    <col min="2" max="2" width="12.28515625" customWidth="1"/>
    <col min="5" max="5" width="11.42578125" customWidth="1"/>
  </cols>
  <sheetData>
    <row r="1" spans="1:4">
      <c r="A1" s="515" t="s">
        <v>1802</v>
      </c>
      <c r="B1" s="516"/>
      <c r="C1" s="516"/>
    </row>
    <row r="3" spans="1:4" ht="25.5">
      <c r="A3" s="528" t="s">
        <v>1801</v>
      </c>
      <c r="B3" s="520" t="s">
        <v>1803</v>
      </c>
    </row>
    <row r="4" spans="1:4">
      <c r="A4" s="176" t="s">
        <v>1703</v>
      </c>
      <c r="B4">
        <v>20</v>
      </c>
      <c r="D4" s="308"/>
    </row>
    <row r="5" spans="1:4">
      <c r="A5" s="176" t="s">
        <v>257</v>
      </c>
      <c r="B5">
        <v>15</v>
      </c>
      <c r="D5" s="308"/>
    </row>
    <row r="6" spans="1:4">
      <c r="A6" s="176" t="s">
        <v>1706</v>
      </c>
      <c r="B6">
        <v>10</v>
      </c>
      <c r="D6" s="308"/>
    </row>
    <row r="7" spans="1:4">
      <c r="A7" s="176" t="s">
        <v>1708</v>
      </c>
      <c r="B7">
        <v>1</v>
      </c>
      <c r="D7" s="308"/>
    </row>
  </sheetData>
  <sheetProtection sheet="1" objects="1" scenarios="1"/>
  <conditionalFormatting sqref="D4:D7">
    <cfRule type="cellIs" dxfId="1" priority="2" operator="equal">
      <formula>0</formula>
    </cfRule>
  </conditionalFormatting>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J202"/>
  <sheetViews>
    <sheetView tabSelected="1" zoomScaleNormal="100" workbookViewId="0">
      <pane xSplit="8" ySplit="10" topLeftCell="I11" activePane="bottomRight" state="frozen"/>
      <selection pane="topRight" activeCell="AB1" sqref="AB1"/>
      <selection pane="bottomLeft" activeCell="A20" sqref="A20"/>
      <selection pane="bottomRight" activeCell="I11" sqref="I11"/>
    </sheetView>
  </sheetViews>
  <sheetFormatPr defaultColWidth="9.140625" defaultRowHeight="12.75"/>
  <cols>
    <col min="1" max="1" width="9" style="72" hidden="1" customWidth="1"/>
    <col min="2" max="2" width="3.85546875" style="72" hidden="1" customWidth="1"/>
    <col min="3" max="5" width="9" style="72" hidden="1" customWidth="1"/>
    <col min="6" max="6" width="24.42578125" style="72" hidden="1" customWidth="1"/>
    <col min="7" max="7" width="3.5703125" style="72" customWidth="1"/>
    <col min="8" max="9" width="9.140625" style="72"/>
    <col min="10" max="10" width="13.42578125" style="72" customWidth="1"/>
    <col min="11" max="11" width="13.7109375" style="72" customWidth="1"/>
    <col min="12" max="12" width="20.42578125" style="72" customWidth="1"/>
    <col min="13" max="13" width="6.140625" style="72" customWidth="1"/>
    <col min="14" max="14" width="6.5703125" style="72" customWidth="1"/>
    <col min="15" max="15" width="9.140625" style="72"/>
    <col min="16" max="16" width="14.42578125" style="72" customWidth="1"/>
    <col min="17" max="17" width="11.5703125" style="72" customWidth="1"/>
    <col min="18" max="18" width="20.42578125" style="72" customWidth="1"/>
    <col min="19" max="19" width="6.140625" style="72" customWidth="1"/>
    <col min="20" max="20" width="6.5703125" style="72" customWidth="1"/>
    <col min="21" max="21" width="9.140625" style="72"/>
    <col min="22" max="22" width="14.42578125" style="72" customWidth="1"/>
    <col min="23" max="23" width="11.5703125" style="72" customWidth="1"/>
    <col min="24" max="24" width="20.42578125" style="72" customWidth="1"/>
    <col min="25" max="25" width="6.140625" style="72" customWidth="1"/>
    <col min="26" max="26" width="5.42578125" style="72" customWidth="1"/>
    <col min="27" max="27" width="8" style="72" customWidth="1"/>
    <col min="28" max="28" width="14.42578125" style="72" customWidth="1"/>
    <col min="29" max="29" width="11.5703125" style="72" customWidth="1"/>
    <col min="30" max="30" width="20.42578125" style="72" customWidth="1"/>
    <col min="31" max="31" width="5" style="72" customWidth="1"/>
    <col min="32" max="32" width="5.42578125" style="72" customWidth="1"/>
    <col min="33" max="33" width="1.5703125" style="72" customWidth="1"/>
    <col min="34" max="34" width="7.28515625" style="72" customWidth="1"/>
    <col min="35" max="37" width="8.140625" style="72" hidden="1" customWidth="1"/>
    <col min="38" max="38" width="34.7109375" style="72" customWidth="1"/>
    <col min="39" max="39" width="9.140625" style="72"/>
    <col min="40" max="40" width="7.7109375" style="72" customWidth="1"/>
    <col min="41" max="41" width="8.42578125" style="72" customWidth="1"/>
    <col min="42" max="42" width="7.85546875" style="72" customWidth="1"/>
    <col min="43" max="43" width="8.28515625" style="72" customWidth="1"/>
    <col min="44" max="1024" width="9.140625" style="72"/>
  </cols>
  <sheetData>
    <row r="1" spans="1:44" ht="31.5">
      <c r="A1" s="73"/>
      <c r="B1" s="73"/>
      <c r="C1" s="73"/>
      <c r="D1" s="73"/>
      <c r="E1" s="73"/>
      <c r="F1" s="73"/>
      <c r="G1" s="73"/>
      <c r="H1" s="74" t="s">
        <v>1569</v>
      </c>
      <c r="I1" s="75" t="s">
        <v>1570</v>
      </c>
      <c r="J1" s="76"/>
      <c r="K1" s="76"/>
      <c r="L1" s="76"/>
      <c r="M1" s="77"/>
      <c r="N1" s="77"/>
      <c r="O1" s="77"/>
      <c r="P1" s="77"/>
      <c r="Q1" s="73"/>
      <c r="R1" s="78" t="s">
        <v>1571</v>
      </c>
      <c r="S1" s="79">
        <f ca="1">'Kvalita turnaje'!F1</f>
        <v>17.627749999999995</v>
      </c>
      <c r="T1" s="80"/>
      <c r="U1" s="73"/>
      <c r="V1" s="73"/>
      <c r="W1" s="73"/>
      <c r="X1" s="73"/>
      <c r="Y1" s="73"/>
      <c r="Z1" s="73"/>
      <c r="AA1" s="73"/>
      <c r="AB1" s="73"/>
      <c r="AC1" s="73"/>
      <c r="AD1" s="73"/>
      <c r="AE1" s="73"/>
      <c r="AF1" s="73"/>
      <c r="AG1" s="73"/>
      <c r="AH1" s="73"/>
      <c r="AI1" s="73"/>
      <c r="AJ1" s="73"/>
      <c r="AK1" s="73"/>
      <c r="AL1" s="73"/>
      <c r="AM1" s="73"/>
    </row>
    <row r="2" spans="1:44" ht="18">
      <c r="A2" s="73"/>
      <c r="B2" s="73"/>
      <c r="C2" s="73"/>
      <c r="D2" s="73"/>
      <c r="E2" s="73"/>
      <c r="F2" s="73"/>
      <c r="G2" s="73"/>
      <c r="H2" s="81"/>
      <c r="I2" s="82" t="s">
        <v>1572</v>
      </c>
      <c r="J2" s="83"/>
      <c r="K2" s="84">
        <v>20077</v>
      </c>
      <c r="M2" s="85" t="s">
        <v>1573</v>
      </c>
      <c r="N2" s="86" t="str">
        <f ca="1">IF(AND(S1&gt;=40,OR(AND(K6=2,K7&gt;=48),AND(K6=3,K7&gt;=32),AND(K6=1,K7&gt;=64))),"P","R")</f>
        <v>R</v>
      </c>
      <c r="O2" s="73"/>
      <c r="P2" s="73"/>
      <c r="Q2" s="73"/>
      <c r="R2" s="78" t="s">
        <v>1574</v>
      </c>
      <c r="S2" s="80">
        <f ca="1">IF(TYPE(VLOOKUP(Start.listina!N2,Bonusy!A4:B8,2,0))&gt;3,0,VLOOKUP(Start.listina!N2,Bonusy!A4:B8,2,0))</f>
        <v>0</v>
      </c>
      <c r="T2" s="80"/>
      <c r="U2" s="73"/>
      <c r="V2" s="73"/>
      <c r="W2" s="73"/>
      <c r="X2" s="73"/>
      <c r="Y2" s="73"/>
      <c r="Z2" s="73"/>
      <c r="AA2" s="73"/>
      <c r="AB2" s="73"/>
      <c r="AC2" s="73"/>
      <c r="AD2" s="73"/>
      <c r="AE2" s="73"/>
      <c r="AF2" s="73"/>
      <c r="AG2" s="73"/>
      <c r="AH2" s="73"/>
      <c r="AI2" s="73"/>
      <c r="AJ2" s="73"/>
      <c r="AK2" s="73"/>
      <c r="AL2" s="73"/>
      <c r="AM2" s="73"/>
    </row>
    <row r="3" spans="1:44" ht="18">
      <c r="A3" s="73"/>
      <c r="B3" s="73"/>
      <c r="C3" s="73"/>
      <c r="D3" s="73"/>
      <c r="E3" s="73"/>
      <c r="F3" s="73"/>
      <c r="G3" s="73"/>
      <c r="H3" s="81"/>
      <c r="I3" s="87" t="s">
        <v>1575</v>
      </c>
      <c r="J3" s="83"/>
      <c r="K3" s="88" t="str">
        <f>IF(ISBLANK(K2)," ",VLOOKUP(K2,Turnaje!$A$1:$G$147,3,0))</f>
        <v>20.06.2020Polouvsí</v>
      </c>
      <c r="L3" s="73"/>
      <c r="M3" s="85" t="s">
        <v>1576</v>
      </c>
      <c r="N3" s="86" t="s">
        <v>1577</v>
      </c>
      <c r="O3" s="73"/>
      <c r="P3" s="73"/>
      <c r="Q3" s="73"/>
      <c r="R3" s="78" t="s">
        <v>1578</v>
      </c>
      <c r="S3" s="80">
        <f ca="1">IF(TYPE(VLOOKUP(Start.listina!N2,Paušál!A4:B7,2,0))&gt;3,0,VLOOKUP(Start.listina!N2,Paušál!A4:B7,2,0))</f>
        <v>1</v>
      </c>
      <c r="T3" s="80"/>
      <c r="U3" s="73"/>
      <c r="V3" s="73"/>
      <c r="W3" s="73"/>
      <c r="X3" s="73"/>
      <c r="Y3" s="73"/>
      <c r="Z3" s="73"/>
      <c r="AA3" s="73"/>
      <c r="AB3" s="73"/>
      <c r="AC3" s="73"/>
      <c r="AD3" s="73"/>
      <c r="AE3" s="73"/>
      <c r="AF3" s="73"/>
      <c r="AG3" s="73"/>
      <c r="AH3" s="73"/>
      <c r="AI3" s="73"/>
      <c r="AJ3" s="73"/>
      <c r="AK3" s="73"/>
      <c r="AL3" s="73"/>
      <c r="AM3" s="73"/>
    </row>
    <row r="4" spans="1:44" ht="18.75">
      <c r="A4" s="73"/>
      <c r="B4" s="73"/>
      <c r="C4" s="73"/>
      <c r="D4" s="73"/>
      <c r="E4" s="73"/>
      <c r="F4" s="73"/>
      <c r="G4" s="73"/>
      <c r="H4" s="81"/>
      <c r="I4" s="89" t="s">
        <v>1579</v>
      </c>
      <c r="J4" s="90"/>
      <c r="K4" s="91" t="str">
        <f>IF(ISBLANK(K2)," ",VLOOKUP(K2,Turnaje!$A$1:$G$147,2,0))</f>
        <v>Polouveský májový turnaj</v>
      </c>
      <c r="L4" s="92"/>
      <c r="M4" s="92"/>
      <c r="N4" s="93"/>
      <c r="O4" s="73"/>
      <c r="P4" s="94">
        <v>1</v>
      </c>
      <c r="Q4" s="73"/>
      <c r="R4" s="78" t="s">
        <v>1580</v>
      </c>
      <c r="S4" s="80">
        <f ca="1">'Počet kol'!$D$3</f>
        <v>4</v>
      </c>
      <c r="T4" s="80"/>
      <c r="U4" s="73"/>
      <c r="V4" s="73"/>
      <c r="W4" s="73"/>
      <c r="X4" s="73"/>
      <c r="Y4" s="73"/>
      <c r="Z4" s="73"/>
      <c r="AA4" s="73"/>
      <c r="AB4" s="73"/>
      <c r="AC4" s="73"/>
      <c r="AD4" s="73"/>
      <c r="AE4" s="73"/>
      <c r="AF4" s="73"/>
      <c r="AG4" s="73"/>
      <c r="AH4" s="73"/>
      <c r="AI4" s="73"/>
      <c r="AJ4" s="73"/>
      <c r="AK4" s="73"/>
      <c r="AL4" s="73"/>
      <c r="AM4" s="73"/>
    </row>
    <row r="5" spans="1:44" ht="18" customHeight="1">
      <c r="A5" s="95"/>
      <c r="B5" s="95"/>
      <c r="C5" s="95"/>
      <c r="D5" s="95"/>
      <c r="E5" s="95"/>
      <c r="F5" s="95"/>
      <c r="G5" s="73"/>
      <c r="H5" s="81"/>
      <c r="I5" s="82" t="s">
        <v>1581</v>
      </c>
      <c r="J5" s="96"/>
      <c r="K5" s="97">
        <f>IF(ISBLANK(K2)," ",VLOOKUP(K2,Turnaje!$A$1:$G$147,4,0))</f>
        <v>0</v>
      </c>
      <c r="L5" s="98"/>
      <c r="M5" s="99"/>
      <c r="N5" s="93"/>
      <c r="O5" s="73"/>
      <c r="P5" s="100"/>
      <c r="Q5" s="73"/>
      <c r="R5" s="78" t="s">
        <v>1582</v>
      </c>
      <c r="S5" s="101">
        <f>IF(M7&lt;5,3,5)*U5/60</f>
        <v>3</v>
      </c>
      <c r="T5" s="80" t="s">
        <v>1583</v>
      </c>
      <c r="U5" s="102">
        <v>60</v>
      </c>
      <c r="V5" s="80" t="s">
        <v>1584</v>
      </c>
      <c r="W5" s="73"/>
      <c r="X5" s="73"/>
      <c r="Y5" s="73"/>
      <c r="Z5" s="73"/>
      <c r="AA5" s="73"/>
      <c r="AB5" s="73"/>
      <c r="AC5" s="73"/>
      <c r="AD5" s="73"/>
      <c r="AE5" s="73"/>
      <c r="AF5" s="73"/>
      <c r="AG5" s="73"/>
      <c r="AH5" s="73"/>
      <c r="AI5" s="73"/>
      <c r="AJ5" s="73"/>
      <c r="AK5" s="73"/>
      <c r="AL5" s="73"/>
      <c r="AM5" s="73"/>
    </row>
    <row r="6" spans="1:44" ht="18.75">
      <c r="A6" s="103"/>
      <c r="B6" s="103"/>
      <c r="C6" s="103"/>
      <c r="D6" s="103"/>
      <c r="E6" s="103"/>
      <c r="F6" s="104"/>
      <c r="G6" s="73"/>
      <c r="H6" s="81"/>
      <c r="I6" s="82" t="s">
        <v>1585</v>
      </c>
      <c r="J6" s="96"/>
      <c r="K6" s="105">
        <f>IF(ISBLANK(K2)," ",VLOOKUP(K2,Turnaje!$A$1:$G$147,6,0))</f>
        <v>3</v>
      </c>
      <c r="L6" s="106" t="s">
        <v>1586</v>
      </c>
      <c r="M6" s="107">
        <f>IF(TYPE(M7-1)&gt;3,"",M7-1)</f>
        <v>3</v>
      </c>
      <c r="N6" s="108">
        <f ca="1">IF(TYPE((K7-M7*N7)/M6)&gt;3,"",(K7-M7*N7)/M6)</f>
        <v>0</v>
      </c>
      <c r="O6" s="73"/>
      <c r="P6" s="73"/>
      <c r="Q6" s="73"/>
      <c r="R6" s="78" t="s">
        <v>1587</v>
      </c>
      <c r="S6" s="101">
        <f ca="1">IF(S7=0,0,ROUNDUP(LOG(S7,2),0)*U5/60)</f>
        <v>3</v>
      </c>
      <c r="T6" s="80" t="s">
        <v>1583</v>
      </c>
      <c r="U6" s="102">
        <v>1</v>
      </c>
      <c r="V6" s="80" t="s">
        <v>1588</v>
      </c>
      <c r="W6" s="73"/>
      <c r="X6" s="73"/>
      <c r="Y6" s="73"/>
      <c r="Z6" s="73"/>
      <c r="AA6" s="73"/>
      <c r="AB6" s="73"/>
      <c r="AC6" s="73"/>
      <c r="AD6" s="73"/>
      <c r="AE6" s="73"/>
      <c r="AF6" s="73"/>
      <c r="AG6" s="73"/>
      <c r="AH6" s="73"/>
      <c r="AI6" s="73"/>
      <c r="AJ6" s="73"/>
      <c r="AK6" s="73"/>
      <c r="AL6" s="73"/>
      <c r="AM6" s="73"/>
    </row>
    <row r="7" spans="1:44" ht="18.75">
      <c r="A7" s="103"/>
      <c r="B7" s="103"/>
      <c r="C7" s="103"/>
      <c r="D7" s="103"/>
      <c r="E7" s="103"/>
      <c r="F7" s="104"/>
      <c r="G7" s="73"/>
      <c r="H7" s="81"/>
      <c r="I7" s="82" t="s">
        <v>1589</v>
      </c>
      <c r="J7" s="96"/>
      <c r="K7" s="105">
        <f ca="1">SUM(B11:B202)</f>
        <v>16</v>
      </c>
      <c r="L7" s="109" t="s">
        <v>1590</v>
      </c>
      <c r="M7" s="110">
        <v>4</v>
      </c>
      <c r="N7" s="111">
        <v>4</v>
      </c>
      <c r="O7" s="112">
        <f ca="1">CEILING(IF(TYPE(N6+N7)&gt;3,K7/M7,N6+N7),1)</f>
        <v>4</v>
      </c>
      <c r="P7" s="73" t="s">
        <v>1591</v>
      </c>
      <c r="Q7" s="73"/>
      <c r="R7" s="78" t="s">
        <v>1592</v>
      </c>
      <c r="S7" s="80">
        <f ca="1">O7*U7</f>
        <v>8</v>
      </c>
      <c r="T7" s="80" t="s">
        <v>1593</v>
      </c>
      <c r="U7" s="102">
        <v>2</v>
      </c>
      <c r="V7" s="80" t="s">
        <v>1594</v>
      </c>
      <c r="W7" s="73"/>
      <c r="X7" s="73"/>
      <c r="Y7" s="73"/>
      <c r="Z7" s="73"/>
      <c r="AA7" s="73"/>
      <c r="AB7" s="73"/>
      <c r="AC7" s="73"/>
      <c r="AD7" s="73"/>
      <c r="AE7" s="73"/>
      <c r="AF7" s="73"/>
      <c r="AG7" s="73"/>
      <c r="AH7" s="73"/>
      <c r="AI7" s="73"/>
      <c r="AJ7" s="73"/>
      <c r="AM7" s="73"/>
    </row>
    <row r="8" spans="1:44" ht="13.5">
      <c r="A8" s="103"/>
      <c r="B8" s="103"/>
      <c r="C8" s="103"/>
      <c r="D8" s="103"/>
      <c r="E8" s="103"/>
      <c r="F8" s="104"/>
      <c r="G8" s="73"/>
      <c r="H8" s="73"/>
      <c r="I8" s="73"/>
      <c r="J8" s="113"/>
      <c r="K8" s="73"/>
      <c r="L8" s="73"/>
      <c r="M8" s="73"/>
      <c r="N8" s="73"/>
      <c r="O8" s="73"/>
      <c r="P8" s="73"/>
      <c r="Q8" s="73"/>
      <c r="R8" s="78" t="s">
        <v>1595</v>
      </c>
      <c r="S8" s="80">
        <f ca="1">INT(IF(TYPE(M7)=1,M7,0)/2)*IF(TYPE(N7)=1,N7,0)+INT(IF(TYPE(M6)=1,M6,0)/2)*IF(TYPE(N6)=1,N6,0)</f>
        <v>8</v>
      </c>
      <c r="T8" s="80"/>
      <c r="U8" s="102"/>
      <c r="V8" s="80" t="s">
        <v>1596</v>
      </c>
      <c r="W8" s="73"/>
      <c r="X8" s="73"/>
      <c r="Y8" s="73"/>
      <c r="Z8" s="73"/>
      <c r="AA8" s="73"/>
      <c r="AB8" s="73"/>
      <c r="AC8" s="73"/>
      <c r="AD8" s="73"/>
      <c r="AE8" s="73"/>
      <c r="AF8" s="73"/>
      <c r="AG8" s="73"/>
      <c r="AH8" s="73"/>
      <c r="AI8" s="73"/>
      <c r="AJ8" s="73"/>
      <c r="AK8" s="73"/>
      <c r="AL8" s="73"/>
      <c r="AM8" s="73"/>
    </row>
    <row r="9" spans="1:44">
      <c r="A9" s="103">
        <v>7</v>
      </c>
      <c r="B9" s="103"/>
      <c r="C9" s="103"/>
      <c r="D9" s="103"/>
      <c r="E9" s="103"/>
      <c r="F9" s="104"/>
      <c r="G9" s="73"/>
      <c r="H9" s="73"/>
      <c r="I9" s="114" t="s">
        <v>1597</v>
      </c>
      <c r="J9" s="115" t="s">
        <v>1598</v>
      </c>
      <c r="K9" s="116"/>
      <c r="L9" s="116"/>
      <c r="M9" s="116"/>
      <c r="N9" s="116"/>
      <c r="O9" s="117" t="s">
        <v>1599</v>
      </c>
      <c r="P9" s="73"/>
      <c r="Q9" s="73"/>
      <c r="R9" s="73"/>
      <c r="S9" s="73"/>
      <c r="T9" s="73"/>
      <c r="U9" s="118" t="s">
        <v>1600</v>
      </c>
      <c r="V9" s="73"/>
      <c r="W9" s="73"/>
      <c r="X9" s="73"/>
      <c r="Y9" s="73"/>
      <c r="Z9" s="73"/>
      <c r="AA9" s="119" t="s">
        <v>1601</v>
      </c>
      <c r="AB9" s="73" t="s">
        <v>1602</v>
      </c>
      <c r="AC9" s="73"/>
      <c r="AD9" s="73"/>
      <c r="AE9" s="73"/>
      <c r="AF9" s="73"/>
      <c r="AG9" s="73"/>
      <c r="AH9" s="73"/>
      <c r="AI9" s="73"/>
      <c r="AJ9" s="73"/>
      <c r="AK9" s="73"/>
      <c r="AL9" s="73"/>
      <c r="AM9" s="73"/>
    </row>
    <row r="10" spans="1:44" ht="38.25">
      <c r="A10" s="95" t="s">
        <v>1603</v>
      </c>
      <c r="B10" s="95" t="s">
        <v>1604</v>
      </c>
      <c r="C10" s="95" t="s">
        <v>1605</v>
      </c>
      <c r="D10" s="95" t="s">
        <v>1606</v>
      </c>
      <c r="E10" s="95" t="s">
        <v>1607</v>
      </c>
      <c r="F10" s="95" t="s">
        <v>1608</v>
      </c>
      <c r="G10" s="120" t="s">
        <v>1609</v>
      </c>
      <c r="H10" s="121" t="s">
        <v>1610</v>
      </c>
      <c r="I10" s="122" t="s">
        <v>1611</v>
      </c>
      <c r="J10" s="123" t="s">
        <v>1612</v>
      </c>
      <c r="K10" s="124" t="s">
        <v>1613</v>
      </c>
      <c r="L10" s="124" t="s">
        <v>1455</v>
      </c>
      <c r="M10" s="124" t="s">
        <v>1456</v>
      </c>
      <c r="N10" s="125" t="s">
        <v>1614</v>
      </c>
      <c r="O10" s="126" t="s">
        <v>1611</v>
      </c>
      <c r="P10" s="127" t="s">
        <v>1613</v>
      </c>
      <c r="Q10" s="127" t="s">
        <v>1615</v>
      </c>
      <c r="R10" s="127" t="s">
        <v>1455</v>
      </c>
      <c r="S10" s="127" t="s">
        <v>1456</v>
      </c>
      <c r="T10" s="128" t="s">
        <v>1614</v>
      </c>
      <c r="U10" s="129" t="s">
        <v>1611</v>
      </c>
      <c r="V10" s="130" t="s">
        <v>1612</v>
      </c>
      <c r="W10" s="131" t="s">
        <v>1613</v>
      </c>
      <c r="X10" s="131" t="s">
        <v>1455</v>
      </c>
      <c r="Y10" s="131" t="s">
        <v>1456</v>
      </c>
      <c r="Z10" s="132" t="s">
        <v>1614</v>
      </c>
      <c r="AA10" s="133" t="s">
        <v>1611</v>
      </c>
      <c r="AB10" s="134" t="s">
        <v>1612</v>
      </c>
      <c r="AC10" s="135" t="s">
        <v>1613</v>
      </c>
      <c r="AD10" s="135" t="s">
        <v>1455</v>
      </c>
      <c r="AE10" s="135" t="s">
        <v>1456</v>
      </c>
      <c r="AF10" s="135" t="s">
        <v>1614</v>
      </c>
      <c r="AG10" s="136"/>
      <c r="AH10" s="137" t="s">
        <v>1616</v>
      </c>
      <c r="AI10" s="138" t="s">
        <v>1617</v>
      </c>
      <c r="AJ10" s="138" t="s">
        <v>1618</v>
      </c>
      <c r="AK10" s="139" t="s">
        <v>1619</v>
      </c>
      <c r="AL10" s="140" t="s">
        <v>1620</v>
      </c>
      <c r="AM10" s="141" t="s">
        <v>1621</v>
      </c>
      <c r="AN10" s="142" t="s">
        <v>1622</v>
      </c>
      <c r="AO10" s="142" t="s">
        <v>1623</v>
      </c>
      <c r="AP10" s="142" t="s">
        <v>1624</v>
      </c>
      <c r="AQ10" s="142" t="s">
        <v>1625</v>
      </c>
      <c r="AR10" s="142" t="s">
        <v>1626</v>
      </c>
    </row>
    <row r="11" spans="1:44" ht="14.25">
      <c r="A11" s="143">
        <f t="shared" ref="A11:A42" ca="1" si="0">IF(OR(LEFT(J11,1)=" ",ISBLANK(J11)),0,1)+IF(OR(LEFT(P11,1)=" ",ISBLANK(P11)),0,1)+IF(OR(LEFT(V11,1)=" ",ISBLANK(V11)),0,1)</f>
        <v>3</v>
      </c>
      <c r="B11" s="143">
        <f t="shared" ref="B11:B42" ca="1" si="1">IF(AND(TYPE(G11&lt;15),G11=0),1,0)</f>
        <v>1</v>
      </c>
      <c r="C11" s="144">
        <f t="shared" ref="C11:C42" ca="1" si="2">IF(B11=0,0,N11+T11+Z11)</f>
        <v>80.689000000000007</v>
      </c>
      <c r="D11" s="143">
        <f t="shared" ref="D11:D42" ca="1" si="3">IF(B11=0,99999,M11+S11+Y11)</f>
        <v>198</v>
      </c>
      <c r="E11" s="103">
        <f t="shared" ref="E11:E42" ca="1" si="4">MIN(M11,S11,Y11)</f>
        <v>38</v>
      </c>
      <c r="F11" s="104" t="str">
        <f t="shared" ref="F11:F42" ca="1" si="5">CONCATENATE(IF(AND($P$4=1,H11&gt;2*$O$7),"0","9"),TEXT(B11,"0"),IF(AND($P$4=1,H11&gt;2*$O$7),"000000",TEXT(1000*C11,"000000")),IF(AND($P$4=1,H11&gt;2*$O$7),"000000",TEXT(999999-D11,"000000")),IF(AND($P$4=1,H11&gt;2*$O$7),"000000",TEXT(999999-E11,"000000")),TEXT(999999*RAND(),"000000"))</f>
        <v>91080689999801999961489647</v>
      </c>
      <c r="G11" s="145">
        <f t="shared" ref="G11:G42" ca="1" si="6">IF(OR($K$6&gt;A11,AR11&gt;0),1,0)</f>
        <v>0</v>
      </c>
      <c r="H11" s="146">
        <f t="shared" ref="H11:H42" si="7">ROW(H11)-10</f>
        <v>1</v>
      </c>
      <c r="I11" s="147">
        <f t="shared" ref="I11:I42" ca="1" si="8">IF(N(INDIRECT(ADDRESS(ROW() + $A$9-9 + (ROW()-11)*4,1,1,1,"Internet")))&gt;0,INDIRECT(ADDRESS(ROW() + $A$9-9 + (ROW()-11)*4,1,1,1,"Internet")),"")</f>
        <v>15011</v>
      </c>
      <c r="J11" s="148" t="str">
        <f ca="1">IF(N(I11)&gt;0,VLOOKUP(I11,Hraci!$A$1:$I$1000,2,0),IF(TYPE(INDIRECT(ADDRESS(ROW() + $A$9-9 + (ROW()-11)*4,2,1,1,"Internet")))&gt;1,INDIRECT(ADDRESS(ROW() + $A$9-9 + (ROW()-11)*4,2,1,1,"Internet"))," "))</f>
        <v>Chmelař</v>
      </c>
      <c r="K11" s="149" t="str">
        <f ca="1">IF(N(I11)&gt;0,VLOOKUP(I11,Hraci!$A$1:$I$1000,3,0)," ")</f>
        <v>Ivo</v>
      </c>
      <c r="L11" s="149" t="str">
        <f ca="1">IF(N(I11)&gt;0,VLOOKUP(I11,Hraci!$A$1:$I$1000,5,0),IF(TYPE(INDIRECT(ADDRESS(ROW() + $A$9-9 + (ROW()-11)*4,3,1,1,"Internet")))&gt;1,INDIRECT(ADDRESS(ROW() + $A$9-9 + (ROW()-11)*4,3,1,1,"Internet"))," "))</f>
        <v>SKP Kulová osma</v>
      </c>
      <c r="M11" s="149">
        <f ca="1">IF(N(I11)=0,9999,VLOOKUP(I11,Hraci!$A$1:$I$1000,8,0))</f>
        <v>38</v>
      </c>
      <c r="N11" s="150">
        <f ca="1">IF(N(I11)=0,0,VLOOKUP(I11,Hraci!$A$1:$I$1000,9,0))</f>
        <v>28.312999999999999</v>
      </c>
      <c r="O11" s="147">
        <f t="shared" ref="O11:O42" ca="1" si="9">IF(N(INDIRECT(ADDRESS(ROW() + $A$9-8 + (ROW()-11)*4,1,1,1,"Internet")))&gt;0,INDIRECT(ADDRESS(ROW() + $A$9-8 + (ROW()-11)*4,1,1,1,"Internet")),"")</f>
        <v>15010</v>
      </c>
      <c r="P11" s="148" t="str">
        <f ca="1">IF(N(O11)&gt;0,VLOOKUP(O11,Hraci!$A$1:$I$1000,2,0),IF(TYPE(INDIRECT(ADDRESS(ROW() + $A$9-8 + (ROW()-11)*4,2,1,1,"Internet")))&gt;1,INDIRECT(ADDRESS(ROW() + $A$9-8 + (ROW()-11)*4,2,1,1,"Internet"))," "))</f>
        <v>Chmelařová</v>
      </c>
      <c r="Q11" s="149" t="str">
        <f ca="1">IF(N(O11)&gt;0,VLOOKUP(O11,Hraci!$A$1:$I$1000,3,0)," ")</f>
        <v>Yvetta</v>
      </c>
      <c r="R11" s="149" t="str">
        <f ca="1">IF(N(O11)&gt;0,VLOOKUP(O11,Hraci!$A$1:$I$1000,5,0),IF(TYPE(INDIRECT(ADDRESS(ROW() + $A$9-8 + (ROW()-11)*4,3,1,1,"Internet")))&gt;1,INDIRECT(ADDRESS(ROW() + $A$9-8 + (ROW()-11)*4,3,1,1,"Internet"))," "))</f>
        <v>SKP Kulová osma</v>
      </c>
      <c r="S11" s="149">
        <f ca="1">IF(N(O11)=0,9999,VLOOKUP(O11,Hraci!$A$1:$I$1000,8,0))</f>
        <v>39</v>
      </c>
      <c r="T11" s="150">
        <f ca="1">IF(N(O11)=0,0,VLOOKUP(O11,Hraci!$A$1:$I$1000,9,0))</f>
        <v>28.125</v>
      </c>
      <c r="U11" s="147">
        <f t="shared" ref="U11:U42" ca="1" si="10">IF(N(INDIRECT(ADDRESS(ROW() + $A$9-7 + (ROW()-11)*4,1,1,1,"Internet")))&gt;0,INDIRECT(ADDRESS(ROW() + $A$9-7 + (ROW()-11)*4,1,1,1,"Internet")),"")</f>
        <v>18132</v>
      </c>
      <c r="V11" s="148" t="str">
        <f ca="1">IF(N(U11)&gt;0,VLOOKUP(U11,Hraci!$A$1:$I$1000,2,0),IF(TYPE(INDIRECT(ADDRESS(ROW() + $A$9-7 + (ROW()-11)*4,2,1,1,"Internet")))&gt;1,INDIRECT(ADDRESS(ROW() + $A$9-7 + (ROW()-11)*4,2,1,1,"Internet"))," "))</f>
        <v>Vašíček</v>
      </c>
      <c r="W11" s="149" t="str">
        <f ca="1">IF(N(U11)&gt;0,VLOOKUP(U11,Hraci!$A$1:$I$1000,3,0)," ")</f>
        <v>Vladimír</v>
      </c>
      <c r="X11" s="149" t="str">
        <f ca="1">IF(N(U11)&gt;0,VLOOKUP(U11,Hraci!$A$1:$I$1000,5,0),IF(TYPE(INDIRECT(ADDRESS(ROW() + $A$9-7 + (ROW()-11)*4,3,1,1,"Internet")))&gt;1,INDIRECT(ADDRESS(ROW() + $A$9-7 + (ROW()-11)*4,3,1,1,"Internet"))," "))</f>
        <v>PK Polouvsí</v>
      </c>
      <c r="Y11" s="149">
        <f ca="1">IF(N(U11)=0,9999,VLOOKUP(U11,Hraci!$A$1:$I$1000,8,0))</f>
        <v>121</v>
      </c>
      <c r="Z11" s="150">
        <f ca="1">IF(N(U11)=0,0,VLOOKUP(U11,Hraci!$A$1:$I$1000,9,0))</f>
        <v>24.251000000000001</v>
      </c>
      <c r="AA11" s="147" t="str">
        <f t="shared" ref="AA11:AA42" ca="1" si="11">IF(N(INDIRECT(ADDRESS(ROW() + $A$9-6 + (ROW()-11)*4,1,1,1,"Internet")))&gt;0,INDIRECT(ADDRESS(ROW() + $A$9-6 + (ROW()-11)*4,1,1,1,"Internet")),"")</f>
        <v/>
      </c>
      <c r="AB11" s="148" t="str">
        <f ca="1">IF(N(AA11)&gt;0,VLOOKUP(AA11,Hraci!$A$1:$I$1000,2,0)," ")</f>
        <v xml:space="preserve"> </v>
      </c>
      <c r="AC11" s="149" t="str">
        <f ca="1">IF(N(AA11)&gt;0,VLOOKUP(AA11,Hraci!$A$1:$I$1000,3,0)," ")</f>
        <v xml:space="preserve"> </v>
      </c>
      <c r="AD11" s="149" t="str">
        <f ca="1">IF(N(AA11)&gt;0,VLOOKUP(AA11,Hraci!$A$1:$I$1000,5,0)," ")</f>
        <v xml:space="preserve"> </v>
      </c>
      <c r="AE11" s="149">
        <f ca="1">IF(N(AA11)=0,9999,VLOOKUP(AA11,Hraci!$A$1:$I$1000,8,0))</f>
        <v>9999</v>
      </c>
      <c r="AF11" s="150">
        <f ca="1">IF(N(AA11)=0,0,VLOOKUP(AA11,Hraci!$A$1:$I$1000,9,0))</f>
        <v>0</v>
      </c>
      <c r="AG11" s="147"/>
      <c r="AH11" s="151">
        <v>15</v>
      </c>
      <c r="AI11" s="152" t="e">
        <f ca="1">IF(N($AH11)&gt;0,VLOOKUP($AH11,Body!$A$4:$F$259,5,0),"")</f>
        <v>#REF!</v>
      </c>
      <c r="AJ11" s="153">
        <f ca="1">IF(N($AH11)&gt;0,VLOOKUP($AH11,Body!$A$4:$F$259,6,0),"")</f>
        <v>0</v>
      </c>
      <c r="AK11" s="152">
        <f ca="1">IF(N($AH11)&gt;0,VLOOKUP($AH11,Body!$A$4:$F$259,2,0),"")</f>
        <v>0.125</v>
      </c>
      <c r="AL11" s="154" t="str">
        <f t="shared" ref="AL11:AL42" ca="1" si="12">IF(N(H11)&gt;$K$7,"",CONCATENATE(IF($U$8="","",H11&amp;" "),L11,IF(L11="",""," - "),J11," ",K11))</f>
        <v>SKP Kulová osma - Chmelař Ivo</v>
      </c>
      <c r="AM11" s="155">
        <f t="shared" ref="AM11:AM42" ca="1" si="13">C11</f>
        <v>80.689000000000007</v>
      </c>
      <c r="AN11" s="72">
        <f ca="1">IF(OR(TYPE(I11)&gt;1,TYPE(MATCH(I11,I12:I$203,0))&gt;1),0,MATCH(I11,I12:I$203,0))+IF(OR(TYPE(I11)&gt;1,TYPE(MATCH(I11,O$11:O$203,0))&gt;1),0,MATCH(I11,O$11:O$203,0))+IF(OR(TYPE(I11)&gt;1,TYPE(MATCH(I11,U$11:U$203,0))&gt;1),0,MATCH(I11,U$11:U$203,0))+IF(OR(TYPE(I11)&gt;1,TYPE(MATCH(I11,AA$11:AA$203,0))&gt;1),0,MATCH(I11,AA$11:AA$203,0))</f>
        <v>0</v>
      </c>
      <c r="AO11" s="72">
        <f ca="1">IF(OR(TYPE(O11)&gt;1,TYPE(MATCH(O11,I$11:I$203,0))&gt;1),0,MATCH(O11,I$11:I$203,0))+IF(OR(TYPE(O11)&gt;1,TYPE(MATCH(O11,O12:O$203,0))&gt;1),0,MATCH(O11,O12:O$203,0))+IF(OR(TYPE(O11)&gt;1,TYPE(MATCH(O11,U$11:U$203,0))&gt;1),0,MATCH(O11,U$11:U$203,0))+IF(OR(TYPE(O11)&gt;1,TYPE(MATCH(O11,AA$11:AA$203,0))&gt;1),0,MATCH(O11,AA$11:AA$203,0))</f>
        <v>0</v>
      </c>
      <c r="AP11" s="72">
        <f ca="1">IF(OR(TYPE(U11)&gt;1,TYPE(MATCH(U11,I$11:I$203,0))&gt;1),0,MATCH(U11,I$11:I$203,0))+IF(OR(TYPE(U11)&gt;1,TYPE(MATCH(U11,O$11:O$203,0))&gt;1),0,MATCH(U11,O$11:O$203,0))+IF(OR(TYPE(U11)&gt;1,TYPE(MATCH(U11,U12:U$203,0))&gt;1),0,MATCH(U11,U12:U$203,0))+IF(OR(TYPE(U11)&gt;1,TYPE(MATCH(U11,AA$11:AA$203,0))&gt;1),0,MATCH(U11,AA$11:AA$203,0))</f>
        <v>0</v>
      </c>
      <c r="AQ11" s="72">
        <f ca="1">IF(OR(TYPE(AA11)&gt;1,TYPE(MATCH(AA11,I$11:I$203,0))&gt;1),0,MATCH(AA11,I$11:I$203,0))+IF(OR(TYPE(AA11)&gt;1,TYPE(MATCH(AA11,O$11:O$203,0))&gt;1),0,MATCH(AA11,O$11:O$203,0))+IF(OR(TYPE(AA11)&gt;1,TYPE(MATCH(AA11,U$11:U$203,0))&gt;1),0,MATCH(U11,U$11:U$203,0))+IF(OR(TYPE(AA11)&gt;1,TYPE(MATCH(AA11,AA12:AA$203,0))&gt;1),0,MATCH(AA11,AA12:AA$203,0))</f>
        <v>0</v>
      </c>
      <c r="AR11" s="72">
        <f t="shared" ref="AR11:AR42" ca="1" si="14">SUM(AN11:AQ11)</f>
        <v>0</v>
      </c>
    </row>
    <row r="12" spans="1:44" ht="14.25">
      <c r="A12" s="103">
        <f t="shared" ca="1" si="0"/>
        <v>3</v>
      </c>
      <c r="B12" s="103">
        <f t="shared" ca="1" si="1"/>
        <v>1</v>
      </c>
      <c r="C12" s="156">
        <f t="shared" ca="1" si="2"/>
        <v>78.972000000000008</v>
      </c>
      <c r="D12" s="103">
        <f t="shared" ca="1" si="3"/>
        <v>241</v>
      </c>
      <c r="E12" s="103">
        <f t="shared" ca="1" si="4"/>
        <v>68</v>
      </c>
      <c r="F12" s="104" t="str">
        <f t="shared" ca="1" si="5"/>
        <v>91078972999758999931752427</v>
      </c>
      <c r="G12" s="145">
        <f t="shared" ca="1" si="6"/>
        <v>0</v>
      </c>
      <c r="H12" s="146">
        <f t="shared" si="7"/>
        <v>2</v>
      </c>
      <c r="I12" s="147">
        <f t="shared" ca="1" si="8"/>
        <v>13005</v>
      </c>
      <c r="J12" s="148" t="str">
        <f ca="1">IF(N(I12)&gt;0,VLOOKUP(I12,Hraci!$A$1:$I$1000,2,0),IF(TYPE(INDIRECT(ADDRESS(ROW() + $A$9-9 + (ROW()-11)*4,2,1,1,"Internet")))&gt;1,INDIRECT(ADDRESS(ROW() + $A$9-9 + (ROW()-11)*4,2,1,1,"Internet"))," "))</f>
        <v>Bureš</v>
      </c>
      <c r="K12" s="149" t="str">
        <f ca="1">IF(N(I12)&gt;0,VLOOKUP(I12,Hraci!$A$1:$I$1000,3,0)," ")</f>
        <v>Pavel st.</v>
      </c>
      <c r="L12" s="149" t="str">
        <f ca="1">IF(N(I12)&gt;0,VLOOKUP(I12,Hraci!$A$1:$I$1000,5,0),IF(TYPE(INDIRECT(ADDRESS(ROW() + $A$9-9 + (ROW()-11)*4,3,1,1,"Internet")))&gt;1,INDIRECT(ADDRESS(ROW() + $A$9-9 + (ROW()-11)*4,3,1,1,"Internet"))," "))</f>
        <v>HAPEK</v>
      </c>
      <c r="M12" s="149">
        <f ca="1">IF(N(I12)=0,9999,VLOOKUP(I12,Hraci!$A$1:$I$1000,8,0))</f>
        <v>68</v>
      </c>
      <c r="N12" s="150">
        <f ca="1">IF(N(I12)=0,0,VLOOKUP(I12,Hraci!$A$1:$I$1000,9,0))</f>
        <v>31.375</v>
      </c>
      <c r="O12" s="147">
        <f t="shared" ca="1" si="9"/>
        <v>28055</v>
      </c>
      <c r="P12" s="148" t="str">
        <f ca="1">IF(N(O12)&gt;0,VLOOKUP(O12,Hraci!$A$1:$I$1000,2,0),IF(TYPE(INDIRECT(ADDRESS(ROW() + $A$9-8 + (ROW()-11)*4,2,1,1,"Internet")))&gt;1,INDIRECT(ADDRESS(ROW() + $A$9-8 + (ROW()-11)*4,2,1,1,"Internet"))," "))</f>
        <v>Svobodová</v>
      </c>
      <c r="Q12" s="149" t="str">
        <f ca="1">IF(N(O12)&gt;0,VLOOKUP(O12,Hraci!$A$1:$I$1000,3,0)," ")</f>
        <v>Lenka</v>
      </c>
      <c r="R12" s="149" t="str">
        <f ca="1">IF(N(O12)&gt;0,VLOOKUP(O12,Hraci!$A$1:$I$1000,5,0),IF(TYPE(INDIRECT(ADDRESS(ROW() + $A$9-8 + (ROW()-11)*4,3,1,1,"Internet")))&gt;1,INDIRECT(ADDRESS(ROW() + $A$9-8 + (ROW()-11)*4,3,1,1,"Internet"))," "))</f>
        <v>SKP Hranice VI-Valšovice</v>
      </c>
      <c r="S12" s="149">
        <f ca="1">IF(N(O12)=0,9999,VLOOKUP(O12,Hraci!$A$1:$I$1000,8,0))</f>
        <v>69</v>
      </c>
      <c r="T12" s="150">
        <f ca="1">IF(N(O12)=0,0,VLOOKUP(O12,Hraci!$A$1:$I$1000,9,0))</f>
        <v>25.314</v>
      </c>
      <c r="U12" s="147">
        <f t="shared" ca="1" si="10"/>
        <v>25054</v>
      </c>
      <c r="V12" s="148" t="str">
        <f ca="1">IF(N(U12)&gt;0,VLOOKUP(U12,Hraci!$A$1:$I$1000,2,0),IF(TYPE(INDIRECT(ADDRESS(ROW() + $A$9-7 + (ROW()-11)*4,2,1,1,"Internet")))&gt;1,INDIRECT(ADDRESS(ROW() + $A$9-7 + (ROW()-11)*4,2,1,1,"Internet"))," "))</f>
        <v>Gratcl</v>
      </c>
      <c r="W12" s="149" t="str">
        <f ca="1">IF(N(U12)&gt;0,VLOOKUP(U12,Hraci!$A$1:$I$1000,3,0)," ")</f>
        <v>Jiří</v>
      </c>
      <c r="X12" s="149" t="str">
        <f ca="1">IF(N(U12)&gt;0,VLOOKUP(U12,Hraci!$A$1:$I$1000,5,0),IF(TYPE(INDIRECT(ADDRESS(ROW() + $A$9-7 + (ROW()-11)*4,3,1,1,"Internet")))&gt;1,INDIRECT(ADDRESS(ROW() + $A$9-7 + (ROW()-11)*4,3,1,1,"Internet"))," "))</f>
        <v>SKP Hranice VI-Valšovice</v>
      </c>
      <c r="Y12" s="149">
        <f ca="1">IF(N(U12)=0,9999,VLOOKUP(U12,Hraci!$A$1:$I$1000,8,0))</f>
        <v>104</v>
      </c>
      <c r="Z12" s="150">
        <f ca="1">IF(N(U12)=0,0,VLOOKUP(U12,Hraci!$A$1:$I$1000,9,0))</f>
        <v>22.283000000000001</v>
      </c>
      <c r="AA12" s="147" t="str">
        <f t="shared" ca="1" si="11"/>
        <v/>
      </c>
      <c r="AB12" s="148" t="str">
        <f ca="1">IF(N(AA12)&gt;0,VLOOKUP(AA12,Hraci!$A$1:$I$1000,2,0)," ")</f>
        <v xml:space="preserve"> </v>
      </c>
      <c r="AC12" s="149" t="str">
        <f ca="1">IF(N(AA12)&gt;0,VLOOKUP(AA12,Hraci!$A$1:$I$1000,3,0)," ")</f>
        <v xml:space="preserve"> </v>
      </c>
      <c r="AD12" s="149" t="str">
        <f ca="1">IF(N(AA12)&gt;0,VLOOKUP(AA12,Hraci!$A$1:$I$1000,5,0)," ")</f>
        <v xml:space="preserve"> </v>
      </c>
      <c r="AE12" s="149">
        <f ca="1">IF(N(AA12)=0,9999,VLOOKUP(AA12,Hraci!$A$1:$I$1000,8,0))</f>
        <v>9999</v>
      </c>
      <c r="AF12" s="150">
        <f ca="1">IF(N(AA12)=0,0,VLOOKUP(AA12,Hraci!$A$1:$I$1000,9,0))</f>
        <v>0</v>
      </c>
      <c r="AG12" s="147"/>
      <c r="AH12" s="151">
        <v>1</v>
      </c>
      <c r="AI12" s="152" t="e">
        <f ca="1">IF(N($AH12)&gt;0,VLOOKUP($AH12,Body!$A$4:$F$259,5,0),"")</f>
        <v>#REF!</v>
      </c>
      <c r="AJ12" s="153">
        <f ca="1">IF(N($AH12)&gt;0,VLOOKUP($AH12,Body!$A$4:$F$259,6,0),"")</f>
        <v>0</v>
      </c>
      <c r="AK12" s="152">
        <f ca="1">IF(N($AH12)&gt;0,VLOOKUP($AH12,Body!$A$4:$F$259,2,0),"")</f>
        <v>4</v>
      </c>
      <c r="AL12" s="154" t="str">
        <f t="shared" ca="1" si="12"/>
        <v>HAPEK - Bureš Pavel st.</v>
      </c>
      <c r="AM12" s="155">
        <f t="shared" ca="1" si="13"/>
        <v>78.972000000000008</v>
      </c>
      <c r="AN12" s="72">
        <f ca="1">IF(OR(TYPE(I12)&gt;1,TYPE(MATCH(I12,I13:I$203,0))&gt;1),0,MATCH(I12,I13:I$203,0))+IF(OR(TYPE(I12)&gt;1,TYPE(MATCH(I12,O$11:O$203,0))&gt;1),0,MATCH(I12,O$11:O$203,0))+IF(OR(TYPE(I12)&gt;1,TYPE(MATCH(I12,U$11:U$203,0))&gt;1),0,MATCH(I12,U$11:U$203,0))+IF(OR(TYPE(I12)&gt;1,TYPE(MATCH(I12,AA$11:AA$203,0))&gt;1),0,MATCH(I12,AA$11:AA$203,0))</f>
        <v>0</v>
      </c>
      <c r="AO12" s="72">
        <f ca="1">IF(OR(TYPE(O12)&gt;1,TYPE(MATCH(O12,I$11:I$203,0))&gt;1),0,MATCH(O12,I$11:I$203,0))+IF(OR(TYPE(O12)&gt;1,TYPE(MATCH(O12,O13:O$203,0))&gt;1),0,MATCH(O12,O13:O$203,0))+IF(OR(TYPE(O12)&gt;1,TYPE(MATCH(O12,U$11:U$203,0))&gt;1),0,MATCH(O12,U$11:U$203,0))+IF(OR(TYPE(O12)&gt;1,TYPE(MATCH(O12,AA$11:AA$203,0))&gt;1),0,MATCH(O12,AA$11:AA$203,0))</f>
        <v>0</v>
      </c>
      <c r="AP12" s="72">
        <f ca="1">IF(OR(TYPE(U12)&gt;1,TYPE(MATCH(U12,I$11:I$203,0))&gt;1),0,MATCH(U12,I$11:I$203,0))+IF(OR(TYPE(U12)&gt;1,TYPE(MATCH(U12,O$11:O$203,0))&gt;1),0,MATCH(U12,O$11:O$203,0))+IF(OR(TYPE(U12)&gt;1,TYPE(MATCH(U12,U13:U$203,0))&gt;1),0,MATCH(U12,U13:U$203,0))+IF(OR(TYPE(U12)&gt;1,TYPE(MATCH(U12,AA$11:AA$203,0))&gt;1),0,MATCH(U12,AA$11:AA$203,0))</f>
        <v>0</v>
      </c>
      <c r="AQ12" s="72">
        <f ca="1">IF(OR(TYPE(AA12)&gt;1,TYPE(MATCH(AA12,I$11:I$203,0))&gt;1),0,MATCH(AA12,I$11:I$203,0))+IF(OR(TYPE(AA12)&gt;1,TYPE(MATCH(AA12,O$11:O$203,0))&gt;1),0,MATCH(AA12,O$11:O$203,0))+IF(OR(TYPE(AA12)&gt;1,TYPE(MATCH(AA12,U$11:U$203,0))&gt;1),0,MATCH(U12,U$11:U$203,0))+IF(OR(TYPE(AA12)&gt;1,TYPE(MATCH(AA12,AA13:AA$203,0))&gt;1),0,MATCH(AA12,AA13:AA$203,0))</f>
        <v>0</v>
      </c>
      <c r="AR12" s="72">
        <f t="shared" ca="1" si="14"/>
        <v>0</v>
      </c>
    </row>
    <row r="13" spans="1:44" ht="14.25">
      <c r="A13" s="103">
        <f t="shared" ca="1" si="0"/>
        <v>3</v>
      </c>
      <c r="B13" s="103">
        <f t="shared" ca="1" si="1"/>
        <v>1</v>
      </c>
      <c r="C13" s="156">
        <f t="shared" ca="1" si="2"/>
        <v>77.343999999999994</v>
      </c>
      <c r="D13" s="103">
        <f t="shared" ca="1" si="3"/>
        <v>425</v>
      </c>
      <c r="E13" s="103">
        <f t="shared" ca="1" si="4"/>
        <v>63</v>
      </c>
      <c r="F13" s="104" t="str">
        <f t="shared" ca="1" si="5"/>
        <v>91077344999574999936829850</v>
      </c>
      <c r="G13" s="145">
        <f t="shared" ca="1" si="6"/>
        <v>0</v>
      </c>
      <c r="H13" s="146">
        <f t="shared" si="7"/>
        <v>3</v>
      </c>
      <c r="I13" s="147">
        <f t="shared" ca="1" si="8"/>
        <v>15001</v>
      </c>
      <c r="J13" s="148" t="str">
        <f ca="1">IF(N(I13)&gt;0,VLOOKUP(I13,Hraci!$A$1:$I$1000,2,0),IF(TYPE(INDIRECT(ADDRESS(ROW() + $A$9-9 + (ROW()-11)*4,2,1,1,"Internet")))&gt;1,INDIRECT(ADDRESS(ROW() + $A$9-9 + (ROW()-11)*4,2,1,1,"Internet"))," "))</f>
        <v>Ulmann</v>
      </c>
      <c r="K13" s="149" t="str">
        <f ca="1">IF(N(I13)&gt;0,VLOOKUP(I13,Hraci!$A$1:$I$1000,3,0)," ")</f>
        <v>Jiří</v>
      </c>
      <c r="L13" s="149" t="str">
        <f ca="1">IF(N(I13)&gt;0,VLOOKUP(I13,Hraci!$A$1:$I$1000,5,0),IF(TYPE(INDIRECT(ADDRESS(ROW() + $A$9-9 + (ROW()-11)*4,3,1,1,"Internet")))&gt;1,INDIRECT(ADDRESS(ROW() + $A$9-9 + (ROW()-11)*4,3,1,1,"Internet"))," "))</f>
        <v>TOP - ORLOVÁ</v>
      </c>
      <c r="M13" s="149">
        <f ca="1">IF(N(I13)=0,9999,VLOOKUP(I13,Hraci!$A$1:$I$1000,8,0))</f>
        <v>63</v>
      </c>
      <c r="N13" s="150">
        <f ca="1">IF(N(I13)=0,0,VLOOKUP(I13,Hraci!$A$1:$I$1000,9,0))</f>
        <v>32.625</v>
      </c>
      <c r="O13" s="147">
        <f t="shared" ca="1" si="9"/>
        <v>10058</v>
      </c>
      <c r="P13" s="148" t="str">
        <f ca="1">IF(N(O13)&gt;0,VLOOKUP(O13,Hraci!$A$1:$I$1000,2,0),IF(TYPE(INDIRECT(ADDRESS(ROW() + $A$9-8 + (ROW()-11)*4,2,1,1,"Internet")))&gt;1,INDIRECT(ADDRESS(ROW() + $A$9-8 + (ROW()-11)*4,2,1,1,"Internet"))," "))</f>
        <v>Olšár</v>
      </c>
      <c r="Q13" s="149" t="str">
        <f ca="1">IF(N(O13)&gt;0,VLOOKUP(O13,Hraci!$A$1:$I$1000,3,0)," ")</f>
        <v>Marek</v>
      </c>
      <c r="R13" s="149" t="str">
        <f ca="1">IF(N(O13)&gt;0,VLOOKUP(O13,Hraci!$A$1:$I$1000,5,0),IF(TYPE(INDIRECT(ADDRESS(ROW() + $A$9-8 + (ROW()-11)*4,3,1,1,"Internet")))&gt;1,INDIRECT(ADDRESS(ROW() + $A$9-8 + (ROW()-11)*4,3,1,1,"Internet"))," "))</f>
        <v>TOP - ORLOVÁ</v>
      </c>
      <c r="S13" s="149">
        <f ca="1">IF(N(O13)=0,9999,VLOOKUP(O13,Hraci!$A$1:$I$1000,8,0))</f>
        <v>186</v>
      </c>
      <c r="T13" s="150">
        <f ca="1">IF(N(O13)=0,0,VLOOKUP(O13,Hraci!$A$1:$I$1000,9,0))</f>
        <v>18.844000000000001</v>
      </c>
      <c r="U13" s="147">
        <f t="shared" ca="1" si="10"/>
        <v>98307</v>
      </c>
      <c r="V13" s="148" t="str">
        <f ca="1">IF(N(U13)&gt;0,VLOOKUP(U13,Hraci!$A$1:$I$1000,2,0),IF(TYPE(INDIRECT(ADDRESS(ROW() + $A$9-7 + (ROW()-11)*4,2,1,1,"Internet")))&gt;1,INDIRECT(ADDRESS(ROW() + $A$9-7 + (ROW()-11)*4,2,1,1,"Internet"))," "))</f>
        <v>Jurišta</v>
      </c>
      <c r="W13" s="149" t="str">
        <f ca="1">IF(N(U13)&gt;0,VLOOKUP(U13,Hraci!$A$1:$I$1000,3,0)," ")</f>
        <v>Kamil</v>
      </c>
      <c r="X13" s="149" t="str">
        <f ca="1">IF(N(U13)&gt;0,VLOOKUP(U13,Hraci!$A$1:$I$1000,5,0),IF(TYPE(INDIRECT(ADDRESS(ROW() + $A$9-7 + (ROW()-11)*4,3,1,1,"Internet")))&gt;1,INDIRECT(ADDRESS(ROW() + $A$9-7 + (ROW()-11)*4,3,1,1,"Internet"))," "))</f>
        <v>TOP - ORLOVÁ</v>
      </c>
      <c r="Y13" s="149">
        <f ca="1">IF(N(U13)=0,9999,VLOOKUP(U13,Hraci!$A$1:$I$1000,8,0))</f>
        <v>176</v>
      </c>
      <c r="Z13" s="150">
        <f ca="1">IF(N(U13)=0,0,VLOOKUP(U13,Hraci!$A$1:$I$1000,9,0))</f>
        <v>25.875</v>
      </c>
      <c r="AA13" s="147" t="str">
        <f t="shared" ca="1" si="11"/>
        <v/>
      </c>
      <c r="AB13" s="148" t="str">
        <f ca="1">IF(N(AA13)&gt;0,VLOOKUP(AA13,Hraci!$A$1:$I$1000,2,0)," ")</f>
        <v xml:space="preserve"> </v>
      </c>
      <c r="AC13" s="149" t="str">
        <f ca="1">IF(N(AA13)&gt;0,VLOOKUP(AA13,Hraci!$A$1:$I$1000,3,0)," ")</f>
        <v xml:space="preserve"> </v>
      </c>
      <c r="AD13" s="149" t="str">
        <f ca="1">IF(N(AA13)&gt;0,VLOOKUP(AA13,Hraci!$A$1:$I$1000,5,0)," ")</f>
        <v xml:space="preserve"> </v>
      </c>
      <c r="AE13" s="149">
        <f ca="1">IF(N(AA13)=0,9999,VLOOKUP(AA13,Hraci!$A$1:$I$1000,8,0))</f>
        <v>9999</v>
      </c>
      <c r="AF13" s="150">
        <f ca="1">IF(N(AA13)=0,0,VLOOKUP(AA13,Hraci!$A$1:$I$1000,9,0))</f>
        <v>0</v>
      </c>
      <c r="AG13" s="147"/>
      <c r="AH13" s="151">
        <v>5</v>
      </c>
      <c r="AI13" s="152" t="e">
        <f ca="1">IF(N($AH13)&gt;0,VLOOKUP($AH13,Body!$A$4:$F$259,5,0),"")</f>
        <v>#REF!</v>
      </c>
      <c r="AJ13" s="153">
        <f ca="1">IF(N($AH13)&gt;0,VLOOKUP($AH13,Body!$A$4:$F$259,6,0),"")</f>
        <v>0</v>
      </c>
      <c r="AK13" s="152">
        <f ca="1">IF(N($AH13)&gt;0,VLOOKUP($AH13,Body!$A$4:$F$259,2,0),"")</f>
        <v>1.75</v>
      </c>
      <c r="AL13" s="154" t="str">
        <f t="shared" ca="1" si="12"/>
        <v>TOP - ORLOVÁ - Ulmann Jiří</v>
      </c>
      <c r="AM13" s="155">
        <f t="shared" ca="1" si="13"/>
        <v>77.343999999999994</v>
      </c>
      <c r="AN13" s="72">
        <f ca="1">IF(OR(TYPE(I13)&gt;1,TYPE(MATCH(I13,I14:I$203,0))&gt;1),0,MATCH(I13,I14:I$203,0))+IF(OR(TYPE(I13)&gt;1,TYPE(MATCH(I13,O$11:O$203,0))&gt;1),0,MATCH(I13,O$11:O$203,0))+IF(OR(TYPE(I13)&gt;1,TYPE(MATCH(I13,U$11:U$203,0))&gt;1),0,MATCH(I13,U$11:U$203,0))+IF(OR(TYPE(I13)&gt;1,TYPE(MATCH(I13,AA$11:AA$203,0))&gt;1),0,MATCH(I13,AA$11:AA$203,0))</f>
        <v>0</v>
      </c>
      <c r="AO13" s="72">
        <f ca="1">IF(OR(TYPE(O13)&gt;1,TYPE(MATCH(O13,I$11:I$203,0))&gt;1),0,MATCH(O13,I$11:I$203,0))+IF(OR(TYPE(O13)&gt;1,TYPE(MATCH(O13,O14:O$203,0))&gt;1),0,MATCH(O13,O14:O$203,0))+IF(OR(TYPE(O13)&gt;1,TYPE(MATCH(O13,U$11:U$203,0))&gt;1),0,MATCH(O13,U$11:U$203,0))+IF(OR(TYPE(O13)&gt;1,TYPE(MATCH(O13,AA$11:AA$203,0))&gt;1),0,MATCH(O13,AA$11:AA$203,0))</f>
        <v>0</v>
      </c>
      <c r="AP13" s="72">
        <f ca="1">IF(OR(TYPE(U13)&gt;1,TYPE(MATCH(U13,I$11:I$203,0))&gt;1),0,MATCH(U13,I$11:I$203,0))+IF(OR(TYPE(U13)&gt;1,TYPE(MATCH(U13,O$11:O$203,0))&gt;1),0,MATCH(U13,O$11:O$203,0))+IF(OR(TYPE(U13)&gt;1,TYPE(MATCH(U13,U14:U$203,0))&gt;1),0,MATCH(U13,U14:U$203,0))+IF(OR(TYPE(U13)&gt;1,TYPE(MATCH(U13,AA$11:AA$203,0))&gt;1),0,MATCH(U13,AA$11:AA$203,0))</f>
        <v>0</v>
      </c>
      <c r="AQ13" s="72">
        <f ca="1">IF(OR(TYPE(AA13)&gt;1,TYPE(MATCH(AA13,I$11:I$203,0))&gt;1),0,MATCH(AA13,I$11:I$203,0))+IF(OR(TYPE(AA13)&gt;1,TYPE(MATCH(AA13,O$11:O$203,0))&gt;1),0,MATCH(AA13,O$11:O$203,0))+IF(OR(TYPE(AA13)&gt;1,TYPE(MATCH(AA13,U$11:U$203,0))&gt;1),0,MATCH(U13,U$11:U$203,0))+IF(OR(TYPE(AA13)&gt;1,TYPE(MATCH(AA13,AA14:AA$203,0))&gt;1),0,MATCH(AA13,AA14:AA$203,0))</f>
        <v>0</v>
      </c>
      <c r="AR13" s="72">
        <f t="shared" ca="1" si="14"/>
        <v>0</v>
      </c>
    </row>
    <row r="14" spans="1:44" ht="14.25">
      <c r="A14" s="103">
        <f t="shared" ca="1" si="0"/>
        <v>3</v>
      </c>
      <c r="B14" s="103">
        <f t="shared" ca="1" si="1"/>
        <v>1</v>
      </c>
      <c r="C14" s="156">
        <f t="shared" ca="1" si="2"/>
        <v>69.876999999999995</v>
      </c>
      <c r="D14" s="103">
        <f t="shared" ca="1" si="3"/>
        <v>473</v>
      </c>
      <c r="E14" s="103">
        <f t="shared" ca="1" si="4"/>
        <v>92</v>
      </c>
      <c r="F14" s="104" t="str">
        <f t="shared" ca="1" si="5"/>
        <v>91069877999526999907786758</v>
      </c>
      <c r="G14" s="145">
        <f t="shared" ca="1" si="6"/>
        <v>0</v>
      </c>
      <c r="H14" s="146">
        <f t="shared" si="7"/>
        <v>4</v>
      </c>
      <c r="I14" s="147">
        <f t="shared" ca="1" si="8"/>
        <v>16105</v>
      </c>
      <c r="J14" s="148" t="str">
        <f ca="1">IF(N(I14)&gt;0,VLOOKUP(I14,Hraci!$A$1:$I$1000,2,0),IF(TYPE(INDIRECT(ADDRESS(ROW() + $A$9-9 + (ROW()-11)*4,2,1,1,"Internet")))&gt;1,INDIRECT(ADDRESS(ROW() + $A$9-9 + (ROW()-11)*4,2,1,1,"Internet"))," "))</f>
        <v>Krpec</v>
      </c>
      <c r="K14" s="149" t="str">
        <f ca="1">IF(N(I14)&gt;0,VLOOKUP(I14,Hraci!$A$1:$I$1000,3,0)," ")</f>
        <v>František</v>
      </c>
      <c r="L14" s="149" t="str">
        <f ca="1">IF(N(I14)&gt;0,VLOOKUP(I14,Hraci!$A$1:$I$1000,5,0),IF(TYPE(INDIRECT(ADDRESS(ROW() + $A$9-9 + (ROW()-11)*4,3,1,1,"Internet")))&gt;1,INDIRECT(ADDRESS(ROW() + $A$9-9 + (ROW()-11)*4,3,1,1,"Internet"))," "))</f>
        <v>HRODE KRUMSÍN</v>
      </c>
      <c r="M14" s="149">
        <f ca="1">IF(N(I14)=0,9999,VLOOKUP(I14,Hraci!$A$1:$I$1000,8,0))</f>
        <v>92</v>
      </c>
      <c r="N14" s="150">
        <f ca="1">IF(N(I14)=0,0,VLOOKUP(I14,Hraci!$A$1:$I$1000,9,0))</f>
        <v>28.751000000000001</v>
      </c>
      <c r="O14" s="147">
        <f t="shared" ca="1" si="9"/>
        <v>16106</v>
      </c>
      <c r="P14" s="148" t="str">
        <f ca="1">IF(N(O14)&gt;0,VLOOKUP(O14,Hraci!$A$1:$I$1000,2,0),IF(TYPE(INDIRECT(ADDRESS(ROW() + $A$9-8 + (ROW()-11)*4,2,1,1,"Internet")))&gt;1,INDIRECT(ADDRESS(ROW() + $A$9-8 + (ROW()-11)*4,2,1,1,"Internet"))," "))</f>
        <v>Konšel</v>
      </c>
      <c r="Q14" s="149" t="str">
        <f ca="1">IF(N(O14)&gt;0,VLOOKUP(O14,Hraci!$A$1:$I$1000,3,0)," ")</f>
        <v>Robin</v>
      </c>
      <c r="R14" s="149" t="str">
        <f ca="1">IF(N(O14)&gt;0,VLOOKUP(O14,Hraci!$A$1:$I$1000,5,0),IF(TYPE(INDIRECT(ADDRESS(ROW() + $A$9-8 + (ROW()-11)*4,3,1,1,"Internet")))&gt;1,INDIRECT(ADDRESS(ROW() + $A$9-8 + (ROW()-11)*4,3,1,1,"Internet"))," "))</f>
        <v>HRODE KRUMSÍN</v>
      </c>
      <c r="S14" s="149">
        <f ca="1">IF(N(O14)=0,9999,VLOOKUP(O14,Hraci!$A$1:$I$1000,8,0))</f>
        <v>100</v>
      </c>
      <c r="T14" s="150">
        <f ca="1">IF(N(O14)=0,0,VLOOKUP(O14,Hraci!$A$1:$I$1000,9,0))</f>
        <v>31.312999999999999</v>
      </c>
      <c r="U14" s="147">
        <f t="shared" ca="1" si="10"/>
        <v>17035</v>
      </c>
      <c r="V14" s="148" t="str">
        <f ca="1">IF(N(U14)&gt;0,VLOOKUP(U14,Hraci!$A$1:$I$1000,2,0),IF(TYPE(INDIRECT(ADDRESS(ROW() + $A$9-7 + (ROW()-11)*4,2,1,1,"Internet")))&gt;1,INDIRECT(ADDRESS(ROW() + $A$9-7 + (ROW()-11)*4,2,1,1,"Internet"))," "))</f>
        <v>Konšelová</v>
      </c>
      <c r="W14" s="149" t="str">
        <f ca="1">IF(N(U14)&gt;0,VLOOKUP(U14,Hraci!$A$1:$I$1000,3,0)," ")</f>
        <v>Lenka</v>
      </c>
      <c r="X14" s="149" t="str">
        <f ca="1">IF(N(U14)&gt;0,VLOOKUP(U14,Hraci!$A$1:$I$1000,5,0),IF(TYPE(INDIRECT(ADDRESS(ROW() + $A$9-7 + (ROW()-11)*4,3,1,1,"Internet")))&gt;1,INDIRECT(ADDRESS(ROW() + $A$9-7 + (ROW()-11)*4,3,1,1,"Internet"))," "))</f>
        <v>HAPEK</v>
      </c>
      <c r="Y14" s="149">
        <f ca="1">IF(N(U14)=0,9999,VLOOKUP(U14,Hraci!$A$1:$I$1000,8,0))</f>
        <v>281</v>
      </c>
      <c r="Z14" s="150">
        <f ca="1">IF(N(U14)=0,0,VLOOKUP(U14,Hraci!$A$1:$I$1000,9,0))</f>
        <v>9.8130000000000006</v>
      </c>
      <c r="AA14" s="147" t="str">
        <f t="shared" ca="1" si="11"/>
        <v/>
      </c>
      <c r="AB14" s="148" t="str">
        <f ca="1">IF(N(AA14)&gt;0,VLOOKUP(AA14,Hraci!$A$1:$I$1000,2,0)," ")</f>
        <v xml:space="preserve"> </v>
      </c>
      <c r="AC14" s="149" t="str">
        <f ca="1">IF(N(AA14)&gt;0,VLOOKUP(AA14,Hraci!$A$1:$I$1000,3,0)," ")</f>
        <v xml:space="preserve"> </v>
      </c>
      <c r="AD14" s="149" t="str">
        <f ca="1">IF(N(AA14)&gt;0,VLOOKUP(AA14,Hraci!$A$1:$I$1000,5,0)," ")</f>
        <v xml:space="preserve"> </v>
      </c>
      <c r="AE14" s="149">
        <f ca="1">IF(N(AA14)=0,9999,VLOOKUP(AA14,Hraci!$A$1:$I$1000,8,0))</f>
        <v>9999</v>
      </c>
      <c r="AF14" s="150">
        <f ca="1">IF(N(AA14)=0,0,VLOOKUP(AA14,Hraci!$A$1:$I$1000,9,0))</f>
        <v>0</v>
      </c>
      <c r="AG14" s="147"/>
      <c r="AH14" s="151">
        <v>11</v>
      </c>
      <c r="AI14" s="152" t="e">
        <f ca="1">IF(N($AH14)&gt;0,VLOOKUP($AH14,Body!$A$4:$F$259,5,0),"")</f>
        <v>#REF!</v>
      </c>
      <c r="AJ14" s="153">
        <f ca="1">IF(N($AH14)&gt;0,VLOOKUP($AH14,Body!$A$4:$F$259,6,0),"")</f>
        <v>0</v>
      </c>
      <c r="AK14" s="152">
        <f ca="1">IF(N($AH14)&gt;0,VLOOKUP($AH14,Body!$A$4:$F$259,2,0),"")</f>
        <v>0.625</v>
      </c>
      <c r="AL14" s="154" t="str">
        <f t="shared" ca="1" si="12"/>
        <v>HRODE KRUMSÍN - Krpec František</v>
      </c>
      <c r="AM14" s="155">
        <f t="shared" ca="1" si="13"/>
        <v>69.876999999999995</v>
      </c>
      <c r="AN14" s="72">
        <f ca="1">IF(OR(TYPE(I14)&gt;1,TYPE(MATCH(I14,I15:I$203,0))&gt;1),0,MATCH(I14,I15:I$203,0))+IF(OR(TYPE(I14)&gt;1,TYPE(MATCH(I14,O$11:O$203,0))&gt;1),0,MATCH(I14,O$11:O$203,0))+IF(OR(TYPE(I14)&gt;1,TYPE(MATCH(I14,U$11:U$203,0))&gt;1),0,MATCH(I14,U$11:U$203,0))+IF(OR(TYPE(I14)&gt;1,TYPE(MATCH(I14,AA$11:AA$203,0))&gt;1),0,MATCH(I14,AA$11:AA$203,0))</f>
        <v>0</v>
      </c>
      <c r="AO14" s="72">
        <f ca="1">IF(OR(TYPE(O14)&gt;1,TYPE(MATCH(O14,I$11:I$203,0))&gt;1),0,MATCH(O14,I$11:I$203,0))+IF(OR(TYPE(O14)&gt;1,TYPE(MATCH(O14,O15:O$203,0))&gt;1),0,MATCH(O14,O15:O$203,0))+IF(OR(TYPE(O14)&gt;1,TYPE(MATCH(O14,U$11:U$203,0))&gt;1),0,MATCH(O14,U$11:U$203,0))+IF(OR(TYPE(O14)&gt;1,TYPE(MATCH(O14,AA$11:AA$203,0))&gt;1),0,MATCH(O14,AA$11:AA$203,0))</f>
        <v>0</v>
      </c>
      <c r="AP14" s="72">
        <f ca="1">IF(OR(TYPE(U14)&gt;1,TYPE(MATCH(U14,I$11:I$203,0))&gt;1),0,MATCH(U14,I$11:I$203,0))+IF(OR(TYPE(U14)&gt;1,TYPE(MATCH(U14,O$11:O$203,0))&gt;1),0,MATCH(U14,O$11:O$203,0))+IF(OR(TYPE(U14)&gt;1,TYPE(MATCH(U14,U15:U$203,0))&gt;1),0,MATCH(U14,U15:U$203,0))+IF(OR(TYPE(U14)&gt;1,TYPE(MATCH(U14,AA$11:AA$203,0))&gt;1),0,MATCH(U14,AA$11:AA$203,0))</f>
        <v>0</v>
      </c>
      <c r="AQ14" s="72">
        <f ca="1">IF(OR(TYPE(AA14)&gt;1,TYPE(MATCH(AA14,I$11:I$203,0))&gt;1),0,MATCH(AA14,I$11:I$203,0))+IF(OR(TYPE(AA14)&gt;1,TYPE(MATCH(AA14,O$11:O$203,0))&gt;1),0,MATCH(AA14,O$11:O$203,0))+IF(OR(TYPE(AA14)&gt;1,TYPE(MATCH(AA14,U$11:U$203,0))&gt;1),0,MATCH(U14,U$11:U$203,0))+IF(OR(TYPE(AA14)&gt;1,TYPE(MATCH(AA14,AA15:AA$203,0))&gt;1),0,MATCH(AA14,AA15:AA$203,0))</f>
        <v>0</v>
      </c>
      <c r="AR14" s="72">
        <f t="shared" ca="1" si="14"/>
        <v>0</v>
      </c>
    </row>
    <row r="15" spans="1:44" ht="14.25">
      <c r="A15" s="103">
        <f t="shared" ca="1" si="0"/>
        <v>3</v>
      </c>
      <c r="B15" s="103">
        <f t="shared" ca="1" si="1"/>
        <v>1</v>
      </c>
      <c r="C15" s="156">
        <f t="shared" ca="1" si="2"/>
        <v>54.909000000000006</v>
      </c>
      <c r="D15" s="103">
        <f t="shared" ca="1" si="3"/>
        <v>597</v>
      </c>
      <c r="E15" s="103">
        <f t="shared" ca="1" si="4"/>
        <v>178</v>
      </c>
      <c r="F15" s="104" t="str">
        <f t="shared" ca="1" si="5"/>
        <v>91054909999402999821360593</v>
      </c>
      <c r="G15" s="145">
        <f t="shared" ca="1" si="6"/>
        <v>0</v>
      </c>
      <c r="H15" s="146">
        <f t="shared" si="7"/>
        <v>5</v>
      </c>
      <c r="I15" s="147">
        <f t="shared" ca="1" si="8"/>
        <v>10139</v>
      </c>
      <c r="J15" s="148" t="str">
        <f ca="1">IF(N(I15)&gt;0,VLOOKUP(I15,Hraci!$A$1:$I$1000,2,0),IF(TYPE(INDIRECT(ADDRESS(ROW() + $A$9-9 + (ROW()-11)*4,2,1,1,"Internet")))&gt;1,INDIRECT(ADDRESS(ROW() + $A$9-9 + (ROW()-11)*4,2,1,1,"Internet"))," "))</f>
        <v>Karásek</v>
      </c>
      <c r="K15" s="149" t="str">
        <f ca="1">IF(N(I15)&gt;0,VLOOKUP(I15,Hraci!$A$1:$I$1000,3,0)," ")</f>
        <v>Jiří</v>
      </c>
      <c r="L15" s="149" t="str">
        <f ca="1">IF(N(I15)&gt;0,VLOOKUP(I15,Hraci!$A$1:$I$1000,5,0),IF(TYPE(INDIRECT(ADDRESS(ROW() + $A$9-9 + (ROW()-11)*4,3,1,1,"Internet")))&gt;1,INDIRECT(ADDRESS(ROW() + $A$9-9 + (ROW()-11)*4,3,1,1,"Internet"))," "))</f>
        <v>HRODE KRUMSÍN</v>
      </c>
      <c r="M15" s="149">
        <f ca="1">IF(N(I15)=0,9999,VLOOKUP(I15,Hraci!$A$1:$I$1000,8,0))</f>
        <v>178</v>
      </c>
      <c r="N15" s="150">
        <f ca="1">IF(N(I15)=0,0,VLOOKUP(I15,Hraci!$A$1:$I$1000,9,0))</f>
        <v>22.001000000000001</v>
      </c>
      <c r="O15" s="147">
        <f t="shared" ca="1" si="9"/>
        <v>12047</v>
      </c>
      <c r="P15" s="148" t="str">
        <f ca="1">IF(N(O15)&gt;0,VLOOKUP(O15,Hraci!$A$1:$I$1000,2,0),IF(TYPE(INDIRECT(ADDRESS(ROW() + $A$9-8 + (ROW()-11)*4,2,1,1,"Internet")))&gt;1,INDIRECT(ADDRESS(ROW() + $A$9-8 + (ROW()-11)*4,2,1,1,"Internet"))," "))</f>
        <v>Karásková</v>
      </c>
      <c r="Q15" s="149" t="str">
        <f ca="1">IF(N(O15)&gt;0,VLOOKUP(O15,Hraci!$A$1:$I$1000,3,0)," ")</f>
        <v>Františka</v>
      </c>
      <c r="R15" s="149" t="str">
        <f ca="1">IF(N(O15)&gt;0,VLOOKUP(O15,Hraci!$A$1:$I$1000,5,0),IF(TYPE(INDIRECT(ADDRESS(ROW() + $A$9-8 + (ROW()-11)*4,3,1,1,"Internet")))&gt;1,INDIRECT(ADDRESS(ROW() + $A$9-8 + (ROW()-11)*4,3,1,1,"Internet"))," "))</f>
        <v>HRODE KRUMSÍN</v>
      </c>
      <c r="S15" s="149">
        <f ca="1">IF(N(O15)=0,9999,VLOOKUP(O15,Hraci!$A$1:$I$1000,8,0))</f>
        <v>213</v>
      </c>
      <c r="T15" s="150">
        <f ca="1">IF(N(O15)=0,0,VLOOKUP(O15,Hraci!$A$1:$I$1000,9,0))</f>
        <v>18.876000000000001</v>
      </c>
      <c r="U15" s="147">
        <f t="shared" ca="1" si="10"/>
        <v>98304</v>
      </c>
      <c r="V15" s="148" t="str">
        <f ca="1">IF(N(U15)&gt;0,VLOOKUP(U15,Hraci!$A$1:$I$1000,2,0),IF(TYPE(INDIRECT(ADDRESS(ROW() + $A$9-7 + (ROW()-11)*4,2,1,1,"Internet")))&gt;1,INDIRECT(ADDRESS(ROW() + $A$9-7 + (ROW()-11)*4,2,1,1,"Internet"))," "))</f>
        <v>Urbanová</v>
      </c>
      <c r="W15" s="149" t="str">
        <f ca="1">IF(N(U15)&gt;0,VLOOKUP(U15,Hraci!$A$1:$I$1000,3,0)," ")</f>
        <v>Bronislava</v>
      </c>
      <c r="X15" s="149" t="str">
        <f ca="1">IF(N(U15)&gt;0,VLOOKUP(U15,Hraci!$A$1:$I$1000,5,0),IF(TYPE(INDIRECT(ADDRESS(ROW() + $A$9-7 + (ROW()-11)*4,3,1,1,"Internet")))&gt;1,INDIRECT(ADDRESS(ROW() + $A$9-7 + (ROW()-11)*4,3,1,1,"Internet"))," "))</f>
        <v>1. Starobrněnský PK</v>
      </c>
      <c r="Y15" s="149">
        <f ca="1">IF(N(U15)=0,9999,VLOOKUP(U15,Hraci!$A$1:$I$1000,8,0))</f>
        <v>206</v>
      </c>
      <c r="Z15" s="150">
        <f ca="1">IF(N(U15)=0,0,VLOOKUP(U15,Hraci!$A$1:$I$1000,9,0))</f>
        <v>14.032</v>
      </c>
      <c r="AA15" s="147" t="str">
        <f t="shared" ca="1" si="11"/>
        <v/>
      </c>
      <c r="AB15" s="148" t="str">
        <f ca="1">IF(N(AA15)&gt;0,VLOOKUP(AA15,Hraci!$A$1:$I$1000,2,0)," ")</f>
        <v xml:space="preserve"> </v>
      </c>
      <c r="AC15" s="149" t="str">
        <f ca="1">IF(N(AA15)&gt;0,VLOOKUP(AA15,Hraci!$A$1:$I$1000,3,0)," ")</f>
        <v xml:space="preserve"> </v>
      </c>
      <c r="AD15" s="149" t="str">
        <f ca="1">IF(N(AA15)&gt;0,VLOOKUP(AA15,Hraci!$A$1:$I$1000,5,0)," ")</f>
        <v xml:space="preserve"> </v>
      </c>
      <c r="AE15" s="149">
        <f ca="1">IF(N(AA15)=0,9999,VLOOKUP(AA15,Hraci!$A$1:$I$1000,8,0))</f>
        <v>9999</v>
      </c>
      <c r="AF15" s="150">
        <f ca="1">IF(N(AA15)=0,0,VLOOKUP(AA15,Hraci!$A$1:$I$1000,9,0))</f>
        <v>0</v>
      </c>
      <c r="AG15" s="147"/>
      <c r="AH15" s="151">
        <v>4</v>
      </c>
      <c r="AI15" s="152" t="e">
        <f ca="1">IF(N($AH15)&gt;0,VLOOKUP($AH15,Body!$A$4:$F$259,5,0),"")</f>
        <v>#REF!</v>
      </c>
      <c r="AJ15" s="153">
        <f ca="1">IF(N($AH15)&gt;0,VLOOKUP($AH15,Body!$A$4:$F$259,6,0),"")</f>
        <v>0</v>
      </c>
      <c r="AK15" s="152">
        <f ca="1">IF(N($AH15)&gt;0,VLOOKUP($AH15,Body!$A$4:$F$259,2,0),"")</f>
        <v>2</v>
      </c>
      <c r="AL15" s="154" t="str">
        <f t="shared" ca="1" si="12"/>
        <v>HRODE KRUMSÍN - Karásek Jiří</v>
      </c>
      <c r="AM15" s="155">
        <f t="shared" ca="1" si="13"/>
        <v>54.909000000000006</v>
      </c>
      <c r="AN15" s="72">
        <f ca="1">IF(OR(TYPE(I15)&gt;1,TYPE(MATCH(I15,I16:I$203,0))&gt;1),0,MATCH(I15,I16:I$203,0))+IF(OR(TYPE(I15)&gt;1,TYPE(MATCH(I15,O$11:O$203,0))&gt;1),0,MATCH(I15,O$11:O$203,0))+IF(OR(TYPE(I15)&gt;1,TYPE(MATCH(I15,U$11:U$203,0))&gt;1),0,MATCH(I15,U$11:U$203,0))+IF(OR(TYPE(I15)&gt;1,TYPE(MATCH(I15,AA$11:AA$203,0))&gt;1),0,MATCH(I15,AA$11:AA$203,0))</f>
        <v>0</v>
      </c>
      <c r="AO15" s="72">
        <f ca="1">IF(OR(TYPE(O15)&gt;1,TYPE(MATCH(O15,I$11:I$203,0))&gt;1),0,MATCH(O15,I$11:I$203,0))+IF(OR(TYPE(O15)&gt;1,TYPE(MATCH(O15,O16:O$203,0))&gt;1),0,MATCH(O15,O16:O$203,0))+IF(OR(TYPE(O15)&gt;1,TYPE(MATCH(O15,U$11:U$203,0))&gt;1),0,MATCH(O15,U$11:U$203,0))+IF(OR(TYPE(O15)&gt;1,TYPE(MATCH(O15,AA$11:AA$203,0))&gt;1),0,MATCH(O15,AA$11:AA$203,0))</f>
        <v>0</v>
      </c>
      <c r="AP15" s="72">
        <f ca="1">IF(OR(TYPE(U15)&gt;1,TYPE(MATCH(U15,I$11:I$203,0))&gt;1),0,MATCH(U15,I$11:I$203,0))+IF(OR(TYPE(U15)&gt;1,TYPE(MATCH(U15,O$11:O$203,0))&gt;1),0,MATCH(U15,O$11:O$203,0))+IF(OR(TYPE(U15)&gt;1,TYPE(MATCH(U15,U16:U$203,0))&gt;1),0,MATCH(U15,U16:U$203,0))+IF(OR(TYPE(U15)&gt;1,TYPE(MATCH(U15,AA$11:AA$203,0))&gt;1),0,MATCH(U15,AA$11:AA$203,0))</f>
        <v>0</v>
      </c>
      <c r="AQ15" s="72">
        <f ca="1">IF(OR(TYPE(AA15)&gt;1,TYPE(MATCH(AA15,I$11:I$203,0))&gt;1),0,MATCH(AA15,I$11:I$203,0))+IF(OR(TYPE(AA15)&gt;1,TYPE(MATCH(AA15,O$11:O$203,0))&gt;1),0,MATCH(AA15,O$11:O$203,0))+IF(OR(TYPE(AA15)&gt;1,TYPE(MATCH(AA15,U$11:U$203,0))&gt;1),0,MATCH(U15,U$11:U$203,0))+IF(OR(TYPE(AA15)&gt;1,TYPE(MATCH(AA15,AA16:AA$203,0))&gt;1),0,MATCH(AA15,AA16:AA$203,0))</f>
        <v>0</v>
      </c>
      <c r="AR15" s="72">
        <f t="shared" ca="1" si="14"/>
        <v>0</v>
      </c>
    </row>
    <row r="16" spans="1:44" ht="14.25">
      <c r="A16" s="103">
        <f t="shared" ca="1" si="0"/>
        <v>3</v>
      </c>
      <c r="B16" s="103">
        <f t="shared" ca="1" si="1"/>
        <v>1</v>
      </c>
      <c r="C16" s="156">
        <f t="shared" ca="1" si="2"/>
        <v>53.407000000000004</v>
      </c>
      <c r="D16" s="103">
        <f t="shared" ca="1" si="3"/>
        <v>665</v>
      </c>
      <c r="E16" s="103">
        <f t="shared" ca="1" si="4"/>
        <v>132</v>
      </c>
      <c r="F16" s="104" t="str">
        <f t="shared" ca="1" si="5"/>
        <v>91053407999334999867565509</v>
      </c>
      <c r="G16" s="145">
        <f t="shared" ca="1" si="6"/>
        <v>0</v>
      </c>
      <c r="H16" s="146">
        <f t="shared" si="7"/>
        <v>6</v>
      </c>
      <c r="I16" s="147">
        <f t="shared" ca="1" si="8"/>
        <v>27062</v>
      </c>
      <c r="J16" s="148" t="str">
        <f ca="1">IF(N(I16)&gt;0,VLOOKUP(I16,Hraci!$A$1:$I$1000,2,0),IF(TYPE(INDIRECT(ADDRESS(ROW() + $A$9-9 + (ROW()-11)*4,2,1,1,"Internet")))&gt;1,INDIRECT(ADDRESS(ROW() + $A$9-9 + (ROW()-11)*4,2,1,1,"Internet"))," "))</f>
        <v>Mrlina</v>
      </c>
      <c r="K16" s="149" t="str">
        <f ca="1">IF(N(I16)&gt;0,VLOOKUP(I16,Hraci!$A$1:$I$1000,3,0)," ")</f>
        <v>Karel</v>
      </c>
      <c r="L16" s="149" t="str">
        <f ca="1">IF(N(I16)&gt;0,VLOOKUP(I16,Hraci!$A$1:$I$1000,5,0),IF(TYPE(INDIRECT(ADDRESS(ROW() + $A$9-9 + (ROW()-11)*4,3,1,1,"Internet")))&gt;1,INDIRECT(ADDRESS(ROW() + $A$9-9 + (ROW()-11)*4,3,1,1,"Internet"))," "))</f>
        <v>FENYX Adamov</v>
      </c>
      <c r="M16" s="149">
        <f ca="1">IF(N(I16)=0,9999,VLOOKUP(I16,Hraci!$A$1:$I$1000,8,0))</f>
        <v>132</v>
      </c>
      <c r="N16" s="150">
        <f ca="1">IF(N(I16)=0,0,VLOOKUP(I16,Hraci!$A$1:$I$1000,9,0))</f>
        <v>26.25</v>
      </c>
      <c r="O16" s="147">
        <f t="shared" ca="1" si="9"/>
        <v>27063</v>
      </c>
      <c r="P16" s="148" t="str">
        <f ca="1">IF(N(O16)&gt;0,VLOOKUP(O16,Hraci!$A$1:$I$1000,2,0),IF(TYPE(INDIRECT(ADDRESS(ROW() + $A$9-8 + (ROW()-11)*4,2,1,1,"Internet")))&gt;1,INDIRECT(ADDRESS(ROW() + $A$9-8 + (ROW()-11)*4,2,1,1,"Internet"))," "))</f>
        <v>Mrlinová</v>
      </c>
      <c r="Q16" s="149" t="str">
        <f ca="1">IF(N(O16)&gt;0,VLOOKUP(O16,Hraci!$A$1:$I$1000,3,0)," ")</f>
        <v>Jana</v>
      </c>
      <c r="R16" s="149" t="str">
        <f ca="1">IF(N(O16)&gt;0,VLOOKUP(O16,Hraci!$A$1:$I$1000,5,0),IF(TYPE(INDIRECT(ADDRESS(ROW() + $A$9-8 + (ROW()-11)*4,3,1,1,"Internet")))&gt;1,INDIRECT(ADDRESS(ROW() + $A$9-8 + (ROW()-11)*4,3,1,1,"Internet"))," "))</f>
        <v>FENYX Adamov</v>
      </c>
      <c r="S16" s="149">
        <f ca="1">IF(N(O16)=0,9999,VLOOKUP(O16,Hraci!$A$1:$I$1000,8,0))</f>
        <v>314</v>
      </c>
      <c r="T16" s="150">
        <f ca="1">IF(N(O16)=0,0,VLOOKUP(O16,Hraci!$A$1:$I$1000,9,0))</f>
        <v>11.343999999999999</v>
      </c>
      <c r="U16" s="147">
        <f t="shared" ca="1" si="10"/>
        <v>11018</v>
      </c>
      <c r="V16" s="148" t="str">
        <f ca="1">IF(N(U16)&gt;0,VLOOKUP(U16,Hraci!$A$1:$I$1000,2,0),IF(TYPE(INDIRECT(ADDRESS(ROW() + $A$9-7 + (ROW()-11)*4,2,1,1,"Internet")))&gt;1,INDIRECT(ADDRESS(ROW() + $A$9-7 + (ROW()-11)*4,2,1,1,"Internet"))," "))</f>
        <v>Němec</v>
      </c>
      <c r="W16" s="149" t="str">
        <f ca="1">IF(N(U16)&gt;0,VLOOKUP(U16,Hraci!$A$1:$I$1000,3,0)," ")</f>
        <v>Jiří</v>
      </c>
      <c r="X16" s="149" t="str">
        <f ca="1">IF(N(U16)&gt;0,VLOOKUP(U16,Hraci!$A$1:$I$1000,5,0),IF(TYPE(INDIRECT(ADDRESS(ROW() + $A$9-7 + (ROW()-11)*4,3,1,1,"Internet")))&gt;1,INDIRECT(ADDRESS(ROW() + $A$9-7 + (ROW()-11)*4,3,1,1,"Internet"))," "))</f>
        <v>FENYX Adamov</v>
      </c>
      <c r="Y16" s="149">
        <f ca="1">IF(N(U16)=0,9999,VLOOKUP(U16,Hraci!$A$1:$I$1000,8,0))</f>
        <v>219</v>
      </c>
      <c r="Z16" s="150">
        <f ca="1">IF(N(U16)=0,0,VLOOKUP(U16,Hraci!$A$1:$I$1000,9,0))</f>
        <v>15.813000000000001</v>
      </c>
      <c r="AA16" s="147" t="str">
        <f t="shared" ca="1" si="11"/>
        <v/>
      </c>
      <c r="AB16" s="148" t="str">
        <f ca="1">IF(N(AA16)&gt;0,VLOOKUP(AA16,Hraci!$A$1:$I$1000,2,0)," ")</f>
        <v xml:space="preserve"> </v>
      </c>
      <c r="AC16" s="149" t="str">
        <f ca="1">IF(N(AA16)&gt;0,VLOOKUP(AA16,Hraci!$A$1:$I$1000,3,0)," ")</f>
        <v xml:space="preserve"> </v>
      </c>
      <c r="AD16" s="149" t="str">
        <f ca="1">IF(N(AA16)&gt;0,VLOOKUP(AA16,Hraci!$A$1:$I$1000,5,0)," ")</f>
        <v xml:space="preserve"> </v>
      </c>
      <c r="AE16" s="149">
        <f ca="1">IF(N(AA16)=0,9999,VLOOKUP(AA16,Hraci!$A$1:$I$1000,8,0))</f>
        <v>9999</v>
      </c>
      <c r="AF16" s="150">
        <f ca="1">IF(N(AA16)=0,0,VLOOKUP(AA16,Hraci!$A$1:$I$1000,9,0))</f>
        <v>0</v>
      </c>
      <c r="AG16" s="147"/>
      <c r="AH16" s="151">
        <v>10</v>
      </c>
      <c r="AI16" s="152" t="e">
        <f ca="1">IF(N($AH16)&gt;0,VLOOKUP($AH16,Body!$A$4:$F$259,5,0),"")</f>
        <v>#REF!</v>
      </c>
      <c r="AJ16" s="153">
        <f ca="1">IF(N($AH16)&gt;0,VLOOKUP($AH16,Body!$A$4:$F$259,6,0),"")</f>
        <v>0</v>
      </c>
      <c r="AK16" s="152">
        <f ca="1">IF(N($AH16)&gt;0,VLOOKUP($AH16,Body!$A$4:$F$259,2,0),"")</f>
        <v>0.75</v>
      </c>
      <c r="AL16" s="154" t="str">
        <f t="shared" ca="1" si="12"/>
        <v>FENYX Adamov - Mrlina Karel</v>
      </c>
      <c r="AM16" s="155">
        <f t="shared" ca="1" si="13"/>
        <v>53.407000000000004</v>
      </c>
      <c r="AN16" s="72">
        <f ca="1">IF(OR(TYPE(I16)&gt;1,TYPE(MATCH(I16,I17:I$203,0))&gt;1),0,MATCH(I16,I17:I$203,0))+IF(OR(TYPE(I16)&gt;1,TYPE(MATCH(I16,O$11:O$203,0))&gt;1),0,MATCH(I16,O$11:O$203,0))+IF(OR(TYPE(I16)&gt;1,TYPE(MATCH(I16,U$11:U$203,0))&gt;1),0,MATCH(I16,U$11:U$203,0))+IF(OR(TYPE(I16)&gt;1,TYPE(MATCH(I16,AA$11:AA$203,0))&gt;1),0,MATCH(I16,AA$11:AA$203,0))</f>
        <v>0</v>
      </c>
      <c r="AO16" s="72">
        <f ca="1">IF(OR(TYPE(O16)&gt;1,TYPE(MATCH(O16,I$11:I$203,0))&gt;1),0,MATCH(O16,I$11:I$203,0))+IF(OR(TYPE(O16)&gt;1,TYPE(MATCH(O16,O17:O$203,0))&gt;1),0,MATCH(O16,O17:O$203,0))+IF(OR(TYPE(O16)&gt;1,TYPE(MATCH(O16,U$11:U$203,0))&gt;1),0,MATCH(O16,U$11:U$203,0))+IF(OR(TYPE(O16)&gt;1,TYPE(MATCH(O16,AA$11:AA$203,0))&gt;1),0,MATCH(O16,AA$11:AA$203,0))</f>
        <v>0</v>
      </c>
      <c r="AP16" s="72">
        <f ca="1">IF(OR(TYPE(U16)&gt;1,TYPE(MATCH(U16,I$11:I$203,0))&gt;1),0,MATCH(U16,I$11:I$203,0))+IF(OR(TYPE(U16)&gt;1,TYPE(MATCH(U16,O$11:O$203,0))&gt;1),0,MATCH(U16,O$11:O$203,0))+IF(OR(TYPE(U16)&gt;1,TYPE(MATCH(U16,U17:U$203,0))&gt;1),0,MATCH(U16,U17:U$203,0))+IF(OR(TYPE(U16)&gt;1,TYPE(MATCH(U16,AA$11:AA$203,0))&gt;1),0,MATCH(U16,AA$11:AA$203,0))</f>
        <v>0</v>
      </c>
      <c r="AQ16" s="72">
        <f ca="1">IF(OR(TYPE(AA16)&gt;1,TYPE(MATCH(AA16,I$11:I$203,0))&gt;1),0,MATCH(AA16,I$11:I$203,0))+IF(OR(TYPE(AA16)&gt;1,TYPE(MATCH(AA16,O$11:O$203,0))&gt;1),0,MATCH(AA16,O$11:O$203,0))+IF(OR(TYPE(AA16)&gt;1,TYPE(MATCH(AA16,U$11:U$203,0))&gt;1),0,MATCH(U16,U$11:U$203,0))+IF(OR(TYPE(AA16)&gt;1,TYPE(MATCH(AA16,AA17:AA$203,0))&gt;1),0,MATCH(AA16,AA17:AA$203,0))</f>
        <v>0</v>
      </c>
      <c r="AR16" s="72">
        <f t="shared" ca="1" si="14"/>
        <v>0</v>
      </c>
    </row>
    <row r="17" spans="1:44" ht="14.25">
      <c r="A17" s="103">
        <f t="shared" ca="1" si="0"/>
        <v>3</v>
      </c>
      <c r="B17" s="103">
        <f t="shared" ca="1" si="1"/>
        <v>1</v>
      </c>
      <c r="C17" s="156">
        <f t="shared" ca="1" si="2"/>
        <v>52.190000000000005</v>
      </c>
      <c r="D17" s="103">
        <f t="shared" ca="1" si="3"/>
        <v>432</v>
      </c>
      <c r="E17" s="103">
        <f t="shared" ca="1" si="4"/>
        <v>129</v>
      </c>
      <c r="F17" s="104" t="str">
        <f t="shared" ca="1" si="5"/>
        <v>91052190999567999870807698</v>
      </c>
      <c r="G17" s="145">
        <f t="shared" ca="1" si="6"/>
        <v>0</v>
      </c>
      <c r="H17" s="146">
        <f t="shared" si="7"/>
        <v>7</v>
      </c>
      <c r="I17" s="147">
        <f t="shared" ca="1" si="8"/>
        <v>16109</v>
      </c>
      <c r="J17" s="148" t="str">
        <f ca="1">IF(N(I17)&gt;0,VLOOKUP(I17,Hraci!$A$1:$I$1000,2,0),IF(TYPE(INDIRECT(ADDRESS(ROW() + $A$9-9 + (ROW()-11)*4,2,1,1,"Internet")))&gt;1,INDIRECT(ADDRESS(ROW() + $A$9-9 + (ROW()-11)*4,2,1,1,"Internet"))," "))</f>
        <v>Sjögren</v>
      </c>
      <c r="K17" s="149" t="str">
        <f ca="1">IF(N(I17)&gt;0,VLOOKUP(I17,Hraci!$A$1:$I$1000,3,0)," ")</f>
        <v>Magda</v>
      </c>
      <c r="L17" s="149" t="str">
        <f ca="1">IF(N(I17)&gt;0,VLOOKUP(I17,Hraci!$A$1:$I$1000,5,0),IF(TYPE(INDIRECT(ADDRESS(ROW() + $A$9-9 + (ROW()-11)*4,3,1,1,"Internet")))&gt;1,INDIRECT(ADDRESS(ROW() + $A$9-9 + (ROW()-11)*4,3,1,1,"Internet"))," "))</f>
        <v>SKP Kulová osma</v>
      </c>
      <c r="M17" s="149">
        <f ca="1">IF(N(I17)=0,9999,VLOOKUP(I17,Hraci!$A$1:$I$1000,8,0))</f>
        <v>129</v>
      </c>
      <c r="N17" s="150">
        <f ca="1">IF(N(I17)=0,0,VLOOKUP(I17,Hraci!$A$1:$I$1000,9,0))</f>
        <v>19.001999999999999</v>
      </c>
      <c r="O17" s="147">
        <f t="shared" ca="1" si="9"/>
        <v>13078</v>
      </c>
      <c r="P17" s="148" t="str">
        <f ca="1">IF(N(O17)&gt;0,VLOOKUP(O17,Hraci!$A$1:$I$1000,2,0),IF(TYPE(INDIRECT(ADDRESS(ROW() + $A$9-8 + (ROW()-11)*4,2,1,1,"Internet")))&gt;1,INDIRECT(ADDRESS(ROW() + $A$9-8 + (ROW()-11)*4,2,1,1,"Internet"))," "))</f>
        <v>Kotová</v>
      </c>
      <c r="Q17" s="149" t="str">
        <f ca="1">IF(N(O17)&gt;0,VLOOKUP(O17,Hraci!$A$1:$I$1000,3,0)," ")</f>
        <v>Jiřina</v>
      </c>
      <c r="R17" s="149" t="str">
        <f ca="1">IF(N(O17)&gt;0,VLOOKUP(O17,Hraci!$A$1:$I$1000,5,0),IF(TYPE(INDIRECT(ADDRESS(ROW() + $A$9-8 + (ROW()-11)*4,3,1,1,"Internet")))&gt;1,INDIRECT(ADDRESS(ROW() + $A$9-8 + (ROW()-11)*4,3,1,1,"Internet"))," "))</f>
        <v>UBU Únětice</v>
      </c>
      <c r="S17" s="149">
        <f ca="1">IF(N(O17)=0,9999,VLOOKUP(O17,Hraci!$A$1:$I$1000,8,0))</f>
        <v>152</v>
      </c>
      <c r="T17" s="150">
        <f ca="1">IF(N(O17)=0,0,VLOOKUP(O17,Hraci!$A$1:$I$1000,9,0))</f>
        <v>16.594000000000001</v>
      </c>
      <c r="U17" s="147">
        <f t="shared" ca="1" si="10"/>
        <v>13077</v>
      </c>
      <c r="V17" s="148" t="str">
        <f ca="1">IF(N(U17)&gt;0,VLOOKUP(U17,Hraci!$A$1:$I$1000,2,0),IF(TYPE(INDIRECT(ADDRESS(ROW() + $A$9-7 + (ROW()-11)*4,2,1,1,"Internet")))&gt;1,INDIRECT(ADDRESS(ROW() + $A$9-7 + (ROW()-11)*4,2,1,1,"Internet"))," "))</f>
        <v>Kot</v>
      </c>
      <c r="W17" s="149" t="str">
        <f ca="1">IF(N(U17)&gt;0,VLOOKUP(U17,Hraci!$A$1:$I$1000,3,0)," ")</f>
        <v>Pavel</v>
      </c>
      <c r="X17" s="149" t="str">
        <f ca="1">IF(N(U17)&gt;0,VLOOKUP(U17,Hraci!$A$1:$I$1000,5,0),IF(TYPE(INDIRECT(ADDRESS(ROW() + $A$9-7 + (ROW()-11)*4,3,1,1,"Internet")))&gt;1,INDIRECT(ADDRESS(ROW() + $A$9-7 + (ROW()-11)*4,3,1,1,"Internet"))," "))</f>
        <v>UBU Únětice</v>
      </c>
      <c r="Y17" s="149">
        <f ca="1">IF(N(U17)=0,9999,VLOOKUP(U17,Hraci!$A$1:$I$1000,8,0))</f>
        <v>151</v>
      </c>
      <c r="Z17" s="150">
        <f ca="1">IF(N(U17)=0,0,VLOOKUP(U17,Hraci!$A$1:$I$1000,9,0))</f>
        <v>16.594000000000001</v>
      </c>
      <c r="AA17" s="147" t="str">
        <f t="shared" ca="1" si="11"/>
        <v/>
      </c>
      <c r="AB17" s="148" t="str">
        <f ca="1">IF(N(AA17)&gt;0,VLOOKUP(AA17,Hraci!$A$1:$I$1000,2,0)," ")</f>
        <v xml:space="preserve"> </v>
      </c>
      <c r="AC17" s="149" t="str">
        <f ca="1">IF(N(AA17)&gt;0,VLOOKUP(AA17,Hraci!$A$1:$I$1000,3,0)," ")</f>
        <v xml:space="preserve"> </v>
      </c>
      <c r="AD17" s="149" t="str">
        <f ca="1">IF(N(AA17)&gt;0,VLOOKUP(AA17,Hraci!$A$1:$I$1000,5,0)," ")</f>
        <v xml:space="preserve"> </v>
      </c>
      <c r="AE17" s="149">
        <f ca="1">IF(N(AA17)=0,9999,VLOOKUP(AA17,Hraci!$A$1:$I$1000,8,0))</f>
        <v>9999</v>
      </c>
      <c r="AF17" s="150">
        <f ca="1">IF(N(AA17)=0,0,VLOOKUP(AA17,Hraci!$A$1:$I$1000,9,0))</f>
        <v>0</v>
      </c>
      <c r="AG17" s="147"/>
      <c r="AH17" s="151">
        <v>8</v>
      </c>
      <c r="AI17" s="152" t="e">
        <f ca="1">IF(N($AH17)&gt;0,VLOOKUP($AH17,Body!$A$4:$F$259,5,0),"")</f>
        <v>#REF!</v>
      </c>
      <c r="AJ17" s="153">
        <f ca="1">IF(N($AH17)&gt;0,VLOOKUP($AH17,Body!$A$4:$F$259,6,0),"")</f>
        <v>0</v>
      </c>
      <c r="AK17" s="152">
        <f ca="1">IF(N($AH17)&gt;0,VLOOKUP($AH17,Body!$A$4:$F$259,2,0),"")</f>
        <v>1</v>
      </c>
      <c r="AL17" s="154" t="str">
        <f t="shared" ca="1" si="12"/>
        <v>SKP Kulová osma - Sjögren Magda</v>
      </c>
      <c r="AM17" s="155">
        <f t="shared" ca="1" si="13"/>
        <v>52.190000000000005</v>
      </c>
      <c r="AN17" s="72">
        <f ca="1">IF(OR(TYPE(I17)&gt;1,TYPE(MATCH(I17,I18:I$203,0))&gt;1),0,MATCH(I17,I18:I$203,0))+IF(OR(TYPE(I17)&gt;1,TYPE(MATCH(I17,O$11:O$203,0))&gt;1),0,MATCH(I17,O$11:O$203,0))+IF(OR(TYPE(I17)&gt;1,TYPE(MATCH(I17,U$11:U$203,0))&gt;1),0,MATCH(I17,U$11:U$203,0))+IF(OR(TYPE(I17)&gt;1,TYPE(MATCH(I17,AA$11:AA$203,0))&gt;1),0,MATCH(I17,AA$11:AA$203,0))</f>
        <v>0</v>
      </c>
      <c r="AO17" s="72">
        <f ca="1">IF(OR(TYPE(O17)&gt;1,TYPE(MATCH(O17,I$11:I$203,0))&gt;1),0,MATCH(O17,I$11:I$203,0))+IF(OR(TYPE(O17)&gt;1,TYPE(MATCH(O17,O18:O$203,0))&gt;1),0,MATCH(O17,O18:O$203,0))+IF(OR(TYPE(O17)&gt;1,TYPE(MATCH(O17,U$11:U$203,0))&gt;1),0,MATCH(O17,U$11:U$203,0))+IF(OR(TYPE(O17)&gt;1,TYPE(MATCH(O17,AA$11:AA$203,0))&gt;1),0,MATCH(O17,AA$11:AA$203,0))</f>
        <v>0</v>
      </c>
      <c r="AP17" s="72">
        <f ca="1">IF(OR(TYPE(U17)&gt;1,TYPE(MATCH(U17,I$11:I$203,0))&gt;1),0,MATCH(U17,I$11:I$203,0))+IF(OR(TYPE(U17)&gt;1,TYPE(MATCH(U17,O$11:O$203,0))&gt;1),0,MATCH(U17,O$11:O$203,0))+IF(OR(TYPE(U17)&gt;1,TYPE(MATCH(U17,U18:U$203,0))&gt;1),0,MATCH(U17,U18:U$203,0))+IF(OR(TYPE(U17)&gt;1,TYPE(MATCH(U17,AA$11:AA$203,0))&gt;1),0,MATCH(U17,AA$11:AA$203,0))</f>
        <v>0</v>
      </c>
      <c r="AQ17" s="72">
        <f ca="1">IF(OR(TYPE(AA17)&gt;1,TYPE(MATCH(AA17,I$11:I$203,0))&gt;1),0,MATCH(AA17,I$11:I$203,0))+IF(OR(TYPE(AA17)&gt;1,TYPE(MATCH(AA17,O$11:O$203,0))&gt;1),0,MATCH(AA17,O$11:O$203,0))+IF(OR(TYPE(AA17)&gt;1,TYPE(MATCH(AA17,U$11:U$203,0))&gt;1),0,MATCH(U17,U$11:U$203,0))+IF(OR(TYPE(AA17)&gt;1,TYPE(MATCH(AA17,AA18:AA$203,0))&gt;1),0,MATCH(AA17,AA18:AA$203,0))</f>
        <v>0</v>
      </c>
      <c r="AR17" s="72">
        <f t="shared" ca="1" si="14"/>
        <v>0</v>
      </c>
    </row>
    <row r="18" spans="1:44" ht="14.25">
      <c r="A18" s="103">
        <f t="shared" ca="1" si="0"/>
        <v>3</v>
      </c>
      <c r="B18" s="103">
        <f t="shared" ca="1" si="1"/>
        <v>1</v>
      </c>
      <c r="C18" s="156">
        <f t="shared" ca="1" si="2"/>
        <v>43.128</v>
      </c>
      <c r="D18" s="103">
        <f t="shared" ca="1" si="3"/>
        <v>618</v>
      </c>
      <c r="E18" s="103">
        <f t="shared" ca="1" si="4"/>
        <v>141</v>
      </c>
      <c r="F18" s="104" t="str">
        <f t="shared" ca="1" si="5"/>
        <v>91043128999381999858187524</v>
      </c>
      <c r="G18" s="145">
        <f t="shared" ca="1" si="6"/>
        <v>0</v>
      </c>
      <c r="H18" s="146">
        <f t="shared" si="7"/>
        <v>8</v>
      </c>
      <c r="I18" s="147">
        <f t="shared" ca="1" si="8"/>
        <v>96005</v>
      </c>
      <c r="J18" s="148" t="str">
        <f ca="1">IF(N(I18)&gt;0,VLOOKUP(I18,Hraci!$A$1:$I$1000,2,0),IF(TYPE(INDIRECT(ADDRESS(ROW() + $A$9-9 + (ROW()-11)*4,2,1,1,"Internet")))&gt;1,INDIRECT(ADDRESS(ROW() + $A$9-9 + (ROW()-11)*4,2,1,1,"Internet"))," "))</f>
        <v>Bukovčík</v>
      </c>
      <c r="K18" s="149" t="str">
        <f ca="1">IF(N(I18)&gt;0,VLOOKUP(I18,Hraci!$A$1:$I$1000,3,0)," ")</f>
        <v>Jan</v>
      </c>
      <c r="L18" s="149" t="str">
        <f ca="1">IF(N(I18)&gt;0,VLOOKUP(I18,Hraci!$A$1:$I$1000,5,0),IF(TYPE(INDIRECT(ADDRESS(ROW() + $A$9-9 + (ROW()-11)*4,3,1,1,"Internet")))&gt;1,INDIRECT(ADDRESS(ROW() + $A$9-9 + (ROW()-11)*4,3,1,1,"Internet"))," "))</f>
        <v>PAK Albrechtice</v>
      </c>
      <c r="M18" s="149">
        <f ca="1">IF(N(I18)=0,9999,VLOOKUP(I18,Hraci!$A$1:$I$1000,8,0))</f>
        <v>280</v>
      </c>
      <c r="N18" s="150">
        <f ca="1">IF(N(I18)=0,0,VLOOKUP(I18,Hraci!$A$1:$I$1000,9,0))</f>
        <v>9.0009999999999994</v>
      </c>
      <c r="O18" s="147">
        <f t="shared" ca="1" si="9"/>
        <v>23060</v>
      </c>
      <c r="P18" s="148" t="str">
        <f ca="1">IF(N(O18)&gt;0,VLOOKUP(O18,Hraci!$A$1:$I$1000,2,0),IF(TYPE(INDIRECT(ADDRESS(ROW() + $A$9-8 + (ROW()-11)*4,2,1,1,"Internet")))&gt;1,INDIRECT(ADDRESS(ROW() + $A$9-8 + (ROW()-11)*4,2,1,1,"Internet"))," "))</f>
        <v>Ševčík</v>
      </c>
      <c r="Q18" s="149" t="str">
        <f ca="1">IF(N(O18)&gt;0,VLOOKUP(O18,Hraci!$A$1:$I$1000,3,0)," ")</f>
        <v>Jaroslav</v>
      </c>
      <c r="R18" s="149" t="str">
        <f ca="1">IF(N(O18)&gt;0,VLOOKUP(O18,Hraci!$A$1:$I$1000,5,0),IF(TYPE(INDIRECT(ADDRESS(ROW() + $A$9-8 + (ROW()-11)*4,3,1,1,"Internet")))&gt;1,INDIRECT(ADDRESS(ROW() + $A$9-8 + (ROW()-11)*4,3,1,1,"Internet"))," "))</f>
        <v>PAK Albrechtice</v>
      </c>
      <c r="S18" s="149">
        <f ca="1">IF(N(O18)=0,9999,VLOOKUP(O18,Hraci!$A$1:$I$1000,8,0))</f>
        <v>141</v>
      </c>
      <c r="T18" s="150">
        <f ca="1">IF(N(O18)=0,0,VLOOKUP(O18,Hraci!$A$1:$I$1000,9,0))</f>
        <v>17.689</v>
      </c>
      <c r="U18" s="147">
        <f t="shared" ca="1" si="10"/>
        <v>26034</v>
      </c>
      <c r="V18" s="148" t="str">
        <f ca="1">IF(N(U18)&gt;0,VLOOKUP(U18,Hraci!$A$1:$I$1000,2,0),IF(TYPE(INDIRECT(ADDRESS(ROW() + $A$9-7 + (ROW()-11)*4,2,1,1,"Internet")))&gt;1,INDIRECT(ADDRESS(ROW() + $A$9-7 + (ROW()-11)*4,2,1,1,"Internet"))," "))</f>
        <v>Vajčovec</v>
      </c>
      <c r="W18" s="149" t="str">
        <f ca="1">IF(N(U18)&gt;0,VLOOKUP(U18,Hraci!$A$1:$I$1000,3,0)," ")</f>
        <v>Kamil</v>
      </c>
      <c r="X18" s="149" t="str">
        <f ca="1">IF(N(U18)&gt;0,VLOOKUP(U18,Hraci!$A$1:$I$1000,5,0),IF(TYPE(INDIRECT(ADDRESS(ROW() + $A$9-7 + (ROW()-11)*4,3,1,1,"Internet")))&gt;1,INDIRECT(ADDRESS(ROW() + $A$9-7 + (ROW()-11)*4,3,1,1,"Internet"))," "))</f>
        <v>PAK Albrechtice</v>
      </c>
      <c r="Y18" s="149">
        <f ca="1">IF(N(U18)=0,9999,VLOOKUP(U18,Hraci!$A$1:$I$1000,8,0))</f>
        <v>197</v>
      </c>
      <c r="Z18" s="150">
        <f ca="1">IF(N(U18)=0,0,VLOOKUP(U18,Hraci!$A$1:$I$1000,9,0))</f>
        <v>16.437999999999999</v>
      </c>
      <c r="AA18" s="147" t="str">
        <f t="shared" ca="1" si="11"/>
        <v/>
      </c>
      <c r="AB18" s="148" t="str">
        <f ca="1">IF(N(AA18)&gt;0,VLOOKUP(AA18,Hraci!$A$1:$I$1000,2,0)," ")</f>
        <v xml:space="preserve"> </v>
      </c>
      <c r="AC18" s="149" t="str">
        <f ca="1">IF(N(AA18)&gt;0,VLOOKUP(AA18,Hraci!$A$1:$I$1000,3,0)," ")</f>
        <v xml:space="preserve"> </v>
      </c>
      <c r="AD18" s="149" t="str">
        <f ca="1">IF(N(AA18)&gt;0,VLOOKUP(AA18,Hraci!$A$1:$I$1000,5,0)," ")</f>
        <v xml:space="preserve"> </v>
      </c>
      <c r="AE18" s="149">
        <f ca="1">IF(N(AA18)=0,9999,VLOOKUP(AA18,Hraci!$A$1:$I$1000,8,0))</f>
        <v>9999</v>
      </c>
      <c r="AF18" s="150">
        <f ca="1">IF(N(AA18)=0,0,VLOOKUP(AA18,Hraci!$A$1:$I$1000,9,0))</f>
        <v>0</v>
      </c>
      <c r="AG18" s="147"/>
      <c r="AH18" s="151">
        <v>12</v>
      </c>
      <c r="AI18" s="152" t="e">
        <f ca="1">IF(N($AH18)&gt;0,VLOOKUP($AH18,Body!$A$4:$F$259,5,0),"")</f>
        <v>#REF!</v>
      </c>
      <c r="AJ18" s="153">
        <f ca="1">IF(N($AH18)&gt;0,VLOOKUP($AH18,Body!$A$4:$F$259,6,0),"")</f>
        <v>0</v>
      </c>
      <c r="AK18" s="152">
        <f ca="1">IF(N($AH18)&gt;0,VLOOKUP($AH18,Body!$A$4:$F$259,2,0),"")</f>
        <v>0.5</v>
      </c>
      <c r="AL18" s="154" t="str">
        <f t="shared" ca="1" si="12"/>
        <v>PAK Albrechtice - Bukovčík Jan</v>
      </c>
      <c r="AM18" s="155">
        <f t="shared" ca="1" si="13"/>
        <v>43.128</v>
      </c>
      <c r="AN18" s="72">
        <f ca="1">IF(OR(TYPE(I18)&gt;1,TYPE(MATCH(I18,I19:I$203,0))&gt;1),0,MATCH(I18,I19:I$203,0))+IF(OR(TYPE(I18)&gt;1,TYPE(MATCH(I18,O$11:O$203,0))&gt;1),0,MATCH(I18,O$11:O$203,0))+IF(OR(TYPE(I18)&gt;1,TYPE(MATCH(I18,U$11:U$203,0))&gt;1),0,MATCH(I18,U$11:U$203,0))+IF(OR(TYPE(I18)&gt;1,TYPE(MATCH(I18,AA$11:AA$203,0))&gt;1),0,MATCH(I18,AA$11:AA$203,0))</f>
        <v>0</v>
      </c>
      <c r="AO18" s="72">
        <f ca="1">IF(OR(TYPE(O18)&gt;1,TYPE(MATCH(O18,I$11:I$203,0))&gt;1),0,MATCH(O18,I$11:I$203,0))+IF(OR(TYPE(O18)&gt;1,TYPE(MATCH(O18,O19:O$203,0))&gt;1),0,MATCH(O18,O19:O$203,0))+IF(OR(TYPE(O18)&gt;1,TYPE(MATCH(O18,U$11:U$203,0))&gt;1),0,MATCH(O18,U$11:U$203,0))+IF(OR(TYPE(O18)&gt;1,TYPE(MATCH(O18,AA$11:AA$203,0))&gt;1),0,MATCH(O18,AA$11:AA$203,0))</f>
        <v>0</v>
      </c>
      <c r="AP18" s="72">
        <f ca="1">IF(OR(TYPE(U18)&gt;1,TYPE(MATCH(U18,I$11:I$203,0))&gt;1),0,MATCH(U18,I$11:I$203,0))+IF(OR(TYPE(U18)&gt;1,TYPE(MATCH(U18,O$11:O$203,0))&gt;1),0,MATCH(U18,O$11:O$203,0))+IF(OR(TYPE(U18)&gt;1,TYPE(MATCH(U18,U19:U$203,0))&gt;1),0,MATCH(U18,U19:U$203,0))+IF(OR(TYPE(U18)&gt;1,TYPE(MATCH(U18,AA$11:AA$203,0))&gt;1),0,MATCH(U18,AA$11:AA$203,0))</f>
        <v>0</v>
      </c>
      <c r="AQ18" s="72">
        <f ca="1">IF(OR(TYPE(AA18)&gt;1,TYPE(MATCH(AA18,I$11:I$203,0))&gt;1),0,MATCH(AA18,I$11:I$203,0))+IF(OR(TYPE(AA18)&gt;1,TYPE(MATCH(AA18,O$11:O$203,0))&gt;1),0,MATCH(AA18,O$11:O$203,0))+IF(OR(TYPE(AA18)&gt;1,TYPE(MATCH(AA18,U$11:U$203,0))&gt;1),0,MATCH(U18,U$11:U$203,0))+IF(OR(TYPE(AA18)&gt;1,TYPE(MATCH(AA18,AA19:AA$203,0))&gt;1),0,MATCH(AA18,AA19:AA$203,0))</f>
        <v>0</v>
      </c>
      <c r="AR18" s="72">
        <f t="shared" ca="1" si="14"/>
        <v>0</v>
      </c>
    </row>
    <row r="19" spans="1:44" ht="14.25">
      <c r="A19" s="103">
        <f t="shared" ca="1" si="0"/>
        <v>3</v>
      </c>
      <c r="B19" s="103">
        <f t="shared" ca="1" si="1"/>
        <v>1</v>
      </c>
      <c r="C19" s="156">
        <f t="shared" ca="1" si="2"/>
        <v>40.969000000000001</v>
      </c>
      <c r="D19" s="103">
        <f t="shared" ca="1" si="3"/>
        <v>990</v>
      </c>
      <c r="E19" s="73">
        <f t="shared" ca="1" si="4"/>
        <v>80</v>
      </c>
      <c r="F19" s="104" t="str">
        <f t="shared" ca="1" si="5"/>
        <v>01000000000000000000979460</v>
      </c>
      <c r="G19" s="145">
        <f t="shared" ca="1" si="6"/>
        <v>0</v>
      </c>
      <c r="H19" s="146">
        <f t="shared" si="7"/>
        <v>9</v>
      </c>
      <c r="I19" s="147">
        <f t="shared" ca="1" si="8"/>
        <v>17060</v>
      </c>
      <c r="J19" s="148" t="str">
        <f ca="1">IF(N(I19)&gt;0,VLOOKUP(I19,Hraci!$A$1:$I$1000,2,0),IF(TYPE(INDIRECT(ADDRESS(ROW() + $A$9-9 + (ROW()-11)*4,2,1,1,"Internet")))&gt;1,INDIRECT(ADDRESS(ROW() + $A$9-9 + (ROW()-11)*4,2,1,1,"Internet"))," "))</f>
        <v>Bejšovec</v>
      </c>
      <c r="K19" s="149" t="str">
        <f ca="1">IF(N(I19)&gt;0,VLOOKUP(I19,Hraci!$A$1:$I$1000,3,0)," ")</f>
        <v>Petr</v>
      </c>
      <c r="L19" s="149" t="str">
        <f ca="1">IF(N(I19)&gt;0,VLOOKUP(I19,Hraci!$A$1:$I$1000,5,0),IF(TYPE(INDIRECT(ADDRESS(ROW() + $A$9-9 + (ROW()-11)*4,3,1,1,"Internet")))&gt;1,INDIRECT(ADDRESS(ROW() + $A$9-9 + (ROW()-11)*4,3,1,1,"Internet"))," "))</f>
        <v>PK Sokol Medlánky</v>
      </c>
      <c r="M19" s="149">
        <f ca="1">IF(N(I19)=0,9999,VLOOKUP(I19,Hraci!$A$1:$I$1000,8,0))</f>
        <v>80</v>
      </c>
      <c r="N19" s="150">
        <f ca="1">IF(N(I19)=0,0,VLOOKUP(I19,Hraci!$A$1:$I$1000,9,0))</f>
        <v>29.437999999999999</v>
      </c>
      <c r="O19" s="147">
        <f t="shared" ca="1" si="9"/>
        <v>16033</v>
      </c>
      <c r="P19" s="148" t="str">
        <f ca="1">IF(N(O19)&gt;0,VLOOKUP(O19,Hraci!$A$1:$I$1000,2,0),IF(TYPE(INDIRECT(ADDRESS(ROW() + $A$9-8 + (ROW()-11)*4,2,1,1,"Internet")))&gt;1,INDIRECT(ADDRESS(ROW() + $A$9-8 + (ROW()-11)*4,2,1,1,"Internet"))," "))</f>
        <v>Buchta</v>
      </c>
      <c r="Q19" s="149" t="str">
        <f ca="1">IF(N(O19)&gt;0,VLOOKUP(O19,Hraci!$A$1:$I$1000,3,0)," ")</f>
        <v>Jan</v>
      </c>
      <c r="R19" s="149" t="str">
        <f ca="1">IF(N(O19)&gt;0,VLOOKUP(O19,Hraci!$A$1:$I$1000,5,0),IF(TYPE(INDIRECT(ADDRESS(ROW() + $A$9-8 + (ROW()-11)*4,3,1,1,"Internet")))&gt;1,INDIRECT(ADDRESS(ROW() + $A$9-8 + (ROW()-11)*4,3,1,1,"Internet"))," "))</f>
        <v>PEPEK</v>
      </c>
      <c r="S19" s="149">
        <f ca="1">IF(N(O19)=0,9999,VLOOKUP(O19,Hraci!$A$1:$I$1000,8,0))</f>
        <v>317</v>
      </c>
      <c r="T19" s="150">
        <f ca="1">IF(N(O19)=0,0,VLOOKUP(O19,Hraci!$A$1:$I$1000,9,0))</f>
        <v>10.75</v>
      </c>
      <c r="U19" s="147">
        <f t="shared" ca="1" si="10"/>
        <v>17061</v>
      </c>
      <c r="V19" s="148" t="str">
        <f ca="1">IF(N(U19)&gt;0,VLOOKUP(U19,Hraci!$A$1:$I$1000,2,0),IF(TYPE(INDIRECT(ADDRESS(ROW() + $A$9-7 + (ROW()-11)*4,2,1,1,"Internet")))&gt;1,INDIRECT(ADDRESS(ROW() + $A$9-7 + (ROW()-11)*4,2,1,1,"Internet"))," "))</f>
        <v>Botek</v>
      </c>
      <c r="W19" s="149" t="str">
        <f ca="1">IF(N(U19)&gt;0,VLOOKUP(U19,Hraci!$A$1:$I$1000,3,0)," ")</f>
        <v>Jan</v>
      </c>
      <c r="X19" s="149" t="str">
        <f ca="1">IF(N(U19)&gt;0,VLOOKUP(U19,Hraci!$A$1:$I$1000,5,0),IF(TYPE(INDIRECT(ADDRESS(ROW() + $A$9-7 + (ROW()-11)*4,3,1,1,"Internet")))&gt;1,INDIRECT(ADDRESS(ROW() + $A$9-7 + (ROW()-11)*4,3,1,1,"Internet"))," "))</f>
        <v>PK Sokol Medlánky</v>
      </c>
      <c r="Y19" s="149">
        <f ca="1">IF(N(U19)=0,9999,VLOOKUP(U19,Hraci!$A$1:$I$1000,8,0))</f>
        <v>593</v>
      </c>
      <c r="Z19" s="150">
        <f ca="1">IF(N(U19)=0,0,VLOOKUP(U19,Hraci!$A$1:$I$1000,9,0))</f>
        <v>0.78100000000000003</v>
      </c>
      <c r="AA19" s="147" t="str">
        <f t="shared" ca="1" si="11"/>
        <v/>
      </c>
      <c r="AB19" s="148" t="str">
        <f ca="1">IF(N(AA19)&gt;0,VLOOKUP(AA19,Hraci!$A$1:$I$1000,2,0)," ")</f>
        <v xml:space="preserve"> </v>
      </c>
      <c r="AC19" s="149" t="str">
        <f ca="1">IF(N(AA19)&gt;0,VLOOKUP(AA19,Hraci!$A$1:$I$1000,3,0)," ")</f>
        <v xml:space="preserve"> </v>
      </c>
      <c r="AD19" s="149" t="str">
        <f ca="1">IF(N(AA19)&gt;0,VLOOKUP(AA19,Hraci!$A$1:$I$1000,5,0)," ")</f>
        <v xml:space="preserve"> </v>
      </c>
      <c r="AE19" s="149">
        <f ca="1">IF(N(AA19)=0,9999,VLOOKUP(AA19,Hraci!$A$1:$I$1000,8,0))</f>
        <v>9999</v>
      </c>
      <c r="AF19" s="150">
        <f ca="1">IF(N(AA19)=0,0,VLOOKUP(AA19,Hraci!$A$1:$I$1000,9,0))</f>
        <v>0</v>
      </c>
      <c r="AG19" s="147"/>
      <c r="AH19" s="151">
        <v>2</v>
      </c>
      <c r="AI19" s="152" t="e">
        <f ca="1">IF(N($AH19)&gt;0,VLOOKUP($AH19,Body!$A$4:$F$259,5,0),"")</f>
        <v>#REF!</v>
      </c>
      <c r="AJ19" s="153">
        <f ca="1">IF(N($AH19)&gt;0,VLOOKUP($AH19,Body!$A$4:$F$259,6,0),"")</f>
        <v>0</v>
      </c>
      <c r="AK19" s="152">
        <f ca="1">IF(N($AH19)&gt;0,VLOOKUP($AH19,Body!$A$4:$F$259,2,0),"")</f>
        <v>3</v>
      </c>
      <c r="AL19" s="154" t="str">
        <f t="shared" ca="1" si="12"/>
        <v>PK Sokol Medlánky - Bejšovec Petr</v>
      </c>
      <c r="AM19" s="155">
        <f t="shared" ca="1" si="13"/>
        <v>40.969000000000001</v>
      </c>
      <c r="AN19" s="72">
        <f ca="1">IF(OR(TYPE(I19)&gt;1,TYPE(MATCH(I19,I20:I$203,0))&gt;1),0,MATCH(I19,I20:I$203,0))+IF(OR(TYPE(I19)&gt;1,TYPE(MATCH(I19,O$11:O$203,0))&gt;1),0,MATCH(I19,O$11:O$203,0))+IF(OR(TYPE(I19)&gt;1,TYPE(MATCH(I19,U$11:U$203,0))&gt;1),0,MATCH(I19,U$11:U$203,0))+IF(OR(TYPE(I19)&gt;1,TYPE(MATCH(I19,AA$11:AA$203,0))&gt;1),0,MATCH(I19,AA$11:AA$203,0))</f>
        <v>0</v>
      </c>
      <c r="AO19" s="72">
        <f ca="1">IF(OR(TYPE(O19)&gt;1,TYPE(MATCH(O19,I$11:I$203,0))&gt;1),0,MATCH(O19,I$11:I$203,0))+IF(OR(TYPE(O19)&gt;1,TYPE(MATCH(O19,O20:O$203,0))&gt;1),0,MATCH(O19,O20:O$203,0))+IF(OR(TYPE(O19)&gt;1,TYPE(MATCH(O19,U$11:U$203,0))&gt;1),0,MATCH(O19,U$11:U$203,0))+IF(OR(TYPE(O19)&gt;1,TYPE(MATCH(O19,AA$11:AA$203,0))&gt;1),0,MATCH(O19,AA$11:AA$203,0))</f>
        <v>0</v>
      </c>
      <c r="AP19" s="72">
        <f ca="1">IF(OR(TYPE(U19)&gt;1,TYPE(MATCH(U19,I$11:I$203,0))&gt;1),0,MATCH(U19,I$11:I$203,0))+IF(OR(TYPE(U19)&gt;1,TYPE(MATCH(U19,O$11:O$203,0))&gt;1),0,MATCH(U19,O$11:O$203,0))+IF(OR(TYPE(U19)&gt;1,TYPE(MATCH(U19,U20:U$203,0))&gt;1),0,MATCH(U19,U20:U$203,0))+IF(OR(TYPE(U19)&gt;1,TYPE(MATCH(U19,AA$11:AA$203,0))&gt;1),0,MATCH(U19,AA$11:AA$203,0))</f>
        <v>0</v>
      </c>
      <c r="AQ19" s="72">
        <f ca="1">IF(OR(TYPE(AA19)&gt;1,TYPE(MATCH(AA19,I$11:I$203,0))&gt;1),0,MATCH(AA19,I$11:I$203,0))+IF(OR(TYPE(AA19)&gt;1,TYPE(MATCH(AA19,O$11:O$203,0))&gt;1),0,MATCH(AA19,O$11:O$203,0))+IF(OR(TYPE(AA19)&gt;1,TYPE(MATCH(AA19,U$11:U$203,0))&gt;1),0,MATCH(U19,U$11:U$203,0))+IF(OR(TYPE(AA19)&gt;1,TYPE(MATCH(AA19,AA20:AA$203,0))&gt;1),0,MATCH(AA19,AA20:AA$203,0))</f>
        <v>0</v>
      </c>
      <c r="AR19" s="72">
        <f t="shared" ca="1" si="14"/>
        <v>0</v>
      </c>
    </row>
    <row r="20" spans="1:44" ht="14.25">
      <c r="A20" s="103">
        <f t="shared" ca="1" si="0"/>
        <v>3</v>
      </c>
      <c r="B20" s="103">
        <f t="shared" ca="1" si="1"/>
        <v>1</v>
      </c>
      <c r="C20" s="156">
        <f t="shared" ca="1" si="2"/>
        <v>39.911999999999999</v>
      </c>
      <c r="D20" s="103">
        <f t="shared" ca="1" si="3"/>
        <v>549</v>
      </c>
      <c r="E20" s="103">
        <f t="shared" ca="1" si="4"/>
        <v>150</v>
      </c>
      <c r="F20" s="104" t="str">
        <f t="shared" ca="1" si="5"/>
        <v>01000000000000000000782855</v>
      </c>
      <c r="G20" s="145">
        <f t="shared" ca="1" si="6"/>
        <v>0</v>
      </c>
      <c r="H20" s="146">
        <f t="shared" si="7"/>
        <v>10</v>
      </c>
      <c r="I20" s="147">
        <f t="shared" ca="1" si="8"/>
        <v>11044</v>
      </c>
      <c r="J20" s="148" t="str">
        <f ca="1">IF(N(I20)&gt;0,VLOOKUP(I20,Hraci!$A$1:$I$1000,2,0),IF(TYPE(INDIRECT(ADDRESS(ROW() + $A$9-9 + (ROW()-11)*4,2,1,1,"Internet")))&gt;1,INDIRECT(ADDRESS(ROW() + $A$9-9 + (ROW()-11)*4,2,1,1,"Internet"))," "))</f>
        <v>Ilgner</v>
      </c>
      <c r="K20" s="149" t="str">
        <f ca="1">IF(N(I20)&gt;0,VLOOKUP(I20,Hraci!$A$1:$I$1000,3,0)," ")</f>
        <v>Vladimír</v>
      </c>
      <c r="L20" s="149" t="str">
        <f ca="1">IF(N(I20)&gt;0,VLOOKUP(I20,Hraci!$A$1:$I$1000,5,0),IF(TYPE(INDIRECT(ADDRESS(ROW() + $A$9-9 + (ROW()-11)*4,3,1,1,"Internet")))&gt;1,INDIRECT(ADDRESS(ROW() + $A$9-9 + (ROW()-11)*4,3,1,1,"Internet"))," "))</f>
        <v>1. Starobrněnský PK</v>
      </c>
      <c r="M20" s="149">
        <f ca="1">IF(N(I20)=0,9999,VLOOKUP(I20,Hraci!$A$1:$I$1000,8,0))</f>
        <v>150</v>
      </c>
      <c r="N20" s="150">
        <f ca="1">IF(N(I20)=0,0,VLOOKUP(I20,Hraci!$A$1:$I$1000,9,0))</f>
        <v>15.315</v>
      </c>
      <c r="O20" s="147">
        <f t="shared" ca="1" si="9"/>
        <v>28005</v>
      </c>
      <c r="P20" s="148" t="str">
        <f ca="1">IF(N(O20)&gt;0,VLOOKUP(O20,Hraci!$A$1:$I$1000,2,0),IF(TYPE(INDIRECT(ADDRESS(ROW() + $A$9-8 + (ROW()-11)*4,2,1,1,"Internet")))&gt;1,INDIRECT(ADDRESS(ROW() + $A$9-8 + (ROW()-11)*4,2,1,1,"Internet"))," "))</f>
        <v>Blažej</v>
      </c>
      <c r="Q20" s="149" t="str">
        <f ca="1">IF(N(O20)&gt;0,VLOOKUP(O20,Hraci!$A$1:$I$1000,3,0)," ")</f>
        <v>Petr</v>
      </c>
      <c r="R20" s="149" t="str">
        <f ca="1">IF(N(O20)&gt;0,VLOOKUP(O20,Hraci!$A$1:$I$1000,5,0),IF(TYPE(INDIRECT(ADDRESS(ROW() + $A$9-8 + (ROW()-11)*4,3,1,1,"Internet")))&gt;1,INDIRECT(ADDRESS(ROW() + $A$9-8 + (ROW()-11)*4,3,1,1,"Internet"))," "))</f>
        <v>1. Starobrněnský PK</v>
      </c>
      <c r="S20" s="149">
        <f ca="1">IF(N(O20)=0,9999,VLOOKUP(O20,Hraci!$A$1:$I$1000,8,0))</f>
        <v>160</v>
      </c>
      <c r="T20" s="150">
        <f ca="1">IF(N(O20)=0,0,VLOOKUP(O20,Hraci!$A$1:$I$1000,9,0))</f>
        <v>16.876999999999999</v>
      </c>
      <c r="U20" s="147">
        <f t="shared" ca="1" si="10"/>
        <v>11045</v>
      </c>
      <c r="V20" s="148" t="str">
        <f ca="1">IF(N(U20)&gt;0,VLOOKUP(U20,Hraci!$A$1:$I$1000,2,0),IF(TYPE(INDIRECT(ADDRESS(ROW() + $A$9-7 + (ROW()-11)*4,2,1,1,"Internet")))&gt;1,INDIRECT(ADDRESS(ROW() + $A$9-7 + (ROW()-11)*4,2,1,1,"Internet"))," "))</f>
        <v>Krtička</v>
      </c>
      <c r="W20" s="149" t="str">
        <f ca="1">IF(N(U20)&gt;0,VLOOKUP(U20,Hraci!$A$1:$I$1000,3,0)," ")</f>
        <v>Jiří</v>
      </c>
      <c r="X20" s="149" t="str">
        <f ca="1">IF(N(U20)&gt;0,VLOOKUP(U20,Hraci!$A$1:$I$1000,5,0),IF(TYPE(INDIRECT(ADDRESS(ROW() + $A$9-7 + (ROW()-11)*4,3,1,1,"Internet")))&gt;1,INDIRECT(ADDRESS(ROW() + $A$9-7 + (ROW()-11)*4,3,1,1,"Internet"))," "))</f>
        <v>1. Starobrněnský PK</v>
      </c>
      <c r="Y20" s="149">
        <f ca="1">IF(N(U20)=0,9999,VLOOKUP(U20,Hraci!$A$1:$I$1000,8,0))</f>
        <v>239</v>
      </c>
      <c r="Z20" s="150">
        <f ca="1">IF(N(U20)=0,0,VLOOKUP(U20,Hraci!$A$1:$I$1000,9,0))</f>
        <v>7.72</v>
      </c>
      <c r="AA20" s="147" t="str">
        <f t="shared" ca="1" si="11"/>
        <v/>
      </c>
      <c r="AB20" s="148" t="str">
        <f ca="1">IF(N(AA20)&gt;0,VLOOKUP(AA20,Hraci!$A$1:$I$1000,2,0)," ")</f>
        <v xml:space="preserve"> </v>
      </c>
      <c r="AC20" s="149" t="str">
        <f ca="1">IF(N(AA20)&gt;0,VLOOKUP(AA20,Hraci!$A$1:$I$1000,3,0)," ")</f>
        <v xml:space="preserve"> </v>
      </c>
      <c r="AD20" s="149" t="str">
        <f ca="1">IF(N(AA20)&gt;0,VLOOKUP(AA20,Hraci!$A$1:$I$1000,5,0)," ")</f>
        <v xml:space="preserve"> </v>
      </c>
      <c r="AE20" s="149">
        <f ca="1">IF(N(AA20)=0,9999,VLOOKUP(AA20,Hraci!$A$1:$I$1000,8,0))</f>
        <v>9999</v>
      </c>
      <c r="AF20" s="150">
        <f ca="1">IF(N(AA20)=0,0,VLOOKUP(AA20,Hraci!$A$1:$I$1000,9,0))</f>
        <v>0</v>
      </c>
      <c r="AG20" s="147"/>
      <c r="AH20" s="151">
        <v>9</v>
      </c>
      <c r="AI20" s="152" t="e">
        <f ca="1">IF(N($AH20)&gt;0,VLOOKUP($AH20,Body!$A$4:$F$259,5,0),"")</f>
        <v>#REF!</v>
      </c>
      <c r="AJ20" s="153">
        <f ca="1">IF(N($AH20)&gt;0,VLOOKUP($AH20,Body!$A$4:$F$259,6,0),"")</f>
        <v>0</v>
      </c>
      <c r="AK20" s="152">
        <f ca="1">IF(N($AH20)&gt;0,VLOOKUP($AH20,Body!$A$4:$F$259,2,0),"")</f>
        <v>0.875</v>
      </c>
      <c r="AL20" s="154" t="str">
        <f t="shared" ca="1" si="12"/>
        <v>1. Starobrněnský PK - Ilgner Vladimír</v>
      </c>
      <c r="AM20" s="155">
        <f t="shared" ca="1" si="13"/>
        <v>39.911999999999999</v>
      </c>
      <c r="AN20" s="72">
        <f ca="1">IF(OR(TYPE(I20)&gt;1,TYPE(MATCH(I20,I21:I$203,0))&gt;1),0,MATCH(I20,I21:I$203,0))+IF(OR(TYPE(I20)&gt;1,TYPE(MATCH(I20,O$11:O$203,0))&gt;1),0,MATCH(I20,O$11:O$203,0))+IF(OR(TYPE(I20)&gt;1,TYPE(MATCH(I20,U$11:U$203,0))&gt;1),0,MATCH(I20,U$11:U$203,0))+IF(OR(TYPE(I20)&gt;1,TYPE(MATCH(I20,AA$11:AA$203,0))&gt;1),0,MATCH(I20,AA$11:AA$203,0))</f>
        <v>0</v>
      </c>
      <c r="AO20" s="72">
        <f ca="1">IF(OR(TYPE(O20)&gt;1,TYPE(MATCH(O20,I$11:I$203,0))&gt;1),0,MATCH(O20,I$11:I$203,0))+IF(OR(TYPE(O20)&gt;1,TYPE(MATCH(O20,O21:O$203,0))&gt;1),0,MATCH(O20,O21:O$203,0))+IF(OR(TYPE(O20)&gt;1,TYPE(MATCH(O20,U$11:U$203,0))&gt;1),0,MATCH(O20,U$11:U$203,0))+IF(OR(TYPE(O20)&gt;1,TYPE(MATCH(O20,AA$11:AA$203,0))&gt;1),0,MATCH(O20,AA$11:AA$203,0))</f>
        <v>0</v>
      </c>
      <c r="AP20" s="72">
        <f ca="1">IF(OR(TYPE(U20)&gt;1,TYPE(MATCH(U20,I$11:I$203,0))&gt;1),0,MATCH(U20,I$11:I$203,0))+IF(OR(TYPE(U20)&gt;1,TYPE(MATCH(U20,O$11:O$203,0))&gt;1),0,MATCH(U20,O$11:O$203,0))+IF(OR(TYPE(U20)&gt;1,TYPE(MATCH(U20,U21:U$203,0))&gt;1),0,MATCH(U20,U21:U$203,0))+IF(OR(TYPE(U20)&gt;1,TYPE(MATCH(U20,AA$11:AA$203,0))&gt;1),0,MATCH(U20,AA$11:AA$203,0))</f>
        <v>0</v>
      </c>
      <c r="AQ20" s="72">
        <f ca="1">IF(OR(TYPE(AA20)&gt;1,TYPE(MATCH(AA20,I$11:I$203,0))&gt;1),0,MATCH(AA20,I$11:I$203,0))+IF(OR(TYPE(AA20)&gt;1,TYPE(MATCH(AA20,O$11:O$203,0))&gt;1),0,MATCH(AA20,O$11:O$203,0))+IF(OR(TYPE(AA20)&gt;1,TYPE(MATCH(AA20,U$11:U$203,0))&gt;1),0,MATCH(U20,U$11:U$203,0))+IF(OR(TYPE(AA20)&gt;1,TYPE(MATCH(AA20,AA21:AA$203,0))&gt;1),0,MATCH(AA20,AA21:AA$203,0))</f>
        <v>0</v>
      </c>
      <c r="AR20" s="72">
        <f t="shared" ca="1" si="14"/>
        <v>0</v>
      </c>
    </row>
    <row r="21" spans="1:44" ht="14.25">
      <c r="A21" s="103">
        <f t="shared" ca="1" si="0"/>
        <v>3</v>
      </c>
      <c r="B21" s="103">
        <f t="shared" ca="1" si="1"/>
        <v>1</v>
      </c>
      <c r="C21" s="156">
        <f t="shared" ca="1" si="2"/>
        <v>32.503999999999998</v>
      </c>
      <c r="D21" s="103">
        <f t="shared" ca="1" si="3"/>
        <v>784</v>
      </c>
      <c r="E21" s="103">
        <f t="shared" ca="1" si="4"/>
        <v>237</v>
      </c>
      <c r="F21" s="104" t="str">
        <f t="shared" ca="1" si="5"/>
        <v>01000000000000000000887046</v>
      </c>
      <c r="G21" s="145">
        <f t="shared" ca="1" si="6"/>
        <v>0</v>
      </c>
      <c r="H21" s="146">
        <f t="shared" si="7"/>
        <v>11</v>
      </c>
      <c r="I21" s="147">
        <f t="shared" ca="1" si="8"/>
        <v>18071</v>
      </c>
      <c r="J21" s="148" t="str">
        <f ca="1">IF(N(I21)&gt;0,VLOOKUP(I21,Hraci!$A$1:$I$1000,2,0),IF(TYPE(INDIRECT(ADDRESS(ROW() + $A$9-9 + (ROW()-11)*4,2,1,1,"Internet")))&gt;1,INDIRECT(ADDRESS(ROW() + $A$9-9 + (ROW()-11)*4,2,1,1,"Internet"))," "))</f>
        <v>Koudelka</v>
      </c>
      <c r="K21" s="149" t="str">
        <f ca="1">IF(N(I21)&gt;0,VLOOKUP(I21,Hraci!$A$1:$I$1000,3,0)," ")</f>
        <v>Josef</v>
      </c>
      <c r="L21" s="149" t="str">
        <f ca="1">IF(N(I21)&gt;0,VLOOKUP(I21,Hraci!$A$1:$I$1000,5,0),IF(TYPE(INDIRECT(ADDRESS(ROW() + $A$9-9 + (ROW()-11)*4,3,1,1,"Internet")))&gt;1,INDIRECT(ADDRESS(ROW() + $A$9-9 + (ROW()-11)*4,3,1,1,"Internet"))," "))</f>
        <v>PK Polouvsí</v>
      </c>
      <c r="M21" s="149">
        <f ca="1">IF(N(I21)=0,9999,VLOOKUP(I21,Hraci!$A$1:$I$1000,8,0))</f>
        <v>283</v>
      </c>
      <c r="N21" s="150">
        <f ca="1">IF(N(I21)=0,0,VLOOKUP(I21,Hraci!$A$1:$I$1000,9,0))</f>
        <v>9.5009999999999994</v>
      </c>
      <c r="O21" s="147">
        <f t="shared" ca="1" si="9"/>
        <v>18070</v>
      </c>
      <c r="P21" s="148" t="str">
        <f ca="1">IF(N(O21)&gt;0,VLOOKUP(O21,Hraci!$A$1:$I$1000,2,0),IF(TYPE(INDIRECT(ADDRESS(ROW() + $A$9-8 + (ROW()-11)*4,2,1,1,"Internet")))&gt;1,INDIRECT(ADDRESS(ROW() + $A$9-8 + (ROW()-11)*4,2,1,1,"Internet"))," "))</f>
        <v>Koudelková</v>
      </c>
      <c r="Q21" s="149" t="str">
        <f ca="1">IF(N(O21)&gt;0,VLOOKUP(O21,Hraci!$A$1:$I$1000,3,0)," ")</f>
        <v>Magdaléna</v>
      </c>
      <c r="R21" s="149" t="str">
        <f ca="1">IF(N(O21)&gt;0,VLOOKUP(O21,Hraci!$A$1:$I$1000,5,0),IF(TYPE(INDIRECT(ADDRESS(ROW() + $A$9-8 + (ROW()-11)*4,3,1,1,"Internet")))&gt;1,INDIRECT(ADDRESS(ROW() + $A$9-8 + (ROW()-11)*4,3,1,1,"Internet"))," "))</f>
        <v>PK Polouvsí</v>
      </c>
      <c r="S21" s="149">
        <f ca="1">IF(N(O21)=0,9999,VLOOKUP(O21,Hraci!$A$1:$I$1000,8,0))</f>
        <v>264</v>
      </c>
      <c r="T21" s="150">
        <f ca="1">IF(N(O21)=0,0,VLOOKUP(O21,Hraci!$A$1:$I$1000,9,0))</f>
        <v>10.125999999999999</v>
      </c>
      <c r="U21" s="147">
        <f t="shared" ca="1" si="10"/>
        <v>18131</v>
      </c>
      <c r="V21" s="148" t="str">
        <f ca="1">IF(N(U21)&gt;0,VLOOKUP(U21,Hraci!$A$1:$I$1000,2,0),IF(TYPE(INDIRECT(ADDRESS(ROW() + $A$9-7 + (ROW()-11)*4,2,1,1,"Internet")))&gt;1,INDIRECT(ADDRESS(ROW() + $A$9-7 + (ROW()-11)*4,2,1,1,"Internet"))," "))</f>
        <v>Marečková</v>
      </c>
      <c r="W21" s="149" t="str">
        <f ca="1">IF(N(U21)&gt;0,VLOOKUP(U21,Hraci!$A$1:$I$1000,3,0)," ")</f>
        <v>Yvonne</v>
      </c>
      <c r="X21" s="149" t="str">
        <f ca="1">IF(N(U21)&gt;0,VLOOKUP(U21,Hraci!$A$1:$I$1000,5,0),IF(TYPE(INDIRECT(ADDRESS(ROW() + $A$9-7 + (ROW()-11)*4,3,1,1,"Internet")))&gt;1,INDIRECT(ADDRESS(ROW() + $A$9-7 + (ROW()-11)*4,3,1,1,"Internet"))," "))</f>
        <v>Orel Řečkovice</v>
      </c>
      <c r="Y21" s="149">
        <f ca="1">IF(N(U21)=0,9999,VLOOKUP(U21,Hraci!$A$1:$I$1000,8,0))</f>
        <v>237</v>
      </c>
      <c r="Z21" s="150">
        <f ca="1">IF(N(U21)=0,0,VLOOKUP(U21,Hraci!$A$1:$I$1000,9,0))</f>
        <v>12.877000000000001</v>
      </c>
      <c r="AA21" s="147" t="str">
        <f t="shared" ca="1" si="11"/>
        <v/>
      </c>
      <c r="AB21" s="148" t="str">
        <f ca="1">IF(N(AA21)&gt;0,VLOOKUP(AA21,Hraci!$A$1:$I$1000,2,0)," ")</f>
        <v xml:space="preserve"> </v>
      </c>
      <c r="AC21" s="149" t="str">
        <f ca="1">IF(N(AA21)&gt;0,VLOOKUP(AA21,Hraci!$A$1:$I$1000,3,0)," ")</f>
        <v xml:space="preserve"> </v>
      </c>
      <c r="AD21" s="149" t="str">
        <f ca="1">IF(N(AA21)&gt;0,VLOOKUP(AA21,Hraci!$A$1:$I$1000,5,0)," ")</f>
        <v xml:space="preserve"> </v>
      </c>
      <c r="AE21" s="149">
        <f ca="1">IF(N(AA21)=0,9999,VLOOKUP(AA21,Hraci!$A$1:$I$1000,8,0))</f>
        <v>9999</v>
      </c>
      <c r="AF21" s="150">
        <f ca="1">IF(N(AA21)=0,0,VLOOKUP(AA21,Hraci!$A$1:$I$1000,9,0))</f>
        <v>0</v>
      </c>
      <c r="AG21" s="147"/>
      <c r="AH21" s="151">
        <v>6</v>
      </c>
      <c r="AI21" s="152" t="e">
        <f ca="1">IF(N($AH21)&gt;0,VLOOKUP($AH21,Body!$A$4:$F$259,5,0),"")</f>
        <v>#REF!</v>
      </c>
      <c r="AJ21" s="153">
        <f ca="1">IF(N($AH21)&gt;0,VLOOKUP($AH21,Body!$A$4:$F$259,6,0),"")</f>
        <v>0</v>
      </c>
      <c r="AK21" s="152">
        <f ca="1">IF(N($AH21)&gt;0,VLOOKUP($AH21,Body!$A$4:$F$259,2,0),"")</f>
        <v>1.5</v>
      </c>
      <c r="AL21" s="154" t="str">
        <f t="shared" ca="1" si="12"/>
        <v>PK Polouvsí - Koudelka Josef</v>
      </c>
      <c r="AM21" s="155">
        <f t="shared" ca="1" si="13"/>
        <v>32.503999999999998</v>
      </c>
      <c r="AN21" s="72">
        <f ca="1">IF(OR(TYPE(I21)&gt;1,TYPE(MATCH(I21,I22:I$203,0))&gt;1),0,MATCH(I21,I22:I$203,0))+IF(OR(TYPE(I21)&gt;1,TYPE(MATCH(I21,O$11:O$203,0))&gt;1),0,MATCH(I21,O$11:O$203,0))+IF(OR(TYPE(I21)&gt;1,TYPE(MATCH(I21,U$11:U$203,0))&gt;1),0,MATCH(I21,U$11:U$203,0))+IF(OR(TYPE(I21)&gt;1,TYPE(MATCH(I21,AA$11:AA$203,0))&gt;1),0,MATCH(I21,AA$11:AA$203,0))</f>
        <v>0</v>
      </c>
      <c r="AO21" s="72">
        <f ca="1">IF(OR(TYPE(O21)&gt;1,TYPE(MATCH(O21,I$11:I$203,0))&gt;1),0,MATCH(O21,I$11:I$203,0))+IF(OR(TYPE(O21)&gt;1,TYPE(MATCH(O21,O22:O$203,0))&gt;1),0,MATCH(O21,O22:O$203,0))+IF(OR(TYPE(O21)&gt;1,TYPE(MATCH(O21,U$11:U$203,0))&gt;1),0,MATCH(O21,U$11:U$203,0))+IF(OR(TYPE(O21)&gt;1,TYPE(MATCH(O21,AA$11:AA$203,0))&gt;1),0,MATCH(O21,AA$11:AA$203,0))</f>
        <v>0</v>
      </c>
      <c r="AP21" s="72">
        <f ca="1">IF(OR(TYPE(U21)&gt;1,TYPE(MATCH(U21,I$11:I$203,0))&gt;1),0,MATCH(U21,I$11:I$203,0))+IF(OR(TYPE(U21)&gt;1,TYPE(MATCH(U21,O$11:O$203,0))&gt;1),0,MATCH(U21,O$11:O$203,0))+IF(OR(TYPE(U21)&gt;1,TYPE(MATCH(U21,U22:U$203,0))&gt;1),0,MATCH(U21,U22:U$203,0))+IF(OR(TYPE(U21)&gt;1,TYPE(MATCH(U21,AA$11:AA$203,0))&gt;1),0,MATCH(U21,AA$11:AA$203,0))</f>
        <v>0</v>
      </c>
      <c r="AQ21" s="72">
        <f ca="1">IF(OR(TYPE(AA21)&gt;1,TYPE(MATCH(AA21,I$11:I$203,0))&gt;1),0,MATCH(AA21,I$11:I$203,0))+IF(OR(TYPE(AA21)&gt;1,TYPE(MATCH(AA21,O$11:O$203,0))&gt;1),0,MATCH(AA21,O$11:O$203,0))+IF(OR(TYPE(AA21)&gt;1,TYPE(MATCH(AA21,U$11:U$203,0))&gt;1),0,MATCH(U21,U$11:U$203,0))+IF(OR(TYPE(AA21)&gt;1,TYPE(MATCH(AA21,AA22:AA$203,0))&gt;1),0,MATCH(AA21,AA22:AA$203,0))</f>
        <v>0</v>
      </c>
      <c r="AR21" s="72">
        <f t="shared" ca="1" si="14"/>
        <v>0</v>
      </c>
    </row>
    <row r="22" spans="1:44" ht="14.25">
      <c r="A22" s="103">
        <f t="shared" ca="1" si="0"/>
        <v>3</v>
      </c>
      <c r="B22" s="103">
        <f t="shared" ca="1" si="1"/>
        <v>1</v>
      </c>
      <c r="C22" s="156">
        <f t="shared" ca="1" si="2"/>
        <v>31.096</v>
      </c>
      <c r="D22" s="103">
        <f t="shared" ca="1" si="3"/>
        <v>848</v>
      </c>
      <c r="E22" s="103">
        <f t="shared" ca="1" si="4"/>
        <v>187</v>
      </c>
      <c r="F22" s="104" t="str">
        <f t="shared" ca="1" si="5"/>
        <v>01000000000000000000944675</v>
      </c>
      <c r="G22" s="145">
        <f t="shared" ca="1" si="6"/>
        <v>0</v>
      </c>
      <c r="H22" s="146">
        <f t="shared" si="7"/>
        <v>12</v>
      </c>
      <c r="I22" s="147">
        <f t="shared" ca="1" si="8"/>
        <v>18124</v>
      </c>
      <c r="J22" s="148" t="str">
        <f ca="1">IF(N(I22)&gt;0,VLOOKUP(I22,Hraci!$A$1:$I$1000,2,0),IF(TYPE(INDIRECT(ADDRESS(ROW() + $A$9-9 + (ROW()-11)*4,2,1,1,"Internet")))&gt;1,INDIRECT(ADDRESS(ROW() + $A$9-9 + (ROW()-11)*4,2,1,1,"Internet"))," "))</f>
        <v>Valošková</v>
      </c>
      <c r="K22" s="149" t="str">
        <f ca="1">IF(N(I22)&gt;0,VLOOKUP(I22,Hraci!$A$1:$I$1000,3,0)," ")</f>
        <v>Sára</v>
      </c>
      <c r="L22" s="149" t="str">
        <f ca="1">IF(N(I22)&gt;0,VLOOKUP(I22,Hraci!$A$1:$I$1000,5,0),IF(TYPE(INDIRECT(ADDRESS(ROW() + $A$9-9 + (ROW()-11)*4,3,1,1,"Internet")))&gt;1,INDIRECT(ADDRESS(ROW() + $A$9-9 + (ROW()-11)*4,3,1,1,"Internet"))," "))</f>
        <v>PK Polouvsí</v>
      </c>
      <c r="M22" s="149">
        <f ca="1">IF(N(I22)=0,9999,VLOOKUP(I22,Hraci!$A$1:$I$1000,8,0))</f>
        <v>230</v>
      </c>
      <c r="N22" s="150">
        <f ca="1">IF(N(I22)=0,0,VLOOKUP(I22,Hraci!$A$1:$I$1000,9,0))</f>
        <v>11.500999999999999</v>
      </c>
      <c r="O22" s="147">
        <f t="shared" ca="1" si="9"/>
        <v>18072</v>
      </c>
      <c r="P22" s="148" t="str">
        <f ca="1">IF(N(O22)&gt;0,VLOOKUP(O22,Hraci!$A$1:$I$1000,2,0),IF(TYPE(INDIRECT(ADDRESS(ROW() + $A$9-8 + (ROW()-11)*4,2,1,1,"Internet")))&gt;1,INDIRECT(ADDRESS(ROW() + $A$9-8 + (ROW()-11)*4,2,1,1,"Internet"))," "))</f>
        <v>Ondryhal</v>
      </c>
      <c r="Q22" s="149" t="str">
        <f ca="1">IF(N(O22)&gt;0,VLOOKUP(O22,Hraci!$A$1:$I$1000,3,0)," ")</f>
        <v>Lukáš</v>
      </c>
      <c r="R22" s="149" t="str">
        <f ca="1">IF(N(O22)&gt;0,VLOOKUP(O22,Hraci!$A$1:$I$1000,5,0),IF(TYPE(INDIRECT(ADDRESS(ROW() + $A$9-8 + (ROW()-11)*4,3,1,1,"Internet")))&gt;1,INDIRECT(ADDRESS(ROW() + $A$9-8 + (ROW()-11)*4,3,1,1,"Internet"))," "))</f>
        <v>PK Polouvsí</v>
      </c>
      <c r="S22" s="149">
        <f ca="1">IF(N(O22)=0,9999,VLOOKUP(O22,Hraci!$A$1:$I$1000,8,0))</f>
        <v>187</v>
      </c>
      <c r="T22" s="150">
        <f ca="1">IF(N(O22)=0,0,VLOOKUP(O22,Hraci!$A$1:$I$1000,9,0))</f>
        <v>14.813000000000001</v>
      </c>
      <c r="U22" s="147">
        <f t="shared" ca="1" si="10"/>
        <v>19034</v>
      </c>
      <c r="V22" s="148" t="str">
        <f ca="1">IF(N(U22)&gt;0,VLOOKUP(U22,Hraci!$A$1:$I$1000,2,0),IF(TYPE(INDIRECT(ADDRESS(ROW() + $A$9-7 + (ROW()-11)*4,2,1,1,"Internet")))&gt;1,INDIRECT(ADDRESS(ROW() + $A$9-7 + (ROW()-11)*4,2,1,1,"Internet"))," "))</f>
        <v>Valošek</v>
      </c>
      <c r="W22" s="149" t="str">
        <f ca="1">IF(N(U22)&gt;0,VLOOKUP(U22,Hraci!$A$1:$I$1000,3,0)," ")</f>
        <v>Hugo</v>
      </c>
      <c r="X22" s="149" t="str">
        <f ca="1">IF(N(U22)&gt;0,VLOOKUP(U22,Hraci!$A$1:$I$1000,5,0),IF(TYPE(INDIRECT(ADDRESS(ROW() + $A$9-7 + (ROW()-11)*4,3,1,1,"Internet")))&gt;1,INDIRECT(ADDRESS(ROW() + $A$9-7 + (ROW()-11)*4,3,1,1,"Internet"))," "))</f>
        <v>PK Polouvsí</v>
      </c>
      <c r="Y22" s="149">
        <f ca="1">IF(N(U22)=0,9999,VLOOKUP(U22,Hraci!$A$1:$I$1000,8,0))</f>
        <v>431</v>
      </c>
      <c r="Z22" s="150">
        <f ca="1">IF(N(U22)=0,0,VLOOKUP(U22,Hraci!$A$1:$I$1000,9,0))</f>
        <v>4.782</v>
      </c>
      <c r="AA22" s="147" t="str">
        <f t="shared" ca="1" si="11"/>
        <v/>
      </c>
      <c r="AB22" s="148" t="str">
        <f ca="1">IF(N(AA22)&gt;0,VLOOKUP(AA22,Hraci!$A$1:$I$1000,2,0)," ")</f>
        <v xml:space="preserve"> </v>
      </c>
      <c r="AC22" s="149" t="str">
        <f ca="1">IF(N(AA22)&gt;0,VLOOKUP(AA22,Hraci!$A$1:$I$1000,3,0)," ")</f>
        <v xml:space="preserve"> </v>
      </c>
      <c r="AD22" s="149" t="str">
        <f ca="1">IF(N(AA22)&gt;0,VLOOKUP(AA22,Hraci!$A$1:$I$1000,5,0)," ")</f>
        <v xml:space="preserve"> </v>
      </c>
      <c r="AE22" s="149">
        <f ca="1">IF(N(AA22)=0,9999,VLOOKUP(AA22,Hraci!$A$1:$I$1000,8,0))</f>
        <v>9999</v>
      </c>
      <c r="AF22" s="150">
        <f ca="1">IF(N(AA22)=0,0,VLOOKUP(AA22,Hraci!$A$1:$I$1000,9,0))</f>
        <v>0</v>
      </c>
      <c r="AG22" s="147"/>
      <c r="AH22" s="151">
        <v>7</v>
      </c>
      <c r="AI22" s="152" t="e">
        <f ca="1">IF(N($AH22)&gt;0,VLOOKUP($AH22,Body!$A$4:$F$259,5,0),"")</f>
        <v>#REF!</v>
      </c>
      <c r="AJ22" s="153">
        <f ca="1">IF(N($AH22)&gt;0,VLOOKUP($AH22,Body!$A$4:$F$259,6,0),"")</f>
        <v>0</v>
      </c>
      <c r="AK22" s="152">
        <f ca="1">IF(N($AH22)&gt;0,VLOOKUP($AH22,Body!$A$4:$F$259,2,0),"")</f>
        <v>1.25</v>
      </c>
      <c r="AL22" s="154" t="str">
        <f t="shared" ca="1" si="12"/>
        <v>PK Polouvsí - Valošková Sára</v>
      </c>
      <c r="AM22" s="155">
        <f t="shared" ca="1" si="13"/>
        <v>31.096</v>
      </c>
      <c r="AN22" s="72">
        <f ca="1">IF(OR(TYPE(I22)&gt;1,TYPE(MATCH(I22,I23:I$203,0))&gt;1),0,MATCH(I22,I23:I$203,0))+IF(OR(TYPE(I22)&gt;1,TYPE(MATCH(I22,O$11:O$203,0))&gt;1),0,MATCH(I22,O$11:O$203,0))+IF(OR(TYPE(I22)&gt;1,TYPE(MATCH(I22,U$11:U$203,0))&gt;1),0,MATCH(I22,U$11:U$203,0))+IF(OR(TYPE(I22)&gt;1,TYPE(MATCH(I22,AA$11:AA$203,0))&gt;1),0,MATCH(I22,AA$11:AA$203,0))</f>
        <v>0</v>
      </c>
      <c r="AO22" s="72">
        <f ca="1">IF(OR(TYPE(O22)&gt;1,TYPE(MATCH(O22,I$11:I$203,0))&gt;1),0,MATCH(O22,I$11:I$203,0))+IF(OR(TYPE(O22)&gt;1,TYPE(MATCH(O22,O23:O$203,0))&gt;1),0,MATCH(O22,O23:O$203,0))+IF(OR(TYPE(O22)&gt;1,TYPE(MATCH(O22,U$11:U$203,0))&gt;1),0,MATCH(O22,U$11:U$203,0))+IF(OR(TYPE(O22)&gt;1,TYPE(MATCH(O22,AA$11:AA$203,0))&gt;1),0,MATCH(O22,AA$11:AA$203,0))</f>
        <v>0</v>
      </c>
      <c r="AP22" s="72">
        <f ca="1">IF(OR(TYPE(U22)&gt;1,TYPE(MATCH(U22,I$11:I$203,0))&gt;1),0,MATCH(U22,I$11:I$203,0))+IF(OR(TYPE(U22)&gt;1,TYPE(MATCH(U22,O$11:O$203,0))&gt;1),0,MATCH(U22,O$11:O$203,0))+IF(OR(TYPE(U22)&gt;1,TYPE(MATCH(U22,U23:U$203,0))&gt;1),0,MATCH(U22,U23:U$203,0))+IF(OR(TYPE(U22)&gt;1,TYPE(MATCH(U22,AA$11:AA$203,0))&gt;1),0,MATCH(U22,AA$11:AA$203,0))</f>
        <v>0</v>
      </c>
      <c r="AQ22" s="72">
        <f ca="1">IF(OR(TYPE(AA22)&gt;1,TYPE(MATCH(AA22,I$11:I$203,0))&gt;1),0,MATCH(AA22,I$11:I$203,0))+IF(OR(TYPE(AA22)&gt;1,TYPE(MATCH(AA22,O$11:O$203,0))&gt;1),0,MATCH(AA22,O$11:O$203,0))+IF(OR(TYPE(AA22)&gt;1,TYPE(MATCH(AA22,U$11:U$203,0))&gt;1),0,MATCH(U22,U$11:U$203,0))+IF(OR(TYPE(AA22)&gt;1,TYPE(MATCH(AA22,AA23:AA$203,0))&gt;1),0,MATCH(AA22,AA23:AA$203,0))</f>
        <v>0</v>
      </c>
      <c r="AR22" s="72">
        <f t="shared" ca="1" si="14"/>
        <v>0</v>
      </c>
    </row>
    <row r="23" spans="1:44" ht="14.25">
      <c r="A23" s="103">
        <f t="shared" ca="1" si="0"/>
        <v>3</v>
      </c>
      <c r="B23" s="103">
        <f t="shared" ca="1" si="1"/>
        <v>1</v>
      </c>
      <c r="C23" s="156">
        <f t="shared" ca="1" si="2"/>
        <v>18.66</v>
      </c>
      <c r="D23" s="103">
        <f t="shared" ca="1" si="3"/>
        <v>1477</v>
      </c>
      <c r="E23" s="103">
        <f t="shared" ca="1" si="4"/>
        <v>174</v>
      </c>
      <c r="F23" s="104" t="str">
        <f t="shared" ca="1" si="5"/>
        <v>01000000000000000000294138</v>
      </c>
      <c r="G23" s="145">
        <f t="shared" ca="1" si="6"/>
        <v>0</v>
      </c>
      <c r="H23" s="146">
        <f t="shared" si="7"/>
        <v>13</v>
      </c>
      <c r="I23" s="147">
        <f t="shared" ca="1" si="8"/>
        <v>13011</v>
      </c>
      <c r="J23" s="148" t="str">
        <f ca="1">IF(N(I23)&gt;0,VLOOKUP(I23,Hraci!$A$1:$I$1000,2,0),IF(TYPE(INDIRECT(ADDRESS(ROW() + $A$9-9 + (ROW()-11)*4,2,1,1,"Internet")))&gt;1,INDIRECT(ADDRESS(ROW() + $A$9-9 + (ROW()-11)*4,2,1,1,"Internet"))," "))</f>
        <v>Navrátil</v>
      </c>
      <c r="K23" s="149" t="str">
        <f ca="1">IF(N(I23)&gt;0,VLOOKUP(I23,Hraci!$A$1:$I$1000,3,0)," ")</f>
        <v>Petr</v>
      </c>
      <c r="L23" s="149" t="str">
        <f ca="1">IF(N(I23)&gt;0,VLOOKUP(I23,Hraci!$A$1:$I$1000,5,0),IF(TYPE(INDIRECT(ADDRESS(ROW() + $A$9-9 + (ROW()-11)*4,3,1,1,"Internet")))&gt;1,INDIRECT(ADDRESS(ROW() + $A$9-9 + (ROW()-11)*4,3,1,1,"Internet"))," "))</f>
        <v>HAPEK</v>
      </c>
      <c r="M23" s="149">
        <f ca="1">IF(N(I23)=0,9999,VLOOKUP(I23,Hraci!$A$1:$I$1000,8,0))</f>
        <v>435</v>
      </c>
      <c r="N23" s="150">
        <f ca="1">IF(N(I23)=0,0,VLOOKUP(I23,Hraci!$A$1:$I$1000,9,0))</f>
        <v>3.1259999999999999</v>
      </c>
      <c r="O23" s="147">
        <f t="shared" ca="1" si="9"/>
        <v>20554</v>
      </c>
      <c r="P23" s="148" t="str">
        <f ca="1">IF(N(O23)&gt;0,VLOOKUP(O23,Hraci!$A$1:$I$1000,2,0),IF(TYPE(INDIRECT(ADDRESS(ROW() + $A$9-8 + (ROW()-11)*4,2,1,1,"Internet")))&gt;1,INDIRECT(ADDRESS(ROW() + $A$9-8 + (ROW()-11)*4,2,1,1,"Internet"))," "))</f>
        <v>Ptáček</v>
      </c>
      <c r="Q23" s="149" t="str">
        <f ca="1">IF(N(O23)&gt;0,VLOOKUP(O23,Hraci!$A$1:$I$1000,3,0)," ")</f>
        <v>Luboš</v>
      </c>
      <c r="R23" s="149" t="str">
        <f ca="1">IF(N(O23)&gt;0,VLOOKUP(O23,Hraci!$A$1:$I$1000,5,0),IF(TYPE(INDIRECT(ADDRESS(ROW() + $A$9-8 + (ROW()-11)*4,3,1,1,"Internet")))&gt;1,INDIRECT(ADDRESS(ROW() + $A$9-8 + (ROW()-11)*4,3,1,1,"Internet"))," "))</f>
        <v>HRODE KRUMSÍN</v>
      </c>
      <c r="S23" s="149">
        <f ca="1">IF(N(O23)=0,9999,VLOOKUP(O23,Hraci!$A$1:$I$1000,8,0))</f>
        <v>868</v>
      </c>
      <c r="T23" s="150">
        <f ca="1">IF(N(O23)=0,0,VLOOKUP(O23,Hraci!$A$1:$I$1000,9,0))</f>
        <v>0</v>
      </c>
      <c r="U23" s="147">
        <f t="shared" ca="1" si="10"/>
        <v>28056</v>
      </c>
      <c r="V23" s="148" t="str">
        <f ca="1">IF(N(U23)&gt;0,VLOOKUP(U23,Hraci!$A$1:$I$1000,2,0),IF(TYPE(INDIRECT(ADDRESS(ROW() + $A$9-7 + (ROW()-11)*4,2,1,1,"Internet")))&gt;1,INDIRECT(ADDRESS(ROW() + $A$9-7 + (ROW()-11)*4,2,1,1,"Internet"))," "))</f>
        <v>Blažejová</v>
      </c>
      <c r="W23" s="149" t="str">
        <f ca="1">IF(N(U23)&gt;0,VLOOKUP(U23,Hraci!$A$1:$I$1000,3,0)," ")</f>
        <v>Eva</v>
      </c>
      <c r="X23" s="149" t="str">
        <f ca="1">IF(N(U23)&gt;0,VLOOKUP(U23,Hraci!$A$1:$I$1000,5,0),IF(TYPE(INDIRECT(ADDRESS(ROW() + $A$9-7 + (ROW()-11)*4,3,1,1,"Internet")))&gt;1,INDIRECT(ADDRESS(ROW() + $A$9-7 + (ROW()-11)*4,3,1,1,"Internet"))," "))</f>
        <v>1. Starobrněnský PK</v>
      </c>
      <c r="Y23" s="149">
        <f ca="1">IF(N(U23)=0,9999,VLOOKUP(U23,Hraci!$A$1:$I$1000,8,0))</f>
        <v>174</v>
      </c>
      <c r="Z23" s="150">
        <f ca="1">IF(N(U23)=0,0,VLOOKUP(U23,Hraci!$A$1:$I$1000,9,0))</f>
        <v>15.534000000000001</v>
      </c>
      <c r="AA23" s="147" t="str">
        <f t="shared" ca="1" si="11"/>
        <v/>
      </c>
      <c r="AB23" s="148" t="str">
        <f ca="1">IF(N(AA23)&gt;0,VLOOKUP(AA23,Hraci!$A$1:$I$1000,2,0)," ")</f>
        <v xml:space="preserve"> </v>
      </c>
      <c r="AC23" s="149" t="str">
        <f ca="1">IF(N(AA23)&gt;0,VLOOKUP(AA23,Hraci!$A$1:$I$1000,3,0)," ")</f>
        <v xml:space="preserve"> </v>
      </c>
      <c r="AD23" s="149" t="str">
        <f ca="1">IF(N(AA23)&gt;0,VLOOKUP(AA23,Hraci!$A$1:$I$1000,5,0)," ")</f>
        <v xml:space="preserve"> </v>
      </c>
      <c r="AE23" s="149">
        <f ca="1">IF(N(AA23)=0,9999,VLOOKUP(AA23,Hraci!$A$1:$I$1000,8,0))</f>
        <v>9999</v>
      </c>
      <c r="AF23" s="150">
        <f ca="1">IF(N(AA23)=0,0,VLOOKUP(AA23,Hraci!$A$1:$I$1000,9,0))</f>
        <v>0</v>
      </c>
      <c r="AG23" s="147"/>
      <c r="AH23" s="151">
        <v>13</v>
      </c>
      <c r="AI23" s="152" t="e">
        <f ca="1">IF(N($AH23)&gt;0,VLOOKUP($AH23,Body!$A$4:$F$259,5,0),"")</f>
        <v>#REF!</v>
      </c>
      <c r="AJ23" s="153">
        <f ca="1">IF(N($AH23)&gt;0,VLOOKUP($AH23,Body!$A$4:$F$259,6,0),"")</f>
        <v>0</v>
      </c>
      <c r="AK23" s="152">
        <f ca="1">IF(N($AH23)&gt;0,VLOOKUP($AH23,Body!$A$4:$F$259,2,0),"")</f>
        <v>0.375</v>
      </c>
      <c r="AL23" s="154" t="str">
        <f t="shared" ca="1" si="12"/>
        <v>HAPEK - Navrátil Petr</v>
      </c>
      <c r="AM23" s="155">
        <f t="shared" ca="1" si="13"/>
        <v>18.66</v>
      </c>
      <c r="AN23" s="72">
        <f ca="1">IF(OR(TYPE(I23)&gt;1,TYPE(MATCH(I23,I24:I$203,0))&gt;1),0,MATCH(I23,I24:I$203,0))+IF(OR(TYPE(I23)&gt;1,TYPE(MATCH(I23,O$11:O$203,0))&gt;1),0,MATCH(I23,O$11:O$203,0))+IF(OR(TYPE(I23)&gt;1,TYPE(MATCH(I23,U$11:U$203,0))&gt;1),0,MATCH(I23,U$11:U$203,0))+IF(OR(TYPE(I23)&gt;1,TYPE(MATCH(I23,AA$11:AA$203,0))&gt;1),0,MATCH(I23,AA$11:AA$203,0))</f>
        <v>0</v>
      </c>
      <c r="AO23" s="72">
        <f ca="1">IF(OR(TYPE(O23)&gt;1,TYPE(MATCH(O23,I$11:I$203,0))&gt;1),0,MATCH(O23,I$11:I$203,0))+IF(OR(TYPE(O23)&gt;1,TYPE(MATCH(O23,O24:O$203,0))&gt;1),0,MATCH(O23,O24:O$203,0))+IF(OR(TYPE(O23)&gt;1,TYPE(MATCH(O23,U$11:U$203,0))&gt;1),0,MATCH(O23,U$11:U$203,0))+IF(OR(TYPE(O23)&gt;1,TYPE(MATCH(O23,AA$11:AA$203,0))&gt;1),0,MATCH(O23,AA$11:AA$203,0))</f>
        <v>0</v>
      </c>
      <c r="AP23" s="72">
        <f ca="1">IF(OR(TYPE(U23)&gt;1,TYPE(MATCH(U23,I$11:I$203,0))&gt;1),0,MATCH(U23,I$11:I$203,0))+IF(OR(TYPE(U23)&gt;1,TYPE(MATCH(U23,O$11:O$203,0))&gt;1),0,MATCH(U23,O$11:O$203,0))+IF(OR(TYPE(U23)&gt;1,TYPE(MATCH(U23,U24:U$203,0))&gt;1),0,MATCH(U23,U24:U$203,0))+IF(OR(TYPE(U23)&gt;1,TYPE(MATCH(U23,AA$11:AA$203,0))&gt;1),0,MATCH(U23,AA$11:AA$203,0))</f>
        <v>0</v>
      </c>
      <c r="AQ23" s="72">
        <f ca="1">IF(OR(TYPE(AA23)&gt;1,TYPE(MATCH(AA23,I$11:I$203,0))&gt;1),0,MATCH(AA23,I$11:I$203,0))+IF(OR(TYPE(AA23)&gt;1,TYPE(MATCH(AA23,O$11:O$203,0))&gt;1),0,MATCH(AA23,O$11:O$203,0))+IF(OR(TYPE(AA23)&gt;1,TYPE(MATCH(AA23,U$11:U$203,0))&gt;1),0,MATCH(U23,U$11:U$203,0))+IF(OR(TYPE(AA23)&gt;1,TYPE(MATCH(AA23,AA24:AA$203,0))&gt;1),0,MATCH(AA23,AA24:AA$203,0))</f>
        <v>0</v>
      </c>
      <c r="AR23" s="72">
        <f t="shared" ca="1" si="14"/>
        <v>0</v>
      </c>
    </row>
    <row r="24" spans="1:44" ht="14.25">
      <c r="A24" s="103">
        <f t="shared" ca="1" si="0"/>
        <v>3</v>
      </c>
      <c r="B24" s="103">
        <f t="shared" ca="1" si="1"/>
        <v>1</v>
      </c>
      <c r="C24" s="156">
        <f t="shared" ca="1" si="2"/>
        <v>13.313000000000001</v>
      </c>
      <c r="D24" s="103">
        <f t="shared" ca="1" si="3"/>
        <v>1202</v>
      </c>
      <c r="E24" s="103">
        <f t="shared" ca="1" si="4"/>
        <v>332</v>
      </c>
      <c r="F24" s="104" t="str">
        <f t="shared" ca="1" si="5"/>
        <v>01000000000000000000923253</v>
      </c>
      <c r="G24" s="145">
        <f t="shared" ca="1" si="6"/>
        <v>0</v>
      </c>
      <c r="H24" s="146">
        <f t="shared" si="7"/>
        <v>14</v>
      </c>
      <c r="I24" s="147">
        <f t="shared" ca="1" si="8"/>
        <v>29023</v>
      </c>
      <c r="J24" s="148" t="str">
        <f ca="1">IF(N(I24)&gt;0,VLOOKUP(I24,Hraci!$A$1:$I$1000,2,0),IF(TYPE(INDIRECT(ADDRESS(ROW() + $A$9-9 + (ROW()-11)*4,2,1,1,"Internet")))&gt;1,INDIRECT(ADDRESS(ROW() + $A$9-9 + (ROW()-11)*4,2,1,1,"Internet"))," "))</f>
        <v>Suk</v>
      </c>
      <c r="K24" s="149" t="str">
        <f ca="1">IF(N(I24)&gt;0,VLOOKUP(I24,Hraci!$A$1:$I$1000,3,0)," ")</f>
        <v>Miroslav</v>
      </c>
      <c r="L24" s="149" t="str">
        <f ca="1">IF(N(I24)&gt;0,VLOOKUP(I24,Hraci!$A$1:$I$1000,5,0),IF(TYPE(INDIRECT(ADDRESS(ROW() + $A$9-9 + (ROW()-11)*4,3,1,1,"Internet")))&gt;1,INDIRECT(ADDRESS(ROW() + $A$9-9 + (ROW()-11)*4,3,1,1,"Internet"))," "))</f>
        <v>SKP Hranice VI-Valšovice</v>
      </c>
      <c r="M24" s="149">
        <f ca="1">IF(N(I24)=0,9999,VLOOKUP(I24,Hraci!$A$1:$I$1000,8,0))</f>
        <v>332</v>
      </c>
      <c r="N24" s="150">
        <f ca="1">IF(N(I24)=0,0,VLOOKUP(I24,Hraci!$A$1:$I$1000,9,0))</f>
        <v>6.5940000000000003</v>
      </c>
      <c r="O24" s="147">
        <f t="shared" ca="1" si="9"/>
        <v>13066</v>
      </c>
      <c r="P24" s="148" t="str">
        <f ca="1">IF(N(O24)&gt;0,VLOOKUP(O24,Hraci!$A$1:$I$1000,2,0),IF(TYPE(INDIRECT(ADDRESS(ROW() + $A$9-8 + (ROW()-11)*4,2,1,1,"Internet")))&gt;1,INDIRECT(ADDRESS(ROW() + $A$9-8 + (ROW()-11)*4,2,1,1,"Internet"))," "))</f>
        <v>Ondruška</v>
      </c>
      <c r="Q24" s="149" t="str">
        <f ca="1">IF(N(O24)&gt;0,VLOOKUP(O24,Hraci!$A$1:$I$1000,3,0)," ")</f>
        <v>Pavel</v>
      </c>
      <c r="R24" s="149" t="str">
        <f ca="1">IF(N(O24)&gt;0,VLOOKUP(O24,Hraci!$A$1:$I$1000,5,0),IF(TYPE(INDIRECT(ADDRESS(ROW() + $A$9-8 + (ROW()-11)*4,3,1,1,"Internet")))&gt;1,INDIRECT(ADDRESS(ROW() + $A$9-8 + (ROW()-11)*4,3,1,1,"Internet"))," "))</f>
        <v>SKP Hranice VI-Valšovice</v>
      </c>
      <c r="S24" s="149">
        <f ca="1">IF(N(O24)=0,9999,VLOOKUP(O24,Hraci!$A$1:$I$1000,8,0))</f>
        <v>469</v>
      </c>
      <c r="T24" s="150">
        <f ca="1">IF(N(O24)=0,0,VLOOKUP(O24,Hraci!$A$1:$I$1000,9,0))</f>
        <v>2.875</v>
      </c>
      <c r="U24" s="147">
        <f t="shared" ca="1" si="10"/>
        <v>10144</v>
      </c>
      <c r="V24" s="148" t="str">
        <f ca="1">IF(N(U24)&gt;0,VLOOKUP(U24,Hraci!$A$1:$I$1000,2,0),IF(TYPE(INDIRECT(ADDRESS(ROW() + $A$9-7 + (ROW()-11)*4,2,1,1,"Internet")))&gt;1,INDIRECT(ADDRESS(ROW() + $A$9-7 + (ROW()-11)*4,2,1,1,"Internet"))," "))</f>
        <v>Ježíšek</v>
      </c>
      <c r="W24" s="149" t="str">
        <f ca="1">IF(N(U24)&gt;0,VLOOKUP(U24,Hraci!$A$1:$I$1000,3,0)," ")</f>
        <v>Jan</v>
      </c>
      <c r="X24" s="149" t="str">
        <f ca="1">IF(N(U24)&gt;0,VLOOKUP(U24,Hraci!$A$1:$I$1000,5,0),IF(TYPE(INDIRECT(ADDRESS(ROW() + $A$9-7 + (ROW()-11)*4,3,1,1,"Internet")))&gt;1,INDIRECT(ADDRESS(ROW() + $A$9-7 + (ROW()-11)*4,3,1,1,"Internet"))," "))</f>
        <v>SKP Hranice VI-Valšovice</v>
      </c>
      <c r="Y24" s="149">
        <f ca="1">IF(N(U24)=0,9999,VLOOKUP(U24,Hraci!$A$1:$I$1000,8,0))</f>
        <v>401</v>
      </c>
      <c r="Z24" s="150">
        <f ca="1">IF(N(U24)=0,0,VLOOKUP(U24,Hraci!$A$1:$I$1000,9,0))</f>
        <v>3.8439999999999999</v>
      </c>
      <c r="AA24" s="147" t="str">
        <f t="shared" ca="1" si="11"/>
        <v/>
      </c>
      <c r="AB24" s="148" t="str">
        <f ca="1">IF(N(AA24)&gt;0,VLOOKUP(AA24,Hraci!$A$1:$I$1000,2,0)," ")</f>
        <v xml:space="preserve"> </v>
      </c>
      <c r="AC24" s="149" t="str">
        <f ca="1">IF(N(AA24)&gt;0,VLOOKUP(AA24,Hraci!$A$1:$I$1000,3,0)," ")</f>
        <v xml:space="preserve"> </v>
      </c>
      <c r="AD24" s="149" t="str">
        <f ca="1">IF(N(AA24)&gt;0,VLOOKUP(AA24,Hraci!$A$1:$I$1000,5,0)," ")</f>
        <v xml:space="preserve"> </v>
      </c>
      <c r="AE24" s="149">
        <f ca="1">IF(N(AA24)=0,9999,VLOOKUP(AA24,Hraci!$A$1:$I$1000,8,0))</f>
        <v>9999</v>
      </c>
      <c r="AF24" s="150">
        <f ca="1">IF(N(AA24)=0,0,VLOOKUP(AA24,Hraci!$A$1:$I$1000,9,0))</f>
        <v>0</v>
      </c>
      <c r="AG24" s="147"/>
      <c r="AH24" s="151">
        <v>16</v>
      </c>
      <c r="AI24" s="152" t="e">
        <f ca="1">IF(N($AH24)&gt;0,VLOOKUP($AH24,Body!$A$4:$F$259,5,0),"")</f>
        <v>#REF!</v>
      </c>
      <c r="AJ24" s="153">
        <f ca="1">IF(N($AH24)&gt;0,VLOOKUP($AH24,Body!$A$4:$F$259,6,0),"")</f>
        <v>0</v>
      </c>
      <c r="AK24" s="152">
        <f ca="1">IF(N($AH24)&gt;0,VLOOKUP($AH24,Body!$A$4:$F$259,2,0),"")</f>
        <v>0</v>
      </c>
      <c r="AL24" s="154" t="str">
        <f t="shared" ca="1" si="12"/>
        <v>SKP Hranice VI-Valšovice - Suk Miroslav</v>
      </c>
      <c r="AM24" s="155">
        <f t="shared" ca="1" si="13"/>
        <v>13.313000000000001</v>
      </c>
      <c r="AN24" s="72">
        <f ca="1">IF(OR(TYPE(I24)&gt;1,TYPE(MATCH(I24,I25:I$203,0))&gt;1),0,MATCH(I24,I25:I$203,0))+IF(OR(TYPE(I24)&gt;1,TYPE(MATCH(I24,O$11:O$203,0))&gt;1),0,MATCH(I24,O$11:O$203,0))+IF(OR(TYPE(I24)&gt;1,TYPE(MATCH(I24,U$11:U$203,0))&gt;1),0,MATCH(I24,U$11:U$203,0))+IF(OR(TYPE(I24)&gt;1,TYPE(MATCH(I24,AA$11:AA$203,0))&gt;1),0,MATCH(I24,AA$11:AA$203,0))</f>
        <v>0</v>
      </c>
      <c r="AO24" s="72">
        <f ca="1">IF(OR(TYPE(O24)&gt;1,TYPE(MATCH(O24,I$11:I$203,0))&gt;1),0,MATCH(O24,I$11:I$203,0))+IF(OR(TYPE(O24)&gt;1,TYPE(MATCH(O24,O25:O$203,0))&gt;1),0,MATCH(O24,O25:O$203,0))+IF(OR(TYPE(O24)&gt;1,TYPE(MATCH(O24,U$11:U$203,0))&gt;1),0,MATCH(O24,U$11:U$203,0))+IF(OR(TYPE(O24)&gt;1,TYPE(MATCH(O24,AA$11:AA$203,0))&gt;1),0,MATCH(O24,AA$11:AA$203,0))</f>
        <v>0</v>
      </c>
      <c r="AP24" s="72">
        <f ca="1">IF(OR(TYPE(U24)&gt;1,TYPE(MATCH(U24,I$11:I$203,0))&gt;1),0,MATCH(U24,I$11:I$203,0))+IF(OR(TYPE(U24)&gt;1,TYPE(MATCH(U24,O$11:O$203,0))&gt;1),0,MATCH(U24,O$11:O$203,0))+IF(OR(TYPE(U24)&gt;1,TYPE(MATCH(U24,U25:U$203,0))&gt;1),0,MATCH(U24,U25:U$203,0))+IF(OR(TYPE(U24)&gt;1,TYPE(MATCH(U24,AA$11:AA$203,0))&gt;1),0,MATCH(U24,AA$11:AA$203,0))</f>
        <v>0</v>
      </c>
      <c r="AQ24" s="72">
        <f ca="1">IF(OR(TYPE(AA24)&gt;1,TYPE(MATCH(AA24,I$11:I$203,0))&gt;1),0,MATCH(AA24,I$11:I$203,0))+IF(OR(TYPE(AA24)&gt;1,TYPE(MATCH(AA24,O$11:O$203,0))&gt;1),0,MATCH(AA24,O$11:O$203,0))+IF(OR(TYPE(AA24)&gt;1,TYPE(MATCH(AA24,U$11:U$203,0))&gt;1),0,MATCH(U24,U$11:U$203,0))+IF(OR(TYPE(AA24)&gt;1,TYPE(MATCH(AA24,AA25:AA$203,0))&gt;1),0,MATCH(AA24,AA25:AA$203,0))</f>
        <v>0</v>
      </c>
      <c r="AR24" s="72">
        <f t="shared" ca="1" si="14"/>
        <v>0</v>
      </c>
    </row>
    <row r="25" spans="1:44" ht="14.25">
      <c r="A25" s="103">
        <f t="shared" ca="1" si="0"/>
        <v>3</v>
      </c>
      <c r="B25" s="103">
        <f t="shared" ca="1" si="1"/>
        <v>1</v>
      </c>
      <c r="C25" s="156">
        <f t="shared" ca="1" si="2"/>
        <v>8.3770000000000007</v>
      </c>
      <c r="D25" s="103">
        <f t="shared" ca="1" si="3"/>
        <v>1606</v>
      </c>
      <c r="E25" s="103">
        <f t="shared" ca="1" si="4"/>
        <v>336</v>
      </c>
      <c r="F25" s="104" t="str">
        <f t="shared" ca="1" si="5"/>
        <v>01000000000000000000060312</v>
      </c>
      <c r="G25" s="145">
        <f t="shared" ca="1" si="6"/>
        <v>0</v>
      </c>
      <c r="H25" s="146">
        <f t="shared" si="7"/>
        <v>15</v>
      </c>
      <c r="I25" s="147">
        <f t="shared" ca="1" si="8"/>
        <v>11013</v>
      </c>
      <c r="J25" s="148" t="str">
        <f ca="1">IF(N(I25)&gt;0,VLOOKUP(I25,Hraci!$A$1:$I$1000,2,0),IF(TYPE(INDIRECT(ADDRESS(ROW() + $A$9-9 + (ROW()-11)*4,2,1,1,"Internet")))&gt;1,INDIRECT(ADDRESS(ROW() + $A$9-9 + (ROW()-11)*4,2,1,1,"Internet"))," "))</f>
        <v>Suková</v>
      </c>
      <c r="K25" s="149" t="str">
        <f ca="1">IF(N(I25)&gt;0,VLOOKUP(I25,Hraci!$A$1:$I$1000,3,0)," ")</f>
        <v>Eva</v>
      </c>
      <c r="L25" s="149" t="str">
        <f ca="1">IF(N(I25)&gt;0,VLOOKUP(I25,Hraci!$A$1:$I$1000,5,0),IF(TYPE(INDIRECT(ADDRESS(ROW() + $A$9-9 + (ROW()-11)*4,3,1,1,"Internet")))&gt;1,INDIRECT(ADDRESS(ROW() + $A$9-9 + (ROW()-11)*4,3,1,1,"Internet"))," "))</f>
        <v>SKP Hranice VI-Valšovice</v>
      </c>
      <c r="M25" s="149">
        <f ca="1">IF(N(I25)=0,9999,VLOOKUP(I25,Hraci!$A$1:$I$1000,8,0))</f>
        <v>336</v>
      </c>
      <c r="N25" s="150">
        <f ca="1">IF(N(I25)=0,0,VLOOKUP(I25,Hraci!$A$1:$I$1000,9,0))</f>
        <v>6.2510000000000003</v>
      </c>
      <c r="O25" s="147">
        <f t="shared" ca="1" si="9"/>
        <v>11014</v>
      </c>
      <c r="P25" s="148" t="str">
        <f ca="1">IF(N(O25)&gt;0,VLOOKUP(O25,Hraci!$A$1:$I$1000,2,0),IF(TYPE(INDIRECT(ADDRESS(ROW() + $A$9-8 + (ROW()-11)*4,2,1,1,"Internet")))&gt;1,INDIRECT(ADDRESS(ROW() + $A$9-8 + (ROW()-11)*4,2,1,1,"Internet"))," "))</f>
        <v>Ježíšková</v>
      </c>
      <c r="Q25" s="149" t="str">
        <f ca="1">IF(N(O25)&gt;0,VLOOKUP(O25,Hraci!$A$1:$I$1000,3,0)," ")</f>
        <v>Božena</v>
      </c>
      <c r="R25" s="149" t="str">
        <f ca="1">IF(N(O25)&gt;0,VLOOKUP(O25,Hraci!$A$1:$I$1000,5,0),IF(TYPE(INDIRECT(ADDRESS(ROW() + $A$9-8 + (ROW()-11)*4,3,1,1,"Internet")))&gt;1,INDIRECT(ADDRESS(ROW() + $A$9-8 + (ROW()-11)*4,3,1,1,"Internet"))," "))</f>
        <v>SKP Hranice VI-Valšovice</v>
      </c>
      <c r="S25" s="149">
        <f ca="1">IF(N(O25)=0,9999,VLOOKUP(O25,Hraci!$A$1:$I$1000,8,0))</f>
        <v>527</v>
      </c>
      <c r="T25" s="150">
        <f ca="1">IF(N(O25)=0,0,VLOOKUP(O25,Hraci!$A$1:$I$1000,9,0))</f>
        <v>2.1259999999999999</v>
      </c>
      <c r="U25" s="147">
        <f t="shared" ca="1" si="10"/>
        <v>20553</v>
      </c>
      <c r="V25" s="148" t="str">
        <f ca="1">IF(N(U25)&gt;0,VLOOKUP(U25,Hraci!$A$1:$I$1000,2,0),IF(TYPE(INDIRECT(ADDRESS(ROW() + $A$9-7 + (ROW()-11)*4,2,1,1,"Internet")))&gt;1,INDIRECT(ADDRESS(ROW() + $A$9-7 + (ROW()-11)*4,2,1,1,"Internet"))," "))</f>
        <v>Jahnová</v>
      </c>
      <c r="W25" s="149" t="str">
        <f ca="1">IF(N(U25)&gt;0,VLOOKUP(U25,Hraci!$A$1:$I$1000,3,0)," ")</f>
        <v>Monika</v>
      </c>
      <c r="X25" s="149" t="str">
        <f ca="1">IF(N(U25)&gt;0,VLOOKUP(U25,Hraci!$A$1:$I$1000,5,0),IF(TYPE(INDIRECT(ADDRESS(ROW() + $A$9-7 + (ROW()-11)*4,3,1,1,"Internet")))&gt;1,INDIRECT(ADDRESS(ROW() + $A$9-7 + (ROW()-11)*4,3,1,1,"Internet"))," "))</f>
        <v>SKP Hranice VI-Valšovice</v>
      </c>
      <c r="Y25" s="149">
        <f ca="1">IF(N(U25)=0,9999,VLOOKUP(U25,Hraci!$A$1:$I$1000,8,0))</f>
        <v>743</v>
      </c>
      <c r="Z25" s="150">
        <f ca="1">IF(N(U25)=0,0,VLOOKUP(U25,Hraci!$A$1:$I$1000,9,0))</f>
        <v>0</v>
      </c>
      <c r="AA25" s="147" t="str">
        <f t="shared" ca="1" si="11"/>
        <v/>
      </c>
      <c r="AB25" s="148" t="str">
        <f ca="1">IF(N(AA25)&gt;0,VLOOKUP(AA25,Hraci!$A$1:$I$1000,2,0)," ")</f>
        <v xml:space="preserve"> </v>
      </c>
      <c r="AC25" s="149" t="str">
        <f ca="1">IF(N(AA25)&gt;0,VLOOKUP(AA25,Hraci!$A$1:$I$1000,3,0)," ")</f>
        <v xml:space="preserve"> </v>
      </c>
      <c r="AD25" s="149" t="str">
        <f ca="1">IF(N(AA25)&gt;0,VLOOKUP(AA25,Hraci!$A$1:$I$1000,5,0)," ")</f>
        <v xml:space="preserve"> </v>
      </c>
      <c r="AE25" s="149">
        <f ca="1">IF(N(AA25)=0,9999,VLOOKUP(AA25,Hraci!$A$1:$I$1000,8,0))</f>
        <v>9999</v>
      </c>
      <c r="AF25" s="150">
        <f ca="1">IF(N(AA25)=0,0,VLOOKUP(AA25,Hraci!$A$1:$I$1000,9,0))</f>
        <v>0</v>
      </c>
      <c r="AG25" s="147"/>
      <c r="AH25" s="151">
        <v>14</v>
      </c>
      <c r="AI25" s="152" t="e">
        <f ca="1">IF(N($AH25)&gt;0,VLOOKUP($AH25,Body!$A$4:$F$259,5,0),"")</f>
        <v>#REF!</v>
      </c>
      <c r="AJ25" s="153">
        <f ca="1">IF(N($AH25)&gt;0,VLOOKUP($AH25,Body!$A$4:$F$259,6,0),"")</f>
        <v>0</v>
      </c>
      <c r="AK25" s="152">
        <f ca="1">IF(N($AH25)&gt;0,VLOOKUP($AH25,Body!$A$4:$F$259,2,0),"")</f>
        <v>0.25</v>
      </c>
      <c r="AL25" s="154" t="str">
        <f t="shared" ca="1" si="12"/>
        <v>SKP Hranice VI-Valšovice - Suková Eva</v>
      </c>
      <c r="AM25" s="155">
        <f t="shared" ca="1" si="13"/>
        <v>8.3770000000000007</v>
      </c>
      <c r="AN25" s="72">
        <f ca="1">IF(OR(TYPE(I25)&gt;1,TYPE(MATCH(I25,I26:I$203,0))&gt;1),0,MATCH(I25,I26:I$203,0))+IF(OR(TYPE(I25)&gt;1,TYPE(MATCH(I25,O$11:O$203,0))&gt;1),0,MATCH(I25,O$11:O$203,0))+IF(OR(TYPE(I25)&gt;1,TYPE(MATCH(I25,U$11:U$203,0))&gt;1),0,MATCH(I25,U$11:U$203,0))+IF(OR(TYPE(I25)&gt;1,TYPE(MATCH(I25,AA$11:AA$203,0))&gt;1),0,MATCH(I25,AA$11:AA$203,0))</f>
        <v>0</v>
      </c>
      <c r="AO25" s="72">
        <f ca="1">IF(OR(TYPE(O25)&gt;1,TYPE(MATCH(O25,I$11:I$203,0))&gt;1),0,MATCH(O25,I$11:I$203,0))+IF(OR(TYPE(O25)&gt;1,TYPE(MATCH(O25,O26:O$203,0))&gt;1),0,MATCH(O25,O26:O$203,0))+IF(OR(TYPE(O25)&gt;1,TYPE(MATCH(O25,U$11:U$203,0))&gt;1),0,MATCH(O25,U$11:U$203,0))+IF(OR(TYPE(O25)&gt;1,TYPE(MATCH(O25,AA$11:AA$203,0))&gt;1),0,MATCH(O25,AA$11:AA$203,0))</f>
        <v>0</v>
      </c>
      <c r="AP25" s="72">
        <f ca="1">IF(OR(TYPE(U25)&gt;1,TYPE(MATCH(U25,I$11:I$203,0))&gt;1),0,MATCH(U25,I$11:I$203,0))+IF(OR(TYPE(U25)&gt;1,TYPE(MATCH(U25,O$11:O$203,0))&gt;1),0,MATCH(U25,O$11:O$203,0))+IF(OR(TYPE(U25)&gt;1,TYPE(MATCH(U25,U26:U$203,0))&gt;1),0,MATCH(U25,U26:U$203,0))+IF(OR(TYPE(U25)&gt;1,TYPE(MATCH(U25,AA$11:AA$203,0))&gt;1),0,MATCH(U25,AA$11:AA$203,0))</f>
        <v>0</v>
      </c>
      <c r="AQ25" s="72">
        <f ca="1">IF(OR(TYPE(AA25)&gt;1,TYPE(MATCH(AA25,I$11:I$203,0))&gt;1),0,MATCH(AA25,I$11:I$203,0))+IF(OR(TYPE(AA25)&gt;1,TYPE(MATCH(AA25,O$11:O$203,0))&gt;1),0,MATCH(AA25,O$11:O$203,0))+IF(OR(TYPE(AA25)&gt;1,TYPE(MATCH(AA25,U$11:U$203,0))&gt;1),0,MATCH(U25,U$11:U$203,0))+IF(OR(TYPE(AA25)&gt;1,TYPE(MATCH(AA25,AA26:AA$203,0))&gt;1),0,MATCH(AA25,AA26:AA$203,0))</f>
        <v>0</v>
      </c>
      <c r="AR25" s="72">
        <f t="shared" ca="1" si="14"/>
        <v>0</v>
      </c>
    </row>
    <row r="26" spans="1:44" ht="14.25">
      <c r="A26" s="103">
        <f t="shared" ca="1" si="0"/>
        <v>3</v>
      </c>
      <c r="B26" s="103">
        <f t="shared" ca="1" si="1"/>
        <v>1</v>
      </c>
      <c r="C26" s="156">
        <f t="shared" ca="1" si="2"/>
        <v>3</v>
      </c>
      <c r="D26" s="103">
        <f t="shared" ca="1" si="3"/>
        <v>11220</v>
      </c>
      <c r="E26" s="103">
        <f t="shared" ca="1" si="4"/>
        <v>515</v>
      </c>
      <c r="F26" s="104" t="str">
        <f t="shared" ca="1" si="5"/>
        <v>01000000000000000000329742</v>
      </c>
      <c r="G26" s="145">
        <f t="shared" ca="1" si="6"/>
        <v>0</v>
      </c>
      <c r="H26" s="146">
        <f t="shared" si="7"/>
        <v>16</v>
      </c>
      <c r="I26" s="147">
        <f t="shared" ca="1" si="8"/>
        <v>18067</v>
      </c>
      <c r="J26" s="148" t="str">
        <f ca="1">IF(N(I26)&gt;0,VLOOKUP(I26,Hraci!$A$1:$I$1000,2,0),IF(TYPE(INDIRECT(ADDRESS(ROW() + $A$9-9 + (ROW()-11)*4,2,1,1,"Internet")))&gt;1,INDIRECT(ADDRESS(ROW() + $A$9-9 + (ROW()-11)*4,2,1,1,"Internet"))," "))</f>
        <v>Vrzal</v>
      </c>
      <c r="K26" s="149" t="str">
        <f ca="1">IF(N(I26)&gt;0,VLOOKUP(I26,Hraci!$A$1:$I$1000,3,0)," ")</f>
        <v>Radomír</v>
      </c>
      <c r="L26" s="149" t="str">
        <f ca="1">IF(N(I26)&gt;0,VLOOKUP(I26,Hraci!$A$1:$I$1000,5,0),IF(TYPE(INDIRECT(ADDRESS(ROW() + $A$9-9 + (ROW()-11)*4,3,1,1,"Internet")))&gt;1,INDIRECT(ADDRESS(ROW() + $A$9-9 + (ROW()-11)*4,3,1,1,"Internet"))," "))</f>
        <v>PK Polouvsí</v>
      </c>
      <c r="M26" s="149">
        <f ca="1">IF(N(I26)=0,9999,VLOOKUP(I26,Hraci!$A$1:$I$1000,8,0))</f>
        <v>515</v>
      </c>
      <c r="N26" s="150">
        <f ca="1">IF(N(I26)=0,0,VLOOKUP(I26,Hraci!$A$1:$I$1000,9,0))</f>
        <v>3</v>
      </c>
      <c r="O26" s="147">
        <f t="shared" ca="1" si="9"/>
        <v>18069</v>
      </c>
      <c r="P26" s="148" t="str">
        <f ca="1">IF(N(O26)&gt;0,VLOOKUP(O26,Hraci!$A$1:$I$1000,2,0),IF(TYPE(INDIRECT(ADDRESS(ROW() + $A$9-8 + (ROW()-11)*4,2,1,1,"Internet")))&gt;1,INDIRECT(ADDRESS(ROW() + $A$9-8 + (ROW()-11)*4,2,1,1,"Internet"))," "))</f>
        <v>Gráfik</v>
      </c>
      <c r="Q26" s="149" t="str">
        <f ca="1">IF(N(O26)&gt;0,VLOOKUP(O26,Hraci!$A$1:$I$1000,3,0)," ")</f>
        <v>Jiří</v>
      </c>
      <c r="R26" s="149" t="str">
        <f ca="1">IF(N(O26)&gt;0,VLOOKUP(O26,Hraci!$A$1:$I$1000,5,0),IF(TYPE(INDIRECT(ADDRESS(ROW() + $A$9-8 + (ROW()-11)*4,3,1,1,"Internet")))&gt;1,INDIRECT(ADDRESS(ROW() + $A$9-8 + (ROW()-11)*4,3,1,1,"Internet"))," "))</f>
        <v>PK Polouvsí</v>
      </c>
      <c r="S26" s="149">
        <f ca="1">IF(N(O26)=0,9999,VLOOKUP(O26,Hraci!$A$1:$I$1000,8,0))</f>
        <v>706</v>
      </c>
      <c r="T26" s="150">
        <f ca="1">IF(N(O26)=0,0,VLOOKUP(O26,Hraci!$A$1:$I$1000,9,0))</f>
        <v>0</v>
      </c>
      <c r="U26" s="147" t="str">
        <f t="shared" ca="1" si="10"/>
        <v/>
      </c>
      <c r="V26" s="148" t="str">
        <f ca="1">IF(N(U26)&gt;0,VLOOKUP(U26,Hraci!$A$1:$I$1000,2,0),IF(TYPE(INDIRECT(ADDRESS(ROW() + $A$9-7 + (ROW()-11)*4,2,1,1,"Internet")))&gt;1,INDIRECT(ADDRESS(ROW() + $A$9-7 + (ROW()-11)*4,2,1,1,"Internet"))," "))</f>
        <v>Jarda Knápek</v>
      </c>
      <c r="W26" s="149" t="str">
        <f ca="1">IF(N(U26)&gt;0,VLOOKUP(U26,Hraci!$A$1:$I$1000,3,0)," ")</f>
        <v xml:space="preserve"> </v>
      </c>
      <c r="X26" s="149" t="str">
        <f ca="1">IF(N(U26)&gt;0,VLOOKUP(U26,Hraci!$A$1:$I$1000,5,0),IF(TYPE(INDIRECT(ADDRESS(ROW() + $A$9-7 + (ROW()-11)*4,3,1,1,"Internet")))&gt;1,INDIRECT(ADDRESS(ROW() + $A$9-7 + (ROW()-11)*4,3,1,1,"Internet"))," "))</f>
        <v xml:space="preserve"> </v>
      </c>
      <c r="Y26" s="149">
        <f ca="1">IF(N(U26)=0,9999,VLOOKUP(U26,Hraci!$A$1:$I$1000,8,0))</f>
        <v>9999</v>
      </c>
      <c r="Z26" s="150">
        <f ca="1">IF(N(U26)=0,0,VLOOKUP(U26,Hraci!$A$1:$I$1000,9,0))</f>
        <v>0</v>
      </c>
      <c r="AA26" s="147" t="str">
        <f t="shared" ca="1" si="11"/>
        <v/>
      </c>
      <c r="AB26" s="148" t="str">
        <f ca="1">IF(N(AA26)&gt;0,VLOOKUP(AA26,Hraci!$A$1:$I$1000,2,0)," ")</f>
        <v xml:space="preserve"> </v>
      </c>
      <c r="AC26" s="149" t="str">
        <f ca="1">IF(N(AA26)&gt;0,VLOOKUP(AA26,Hraci!$A$1:$I$1000,3,0)," ")</f>
        <v xml:space="preserve"> </v>
      </c>
      <c r="AD26" s="149" t="str">
        <f ca="1">IF(N(AA26)&gt;0,VLOOKUP(AA26,Hraci!$A$1:$I$1000,5,0)," ")</f>
        <v xml:space="preserve"> </v>
      </c>
      <c r="AE26" s="149">
        <f ca="1">IF(N(AA26)=0,9999,VLOOKUP(AA26,Hraci!$A$1:$I$1000,8,0))</f>
        <v>9999</v>
      </c>
      <c r="AF26" s="150">
        <f ca="1">IF(N(AA26)=0,0,VLOOKUP(AA26,Hraci!$A$1:$I$1000,9,0))</f>
        <v>0</v>
      </c>
      <c r="AG26" s="147"/>
      <c r="AH26" s="151">
        <v>3</v>
      </c>
      <c r="AI26" s="152" t="e">
        <f ca="1">IF(N($AH26)&gt;0,VLOOKUP($AH26,Body!$A$4:$F$259,5,0),"")</f>
        <v>#REF!</v>
      </c>
      <c r="AJ26" s="153">
        <f ca="1">IF(N($AH26)&gt;0,VLOOKUP($AH26,Body!$A$4:$F$259,6,0),"")</f>
        <v>0</v>
      </c>
      <c r="AK26" s="152">
        <f ca="1">IF(N($AH26)&gt;0,VLOOKUP($AH26,Body!$A$4:$F$259,2,0),"")</f>
        <v>2.5</v>
      </c>
      <c r="AL26" s="154" t="str">
        <f t="shared" ca="1" si="12"/>
        <v>PK Polouvsí - Vrzal Radomír</v>
      </c>
      <c r="AM26" s="155">
        <f t="shared" ca="1" si="13"/>
        <v>3</v>
      </c>
      <c r="AN26" s="72">
        <f ca="1">IF(OR(TYPE(I26)&gt;1,TYPE(MATCH(I26,I27:I$203,0))&gt;1),0,MATCH(I26,I27:I$203,0))+IF(OR(TYPE(I26)&gt;1,TYPE(MATCH(I26,O$11:O$203,0))&gt;1),0,MATCH(I26,O$11:O$203,0))+IF(OR(TYPE(I26)&gt;1,TYPE(MATCH(I26,U$11:U$203,0))&gt;1),0,MATCH(I26,U$11:U$203,0))+IF(OR(TYPE(I26)&gt;1,TYPE(MATCH(I26,AA$11:AA$203,0))&gt;1),0,MATCH(I26,AA$11:AA$203,0))</f>
        <v>0</v>
      </c>
      <c r="AO26" s="72">
        <f ca="1">IF(OR(TYPE(O26)&gt;1,TYPE(MATCH(O26,I$11:I$203,0))&gt;1),0,MATCH(O26,I$11:I$203,0))+IF(OR(TYPE(O26)&gt;1,TYPE(MATCH(O26,O27:O$203,0))&gt;1),0,MATCH(O26,O27:O$203,0))+IF(OR(TYPE(O26)&gt;1,TYPE(MATCH(O26,U$11:U$203,0))&gt;1),0,MATCH(O26,U$11:U$203,0))+IF(OR(TYPE(O26)&gt;1,TYPE(MATCH(O26,AA$11:AA$203,0))&gt;1),0,MATCH(O26,AA$11:AA$203,0))</f>
        <v>0</v>
      </c>
      <c r="AP26" s="72">
        <f ca="1">IF(OR(TYPE(U26)&gt;1,TYPE(MATCH(U26,I$11:I$203,0))&gt;1),0,MATCH(U26,I$11:I$203,0))+IF(OR(TYPE(U26)&gt;1,TYPE(MATCH(U26,O$11:O$203,0))&gt;1),0,MATCH(U26,O$11:O$203,0))+IF(OR(TYPE(U26)&gt;1,TYPE(MATCH(U26,U27:U$203,0))&gt;1),0,MATCH(U26,U27:U$203,0))+IF(OR(TYPE(U26)&gt;1,TYPE(MATCH(U26,AA$11:AA$203,0))&gt;1),0,MATCH(U26,AA$11:AA$203,0))</f>
        <v>0</v>
      </c>
      <c r="AQ26" s="72">
        <f ca="1">IF(OR(TYPE(AA26)&gt;1,TYPE(MATCH(AA26,I$11:I$203,0))&gt;1),0,MATCH(AA26,I$11:I$203,0))+IF(OR(TYPE(AA26)&gt;1,TYPE(MATCH(AA26,O$11:O$203,0))&gt;1),0,MATCH(AA26,O$11:O$203,0))+IF(OR(TYPE(AA26)&gt;1,TYPE(MATCH(AA26,U$11:U$203,0))&gt;1),0,MATCH(U26,U$11:U$203,0))+IF(OR(TYPE(AA26)&gt;1,TYPE(MATCH(AA26,AA27:AA$203,0))&gt;1),0,MATCH(AA26,AA27:AA$203,0))</f>
        <v>0</v>
      </c>
      <c r="AR26" s="72">
        <f t="shared" ca="1" si="14"/>
        <v>0</v>
      </c>
    </row>
    <row r="27" spans="1:44" ht="14.25">
      <c r="A27" s="103">
        <f t="shared" ca="1" si="0"/>
        <v>0</v>
      </c>
      <c r="B27" s="103">
        <f t="shared" ca="1" si="1"/>
        <v>0</v>
      </c>
      <c r="C27" s="156">
        <f t="shared" ca="1" si="2"/>
        <v>0</v>
      </c>
      <c r="D27" s="103">
        <f t="shared" ca="1" si="3"/>
        <v>99999</v>
      </c>
      <c r="E27" s="103">
        <f t="shared" ca="1" si="4"/>
        <v>9999</v>
      </c>
      <c r="F27" s="104" t="str">
        <f t="shared" ca="1" si="5"/>
        <v>00000000000000000000076551</v>
      </c>
      <c r="G27" s="145">
        <f t="shared" ca="1" si="6"/>
        <v>1</v>
      </c>
      <c r="H27" s="146">
        <f t="shared" si="7"/>
        <v>17</v>
      </c>
      <c r="I27" s="147" t="str">
        <f t="shared" ca="1" si="8"/>
        <v/>
      </c>
      <c r="J27" s="148" t="str">
        <f ca="1">IF(N(I27)&gt;0,VLOOKUP(I27,Hraci!$A$1:$I$1000,2,0),IF(TYPE(INDIRECT(ADDRESS(ROW() + $A$9-9 + (ROW()-11)*4,2,1,1,"Internet")))&gt;1,INDIRECT(ADDRESS(ROW() + $A$9-9 + (ROW()-11)*4,2,1,1,"Internet"))," "))</f>
        <v xml:space="preserve"> </v>
      </c>
      <c r="K27" s="149" t="str">
        <f ca="1">IF(N(I27)&gt;0,VLOOKUP(I27,Hraci!$A$1:$I$1000,3,0)," ")</f>
        <v xml:space="preserve"> </v>
      </c>
      <c r="L27" s="149" t="str">
        <f ca="1">IF(N(I27)&gt;0,VLOOKUP(I27,Hraci!$A$1:$I$1000,5,0),IF(TYPE(INDIRECT(ADDRESS(ROW() + $A$9-9 + (ROW()-11)*4,3,1,1,"Internet")))&gt;1,INDIRECT(ADDRESS(ROW() + $A$9-9 + (ROW()-11)*4,3,1,1,"Internet"))," "))</f>
        <v xml:space="preserve"> </v>
      </c>
      <c r="M27" s="149">
        <f ca="1">IF(N(I27)=0,9999,VLOOKUP(I27,Hraci!$A$1:$I$1000,8,0))</f>
        <v>9999</v>
      </c>
      <c r="N27" s="150">
        <f ca="1">IF(N(I27)=0,0,VLOOKUP(I27,Hraci!$A$1:$I$1000,9,0))</f>
        <v>0</v>
      </c>
      <c r="O27" s="147" t="str">
        <f t="shared" ca="1" si="9"/>
        <v/>
      </c>
      <c r="P27" s="148" t="str">
        <f ca="1">IF(N(O27)&gt;0,VLOOKUP(O27,Hraci!$A$1:$I$1000,2,0),IF(TYPE(INDIRECT(ADDRESS(ROW() + $A$9-8 + (ROW()-11)*4,2,1,1,"Internet")))&gt;1,INDIRECT(ADDRESS(ROW() + $A$9-8 + (ROW()-11)*4,2,1,1,"Internet"))," "))</f>
        <v xml:space="preserve"> </v>
      </c>
      <c r="Q27" s="149" t="str">
        <f ca="1">IF(N(O27)&gt;0,VLOOKUP(O27,Hraci!$A$1:$I$1000,3,0)," ")</f>
        <v xml:space="preserve"> </v>
      </c>
      <c r="R27" s="149" t="str">
        <f ca="1">IF(N(O27)&gt;0,VLOOKUP(O27,Hraci!$A$1:$I$1000,5,0),IF(TYPE(INDIRECT(ADDRESS(ROW() + $A$9-8 + (ROW()-11)*4,3,1,1,"Internet")))&gt;1,INDIRECT(ADDRESS(ROW() + $A$9-8 + (ROW()-11)*4,3,1,1,"Internet"))," "))</f>
        <v xml:space="preserve"> </v>
      </c>
      <c r="S27" s="149">
        <f ca="1">IF(N(O27)=0,9999,VLOOKUP(O27,Hraci!$A$1:$I$1000,8,0))</f>
        <v>9999</v>
      </c>
      <c r="T27" s="150">
        <f ca="1">IF(N(O27)=0,0,VLOOKUP(O27,Hraci!$A$1:$I$1000,9,0))</f>
        <v>0</v>
      </c>
      <c r="U27" s="147" t="str">
        <f t="shared" ca="1" si="10"/>
        <v/>
      </c>
      <c r="V27" s="148" t="str">
        <f ca="1">IF(N(U27)&gt;0,VLOOKUP(U27,Hraci!$A$1:$I$1000,2,0),IF(TYPE(INDIRECT(ADDRESS(ROW() + $A$9-7 + (ROW()-11)*4,2,1,1,"Internet")))&gt;1,INDIRECT(ADDRESS(ROW() + $A$9-7 + (ROW()-11)*4,2,1,1,"Internet"))," "))</f>
        <v xml:space="preserve"> </v>
      </c>
      <c r="W27" s="149" t="str">
        <f ca="1">IF(N(U27)&gt;0,VLOOKUP(U27,Hraci!$A$1:$I$1000,3,0)," ")</f>
        <v xml:space="preserve"> </v>
      </c>
      <c r="X27" s="149" t="str">
        <f ca="1">IF(N(U27)&gt;0,VLOOKUP(U27,Hraci!$A$1:$I$1000,5,0),IF(TYPE(INDIRECT(ADDRESS(ROW() + $A$9-7 + (ROW()-11)*4,3,1,1,"Internet")))&gt;1,INDIRECT(ADDRESS(ROW() + $A$9-7 + (ROW()-11)*4,3,1,1,"Internet"))," "))</f>
        <v xml:space="preserve"> </v>
      </c>
      <c r="Y27" s="149">
        <f ca="1">IF(N(U27)=0,9999,VLOOKUP(U27,Hraci!$A$1:$I$1000,8,0))</f>
        <v>9999</v>
      </c>
      <c r="Z27" s="150">
        <f ca="1">IF(N(U27)=0,0,VLOOKUP(U27,Hraci!$A$1:$I$1000,9,0))</f>
        <v>0</v>
      </c>
      <c r="AA27" s="147" t="str">
        <f t="shared" ca="1" si="11"/>
        <v/>
      </c>
      <c r="AB27" s="148" t="str">
        <f ca="1">IF(N(AA27)&gt;0,VLOOKUP(AA27,Hraci!$A$1:$I$1000,2,0)," ")</f>
        <v xml:space="preserve"> </v>
      </c>
      <c r="AC27" s="149" t="str">
        <f ca="1">IF(N(AA27)&gt;0,VLOOKUP(AA27,Hraci!$A$1:$I$1000,3,0)," ")</f>
        <v xml:space="preserve"> </v>
      </c>
      <c r="AD27" s="149" t="str">
        <f ca="1">IF(N(AA27)&gt;0,VLOOKUP(AA27,Hraci!$A$1:$I$1000,5,0)," ")</f>
        <v xml:space="preserve"> </v>
      </c>
      <c r="AE27" s="149">
        <f ca="1">IF(N(AA27)=0,9999,VLOOKUP(AA27,Hraci!$A$1:$I$1000,8,0))</f>
        <v>9999</v>
      </c>
      <c r="AF27" s="150">
        <f ca="1">IF(N(AA27)=0,0,VLOOKUP(AA27,Hraci!$A$1:$I$1000,9,0))</f>
        <v>0</v>
      </c>
      <c r="AG27" s="147"/>
      <c r="AH27" s="151">
        <f ca="1">IF(TYPE(VLOOKUP(H27,Nasazení!$A$3:$E$130,5,0))&lt;4,VLOOKUP(H27,Nasazení!$A$3:$E$130,5,0),0)</f>
        <v>0</v>
      </c>
      <c r="AI27" s="152" t="str">
        <f ca="1">IF(N($AH27)&gt;0,VLOOKUP($AH27,Body!$A$4:$F$259,5,0),"")</f>
        <v/>
      </c>
      <c r="AJ27" s="153" t="str">
        <f ca="1">IF(N($AH27)&gt;0,VLOOKUP($AH27,Body!$A$4:$F$259,6,0),"")</f>
        <v/>
      </c>
      <c r="AK27" s="152" t="str">
        <f ca="1">IF(N($AH27)&gt;0,VLOOKUP($AH27,Body!$A$4:$F$259,2,0),"")</f>
        <v/>
      </c>
      <c r="AL27" s="154" t="str">
        <f t="shared" ca="1" si="12"/>
        <v/>
      </c>
      <c r="AM27" s="155">
        <f t="shared" ca="1" si="13"/>
        <v>0</v>
      </c>
      <c r="AN27" s="72">
        <f ca="1">IF(OR(TYPE(I27)&gt;1,TYPE(MATCH(I27,I28:I$203,0))&gt;1),0,MATCH(I27,I28:I$203,0))+IF(OR(TYPE(I27)&gt;1,TYPE(MATCH(I27,O$11:O$203,0))&gt;1),0,MATCH(I27,O$11:O$203,0))+IF(OR(TYPE(I27)&gt;1,TYPE(MATCH(I27,U$11:U$203,0))&gt;1),0,MATCH(I27,U$11:U$203,0))+IF(OR(TYPE(I27)&gt;1,TYPE(MATCH(I27,AA$11:AA$203,0))&gt;1),0,MATCH(I27,AA$11:AA$203,0))</f>
        <v>0</v>
      </c>
      <c r="AO27" s="72">
        <f ca="1">IF(OR(TYPE(O27)&gt;1,TYPE(MATCH(O27,I$11:I$203,0))&gt;1),0,MATCH(O27,I$11:I$203,0))+IF(OR(TYPE(O27)&gt;1,TYPE(MATCH(O27,O28:O$203,0))&gt;1),0,MATCH(O27,O28:O$203,0))+IF(OR(TYPE(O27)&gt;1,TYPE(MATCH(O27,U$11:U$203,0))&gt;1),0,MATCH(O27,U$11:U$203,0))+IF(OR(TYPE(O27)&gt;1,TYPE(MATCH(O27,AA$11:AA$203,0))&gt;1),0,MATCH(O27,AA$11:AA$203,0))</f>
        <v>0</v>
      </c>
      <c r="AP27" s="72">
        <f ca="1">IF(OR(TYPE(U27)&gt;1,TYPE(MATCH(U27,I$11:I$203,0))&gt;1),0,MATCH(U27,I$11:I$203,0))+IF(OR(TYPE(U27)&gt;1,TYPE(MATCH(U27,O$11:O$203,0))&gt;1),0,MATCH(U27,O$11:O$203,0))+IF(OR(TYPE(U27)&gt;1,TYPE(MATCH(U27,U28:U$203,0))&gt;1),0,MATCH(U27,U28:U$203,0))+IF(OR(TYPE(U27)&gt;1,TYPE(MATCH(U27,AA$11:AA$203,0))&gt;1),0,MATCH(U27,AA$11:AA$203,0))</f>
        <v>0</v>
      </c>
      <c r="AQ27" s="72">
        <f ca="1">IF(OR(TYPE(AA27)&gt;1,TYPE(MATCH(AA27,I$11:I$203,0))&gt;1),0,MATCH(AA27,I$11:I$203,0))+IF(OR(TYPE(AA27)&gt;1,TYPE(MATCH(AA27,O$11:O$203,0))&gt;1),0,MATCH(AA27,O$11:O$203,0))+IF(OR(TYPE(AA27)&gt;1,TYPE(MATCH(AA27,U$11:U$203,0))&gt;1),0,MATCH(U27,U$11:U$203,0))+IF(OR(TYPE(AA27)&gt;1,TYPE(MATCH(AA27,AA28:AA$203,0))&gt;1),0,MATCH(AA27,AA28:AA$203,0))</f>
        <v>0</v>
      </c>
      <c r="AR27" s="72">
        <f t="shared" ca="1" si="14"/>
        <v>0</v>
      </c>
    </row>
    <row r="28" spans="1:44" ht="14.25">
      <c r="A28" s="103">
        <f t="shared" ca="1" si="0"/>
        <v>0</v>
      </c>
      <c r="B28" s="103">
        <f t="shared" ca="1" si="1"/>
        <v>0</v>
      </c>
      <c r="C28" s="156">
        <f t="shared" ca="1" si="2"/>
        <v>0</v>
      </c>
      <c r="D28" s="103">
        <f t="shared" ca="1" si="3"/>
        <v>99999</v>
      </c>
      <c r="E28" s="103">
        <f t="shared" ca="1" si="4"/>
        <v>9999</v>
      </c>
      <c r="F28" s="104" t="str">
        <f t="shared" ca="1" si="5"/>
        <v>00000000000000000000707947</v>
      </c>
      <c r="G28" s="145">
        <f t="shared" ca="1" si="6"/>
        <v>1</v>
      </c>
      <c r="H28" s="146">
        <f t="shared" si="7"/>
        <v>18</v>
      </c>
      <c r="I28" s="147" t="str">
        <f t="shared" ca="1" si="8"/>
        <v/>
      </c>
      <c r="J28" s="148" t="str">
        <f ca="1">IF(N(I28)&gt;0,VLOOKUP(I28,Hraci!$A$1:$I$1000,2,0),IF(TYPE(INDIRECT(ADDRESS(ROW() + $A$9-9 + (ROW()-11)*4,2,1,1,"Internet")))&gt;1,INDIRECT(ADDRESS(ROW() + $A$9-9 + (ROW()-11)*4,2,1,1,"Internet"))," "))</f>
        <v xml:space="preserve"> </v>
      </c>
      <c r="K28" s="149" t="str">
        <f ca="1">IF(N(I28)&gt;0,VLOOKUP(I28,Hraci!$A$1:$I$1000,3,0)," ")</f>
        <v xml:space="preserve"> </v>
      </c>
      <c r="L28" s="149" t="str">
        <f ca="1">IF(N(I28)&gt;0,VLOOKUP(I28,Hraci!$A$1:$I$1000,5,0),IF(TYPE(INDIRECT(ADDRESS(ROW() + $A$9-9 + (ROW()-11)*4,3,1,1,"Internet")))&gt;1,INDIRECT(ADDRESS(ROW() + $A$9-9 + (ROW()-11)*4,3,1,1,"Internet"))," "))</f>
        <v xml:space="preserve"> </v>
      </c>
      <c r="M28" s="149">
        <f ca="1">IF(N(I28)=0,9999,VLOOKUP(I28,Hraci!$A$1:$I$1000,8,0))</f>
        <v>9999</v>
      </c>
      <c r="N28" s="150">
        <f ca="1">IF(N(I28)=0,0,VLOOKUP(I28,Hraci!$A$1:$I$1000,9,0))</f>
        <v>0</v>
      </c>
      <c r="O28" s="147" t="str">
        <f t="shared" ca="1" si="9"/>
        <v/>
      </c>
      <c r="P28" s="148" t="str">
        <f ca="1">IF(N(O28)&gt;0,VLOOKUP(O28,Hraci!$A$1:$I$1000,2,0),IF(TYPE(INDIRECT(ADDRESS(ROW() + $A$9-8 + (ROW()-11)*4,2,1,1,"Internet")))&gt;1,INDIRECT(ADDRESS(ROW() + $A$9-8 + (ROW()-11)*4,2,1,1,"Internet"))," "))</f>
        <v xml:space="preserve"> </v>
      </c>
      <c r="Q28" s="149" t="str">
        <f ca="1">IF(N(O28)&gt;0,VLOOKUP(O28,Hraci!$A$1:$I$1000,3,0)," ")</f>
        <v xml:space="preserve"> </v>
      </c>
      <c r="R28" s="149" t="str">
        <f ca="1">IF(N(O28)&gt;0,VLOOKUP(O28,Hraci!$A$1:$I$1000,5,0),IF(TYPE(INDIRECT(ADDRESS(ROW() + $A$9-8 + (ROW()-11)*4,3,1,1,"Internet")))&gt;1,INDIRECT(ADDRESS(ROW() + $A$9-8 + (ROW()-11)*4,3,1,1,"Internet"))," "))</f>
        <v xml:space="preserve"> </v>
      </c>
      <c r="S28" s="149">
        <f ca="1">IF(N(O28)=0,9999,VLOOKUP(O28,Hraci!$A$1:$I$1000,8,0))</f>
        <v>9999</v>
      </c>
      <c r="T28" s="150">
        <f ca="1">IF(N(O28)=0,0,VLOOKUP(O28,Hraci!$A$1:$I$1000,9,0))</f>
        <v>0</v>
      </c>
      <c r="U28" s="147" t="str">
        <f t="shared" ca="1" si="10"/>
        <v/>
      </c>
      <c r="V28" s="148" t="str">
        <f ca="1">IF(N(U28)&gt;0,VLOOKUP(U28,Hraci!$A$1:$I$1000,2,0),IF(TYPE(INDIRECT(ADDRESS(ROW() + $A$9-7 + (ROW()-11)*4,2,1,1,"Internet")))&gt;1,INDIRECT(ADDRESS(ROW() + $A$9-7 + (ROW()-11)*4,2,1,1,"Internet"))," "))</f>
        <v xml:space="preserve"> </v>
      </c>
      <c r="W28" s="149" t="str">
        <f ca="1">IF(N(U28)&gt;0,VLOOKUP(U28,Hraci!$A$1:$I$1000,3,0)," ")</f>
        <v xml:space="preserve"> </v>
      </c>
      <c r="X28" s="149" t="str">
        <f ca="1">IF(N(U28)&gt;0,VLOOKUP(U28,Hraci!$A$1:$I$1000,5,0),IF(TYPE(INDIRECT(ADDRESS(ROW() + $A$9-7 + (ROW()-11)*4,3,1,1,"Internet")))&gt;1,INDIRECT(ADDRESS(ROW() + $A$9-7 + (ROW()-11)*4,3,1,1,"Internet"))," "))</f>
        <v xml:space="preserve"> </v>
      </c>
      <c r="Y28" s="149">
        <f ca="1">IF(N(U28)=0,9999,VLOOKUP(U28,Hraci!$A$1:$I$1000,8,0))</f>
        <v>9999</v>
      </c>
      <c r="Z28" s="150">
        <f ca="1">IF(N(U28)=0,0,VLOOKUP(U28,Hraci!$A$1:$I$1000,9,0))</f>
        <v>0</v>
      </c>
      <c r="AA28" s="147" t="str">
        <f t="shared" ca="1" si="11"/>
        <v/>
      </c>
      <c r="AB28" s="148" t="str">
        <f ca="1">IF(N(AA28)&gt;0,VLOOKUP(AA28,Hraci!$A$1:$I$1000,2,0)," ")</f>
        <v xml:space="preserve"> </v>
      </c>
      <c r="AC28" s="149" t="str">
        <f ca="1">IF(N(AA28)&gt;0,VLOOKUP(AA28,Hraci!$A$1:$I$1000,3,0)," ")</f>
        <v xml:space="preserve"> </v>
      </c>
      <c r="AD28" s="149" t="str">
        <f ca="1">IF(N(AA28)&gt;0,VLOOKUP(AA28,Hraci!$A$1:$I$1000,5,0)," ")</f>
        <v xml:space="preserve"> </v>
      </c>
      <c r="AE28" s="149">
        <f ca="1">IF(N(AA28)=0,9999,VLOOKUP(AA28,Hraci!$A$1:$I$1000,8,0))</f>
        <v>9999</v>
      </c>
      <c r="AF28" s="150">
        <f ca="1">IF(N(AA28)=0,0,VLOOKUP(AA28,Hraci!$A$1:$I$1000,9,0))</f>
        <v>0</v>
      </c>
      <c r="AG28" s="147"/>
      <c r="AH28" s="151">
        <f ca="1">IF(TYPE(VLOOKUP(H28,Nasazení!$A$3:$E$130,5,0))&lt;4,VLOOKUP(H28,Nasazení!$A$3:$E$130,5,0),0)</f>
        <v>0</v>
      </c>
      <c r="AI28" s="152" t="str">
        <f ca="1">IF(N($AH28)&gt;0,VLOOKUP($AH28,Body!$A$4:$F$259,5,0),"")</f>
        <v/>
      </c>
      <c r="AJ28" s="153" t="str">
        <f ca="1">IF(N($AH28)&gt;0,VLOOKUP($AH28,Body!$A$4:$F$259,6,0),"")</f>
        <v/>
      </c>
      <c r="AK28" s="152" t="str">
        <f ca="1">IF(N($AH28)&gt;0,VLOOKUP($AH28,Body!$A$4:$F$259,2,0),"")</f>
        <v/>
      </c>
      <c r="AL28" s="154" t="str">
        <f t="shared" ca="1" si="12"/>
        <v/>
      </c>
      <c r="AM28" s="155">
        <f t="shared" ca="1" si="13"/>
        <v>0</v>
      </c>
      <c r="AN28" s="72">
        <f ca="1">IF(OR(TYPE(I28)&gt;1,TYPE(MATCH(I28,I29:I$203,0))&gt;1),0,MATCH(I28,I29:I$203,0))+IF(OR(TYPE(I28)&gt;1,TYPE(MATCH(I28,O$11:O$203,0))&gt;1),0,MATCH(I28,O$11:O$203,0))+IF(OR(TYPE(I28)&gt;1,TYPE(MATCH(I28,U$11:U$203,0))&gt;1),0,MATCH(I28,U$11:U$203,0))+IF(OR(TYPE(I28)&gt;1,TYPE(MATCH(I28,AA$11:AA$203,0))&gt;1),0,MATCH(I28,AA$11:AA$203,0))</f>
        <v>0</v>
      </c>
      <c r="AO28" s="72">
        <f ca="1">IF(OR(TYPE(O28)&gt;1,TYPE(MATCH(O28,I$11:I$203,0))&gt;1),0,MATCH(O28,I$11:I$203,0))+IF(OR(TYPE(O28)&gt;1,TYPE(MATCH(O28,O29:O$203,0))&gt;1),0,MATCH(O28,O29:O$203,0))+IF(OR(TYPE(O28)&gt;1,TYPE(MATCH(O28,U$11:U$203,0))&gt;1),0,MATCH(O28,U$11:U$203,0))+IF(OR(TYPE(O28)&gt;1,TYPE(MATCH(O28,AA$11:AA$203,0))&gt;1),0,MATCH(O28,AA$11:AA$203,0))</f>
        <v>0</v>
      </c>
      <c r="AP28" s="72">
        <f ca="1">IF(OR(TYPE(U28)&gt;1,TYPE(MATCH(U28,I$11:I$203,0))&gt;1),0,MATCH(U28,I$11:I$203,0))+IF(OR(TYPE(U28)&gt;1,TYPE(MATCH(U28,O$11:O$203,0))&gt;1),0,MATCH(U28,O$11:O$203,0))+IF(OR(TYPE(U28)&gt;1,TYPE(MATCH(U28,U29:U$203,0))&gt;1),0,MATCH(U28,U29:U$203,0))+IF(OR(TYPE(U28)&gt;1,TYPE(MATCH(U28,AA$11:AA$203,0))&gt;1),0,MATCH(U28,AA$11:AA$203,0))</f>
        <v>0</v>
      </c>
      <c r="AQ28" s="72">
        <f ca="1">IF(OR(TYPE(AA28)&gt;1,TYPE(MATCH(AA28,I$11:I$203,0))&gt;1),0,MATCH(AA28,I$11:I$203,0))+IF(OR(TYPE(AA28)&gt;1,TYPE(MATCH(AA28,O$11:O$203,0))&gt;1),0,MATCH(AA28,O$11:O$203,0))+IF(OR(TYPE(AA28)&gt;1,TYPE(MATCH(AA28,U$11:U$203,0))&gt;1),0,MATCH(U28,U$11:U$203,0))+IF(OR(TYPE(AA28)&gt;1,TYPE(MATCH(AA28,AA29:AA$203,0))&gt;1),0,MATCH(AA28,AA29:AA$203,0))</f>
        <v>0</v>
      </c>
      <c r="AR28" s="72">
        <f t="shared" ca="1" si="14"/>
        <v>0</v>
      </c>
    </row>
    <row r="29" spans="1:44" ht="14.25">
      <c r="A29" s="103">
        <f t="shared" ca="1" si="0"/>
        <v>0</v>
      </c>
      <c r="B29" s="103">
        <f t="shared" ca="1" si="1"/>
        <v>0</v>
      </c>
      <c r="C29" s="156">
        <f t="shared" ca="1" si="2"/>
        <v>0</v>
      </c>
      <c r="D29" s="103">
        <f t="shared" ca="1" si="3"/>
        <v>99999</v>
      </c>
      <c r="E29" s="73">
        <f t="shared" ca="1" si="4"/>
        <v>9999</v>
      </c>
      <c r="F29" s="104" t="str">
        <f t="shared" ca="1" si="5"/>
        <v>00000000000000000000243363</v>
      </c>
      <c r="G29" s="145">
        <f t="shared" ca="1" si="6"/>
        <v>1</v>
      </c>
      <c r="H29" s="146">
        <f t="shared" si="7"/>
        <v>19</v>
      </c>
      <c r="I29" s="147" t="str">
        <f t="shared" ca="1" si="8"/>
        <v/>
      </c>
      <c r="J29" s="148" t="str">
        <f ca="1">IF(N(I29)&gt;0,VLOOKUP(I29,Hraci!$A$1:$I$1000,2,0),IF(TYPE(INDIRECT(ADDRESS(ROW() + $A$9-9 + (ROW()-11)*4,2,1,1,"Internet")))&gt;1,INDIRECT(ADDRESS(ROW() + $A$9-9 + (ROW()-11)*4,2,1,1,"Internet"))," "))</f>
        <v xml:space="preserve"> </v>
      </c>
      <c r="K29" s="149" t="str">
        <f ca="1">IF(N(I29)&gt;0,VLOOKUP(I29,Hraci!$A$1:$I$1000,3,0)," ")</f>
        <v xml:space="preserve"> </v>
      </c>
      <c r="L29" s="149" t="str">
        <f ca="1">IF(N(I29)&gt;0,VLOOKUP(I29,Hraci!$A$1:$I$1000,5,0),IF(TYPE(INDIRECT(ADDRESS(ROW() + $A$9-9 + (ROW()-11)*4,3,1,1,"Internet")))&gt;1,INDIRECT(ADDRESS(ROW() + $A$9-9 + (ROW()-11)*4,3,1,1,"Internet"))," "))</f>
        <v xml:space="preserve"> </v>
      </c>
      <c r="M29" s="149">
        <f ca="1">IF(N(I29)=0,9999,VLOOKUP(I29,Hraci!$A$1:$I$1000,8,0))</f>
        <v>9999</v>
      </c>
      <c r="N29" s="150">
        <f ca="1">IF(N(I29)=0,0,VLOOKUP(I29,Hraci!$A$1:$I$1000,9,0))</f>
        <v>0</v>
      </c>
      <c r="O29" s="147" t="str">
        <f t="shared" ca="1" si="9"/>
        <v/>
      </c>
      <c r="P29" s="148" t="str">
        <f ca="1">IF(N(O29)&gt;0,VLOOKUP(O29,Hraci!$A$1:$I$1000,2,0),IF(TYPE(INDIRECT(ADDRESS(ROW() + $A$9-8 + (ROW()-11)*4,2,1,1,"Internet")))&gt;1,INDIRECT(ADDRESS(ROW() + $A$9-8 + (ROW()-11)*4,2,1,1,"Internet"))," "))</f>
        <v xml:space="preserve"> </v>
      </c>
      <c r="Q29" s="149" t="str">
        <f ca="1">IF(N(O29)&gt;0,VLOOKUP(O29,Hraci!$A$1:$I$1000,3,0)," ")</f>
        <v xml:space="preserve"> </v>
      </c>
      <c r="R29" s="149" t="str">
        <f ca="1">IF(N(O29)&gt;0,VLOOKUP(O29,Hraci!$A$1:$I$1000,5,0),IF(TYPE(INDIRECT(ADDRESS(ROW() + $A$9-8 + (ROW()-11)*4,3,1,1,"Internet")))&gt;1,INDIRECT(ADDRESS(ROW() + $A$9-8 + (ROW()-11)*4,3,1,1,"Internet"))," "))</f>
        <v xml:space="preserve"> </v>
      </c>
      <c r="S29" s="149">
        <f ca="1">IF(N(O29)=0,9999,VLOOKUP(O29,Hraci!$A$1:$I$1000,8,0))</f>
        <v>9999</v>
      </c>
      <c r="T29" s="150">
        <f ca="1">IF(N(O29)=0,0,VLOOKUP(O29,Hraci!$A$1:$I$1000,9,0))</f>
        <v>0</v>
      </c>
      <c r="U29" s="147" t="str">
        <f t="shared" ca="1" si="10"/>
        <v/>
      </c>
      <c r="V29" s="148" t="str">
        <f ca="1">IF(N(U29)&gt;0,VLOOKUP(U29,Hraci!$A$1:$I$1000,2,0),IF(TYPE(INDIRECT(ADDRESS(ROW() + $A$9-7 + (ROW()-11)*4,2,1,1,"Internet")))&gt;1,INDIRECT(ADDRESS(ROW() + $A$9-7 + (ROW()-11)*4,2,1,1,"Internet"))," "))</f>
        <v xml:space="preserve"> </v>
      </c>
      <c r="W29" s="149" t="str">
        <f ca="1">IF(N(U29)&gt;0,VLOOKUP(U29,Hraci!$A$1:$I$1000,3,0)," ")</f>
        <v xml:space="preserve"> </v>
      </c>
      <c r="X29" s="149" t="str">
        <f ca="1">IF(N(U29)&gt;0,VLOOKUP(U29,Hraci!$A$1:$I$1000,5,0),IF(TYPE(INDIRECT(ADDRESS(ROW() + $A$9-7 + (ROW()-11)*4,3,1,1,"Internet")))&gt;1,INDIRECT(ADDRESS(ROW() + $A$9-7 + (ROW()-11)*4,3,1,1,"Internet"))," "))</f>
        <v xml:space="preserve"> </v>
      </c>
      <c r="Y29" s="149">
        <f ca="1">IF(N(U29)=0,9999,VLOOKUP(U29,Hraci!$A$1:$I$1000,8,0))</f>
        <v>9999</v>
      </c>
      <c r="Z29" s="150">
        <f ca="1">IF(N(U29)=0,0,VLOOKUP(U29,Hraci!$A$1:$I$1000,9,0))</f>
        <v>0</v>
      </c>
      <c r="AA29" s="147" t="str">
        <f t="shared" ca="1" si="11"/>
        <v/>
      </c>
      <c r="AB29" s="148" t="str">
        <f ca="1">IF(N(AA29)&gt;0,VLOOKUP(AA29,Hraci!$A$1:$I$1000,2,0)," ")</f>
        <v xml:space="preserve"> </v>
      </c>
      <c r="AC29" s="149" t="str">
        <f ca="1">IF(N(AA29)&gt;0,VLOOKUP(AA29,Hraci!$A$1:$I$1000,3,0)," ")</f>
        <v xml:space="preserve"> </v>
      </c>
      <c r="AD29" s="149" t="str">
        <f ca="1">IF(N(AA29)&gt;0,VLOOKUP(AA29,Hraci!$A$1:$I$1000,5,0)," ")</f>
        <v xml:space="preserve"> </v>
      </c>
      <c r="AE29" s="149">
        <f ca="1">IF(N(AA29)=0,9999,VLOOKUP(AA29,Hraci!$A$1:$I$1000,8,0))</f>
        <v>9999</v>
      </c>
      <c r="AF29" s="150">
        <f ca="1">IF(N(AA29)=0,0,VLOOKUP(AA29,Hraci!$A$1:$I$1000,9,0))</f>
        <v>0</v>
      </c>
      <c r="AG29" s="147"/>
      <c r="AH29" s="151">
        <f ca="1">IF(TYPE(VLOOKUP(H29,Nasazení!$A$3:$E$130,5,0))&lt;4,VLOOKUP(H29,Nasazení!$A$3:$E$130,5,0),0)</f>
        <v>0</v>
      </c>
      <c r="AI29" s="152" t="str">
        <f ca="1">IF(N($AH29)&gt;0,VLOOKUP($AH29,Body!$A$4:$F$259,5,0),"")</f>
        <v/>
      </c>
      <c r="AJ29" s="153" t="str">
        <f ca="1">IF(N($AH29)&gt;0,VLOOKUP($AH29,Body!$A$4:$F$259,6,0),"")</f>
        <v/>
      </c>
      <c r="AK29" s="152" t="str">
        <f ca="1">IF(N($AH29)&gt;0,VLOOKUP($AH29,Body!$A$4:$F$259,2,0),"")</f>
        <v/>
      </c>
      <c r="AL29" s="154" t="str">
        <f t="shared" ca="1" si="12"/>
        <v/>
      </c>
      <c r="AM29" s="155">
        <f t="shared" ca="1" si="13"/>
        <v>0</v>
      </c>
      <c r="AN29" s="72">
        <f ca="1">IF(OR(TYPE(I29)&gt;1,TYPE(MATCH(I29,I30:I$203,0))&gt;1),0,MATCH(I29,I30:I$203,0))+IF(OR(TYPE(I29)&gt;1,TYPE(MATCH(I29,O$11:O$203,0))&gt;1),0,MATCH(I29,O$11:O$203,0))+IF(OR(TYPE(I29)&gt;1,TYPE(MATCH(I29,U$11:U$203,0))&gt;1),0,MATCH(I29,U$11:U$203,0))+IF(OR(TYPE(I29)&gt;1,TYPE(MATCH(I29,AA$11:AA$203,0))&gt;1),0,MATCH(I29,AA$11:AA$203,0))</f>
        <v>0</v>
      </c>
      <c r="AO29" s="72">
        <f ca="1">IF(OR(TYPE(O29)&gt;1,TYPE(MATCH(O29,I$11:I$203,0))&gt;1),0,MATCH(O29,I$11:I$203,0))+IF(OR(TYPE(O29)&gt;1,TYPE(MATCH(O29,O30:O$203,0))&gt;1),0,MATCH(O29,O30:O$203,0))+IF(OR(TYPE(O29)&gt;1,TYPE(MATCH(O29,U$11:U$203,0))&gt;1),0,MATCH(O29,U$11:U$203,0))+IF(OR(TYPE(O29)&gt;1,TYPE(MATCH(O29,AA$11:AA$203,0))&gt;1),0,MATCH(O29,AA$11:AA$203,0))</f>
        <v>0</v>
      </c>
      <c r="AP29" s="72">
        <f ca="1">IF(OR(TYPE(U29)&gt;1,TYPE(MATCH(U29,I$11:I$203,0))&gt;1),0,MATCH(U29,I$11:I$203,0))+IF(OR(TYPE(U29)&gt;1,TYPE(MATCH(U29,O$11:O$203,0))&gt;1),0,MATCH(U29,O$11:O$203,0))+IF(OR(TYPE(U29)&gt;1,TYPE(MATCH(U29,U30:U$203,0))&gt;1),0,MATCH(U29,U30:U$203,0))+IF(OR(TYPE(U29)&gt;1,TYPE(MATCH(U29,AA$11:AA$203,0))&gt;1),0,MATCH(U29,AA$11:AA$203,0))</f>
        <v>0</v>
      </c>
      <c r="AQ29" s="72">
        <f ca="1">IF(OR(TYPE(AA29)&gt;1,TYPE(MATCH(AA29,I$11:I$203,0))&gt;1),0,MATCH(AA29,I$11:I$203,0))+IF(OR(TYPE(AA29)&gt;1,TYPE(MATCH(AA29,O$11:O$203,0))&gt;1),0,MATCH(AA29,O$11:O$203,0))+IF(OR(TYPE(AA29)&gt;1,TYPE(MATCH(AA29,U$11:U$203,0))&gt;1),0,MATCH(U29,U$11:U$203,0))+IF(OR(TYPE(AA29)&gt;1,TYPE(MATCH(AA29,AA30:AA$203,0))&gt;1),0,MATCH(AA29,AA30:AA$203,0))</f>
        <v>0</v>
      </c>
      <c r="AR29" s="72">
        <f t="shared" ca="1" si="14"/>
        <v>0</v>
      </c>
    </row>
    <row r="30" spans="1:44" ht="14.25">
      <c r="A30" s="103">
        <f t="shared" ca="1" si="0"/>
        <v>0</v>
      </c>
      <c r="B30" s="103">
        <f t="shared" ca="1" si="1"/>
        <v>0</v>
      </c>
      <c r="C30" s="156">
        <f t="shared" ca="1" si="2"/>
        <v>0</v>
      </c>
      <c r="D30" s="103">
        <f t="shared" ca="1" si="3"/>
        <v>99999</v>
      </c>
      <c r="E30" s="103">
        <f t="shared" ca="1" si="4"/>
        <v>9999</v>
      </c>
      <c r="F30" s="104" t="str">
        <f t="shared" ca="1" si="5"/>
        <v>00000000000000000000145712</v>
      </c>
      <c r="G30" s="145">
        <f t="shared" ca="1" si="6"/>
        <v>1</v>
      </c>
      <c r="H30" s="146">
        <f t="shared" si="7"/>
        <v>20</v>
      </c>
      <c r="I30" s="147" t="str">
        <f t="shared" ca="1" si="8"/>
        <v/>
      </c>
      <c r="J30" s="148" t="str">
        <f ca="1">IF(N(I30)&gt;0,VLOOKUP(I30,Hraci!$A$1:$I$1000,2,0),IF(TYPE(INDIRECT(ADDRESS(ROW() + $A$9-9 + (ROW()-11)*4,2,1,1,"Internet")))&gt;1,INDIRECT(ADDRESS(ROW() + $A$9-9 + (ROW()-11)*4,2,1,1,"Internet"))," "))</f>
        <v xml:space="preserve"> </v>
      </c>
      <c r="K30" s="149" t="str">
        <f ca="1">IF(N(I30)&gt;0,VLOOKUP(I30,Hraci!$A$1:$I$1000,3,0)," ")</f>
        <v xml:space="preserve"> </v>
      </c>
      <c r="L30" s="149" t="str">
        <f ca="1">IF(N(I30)&gt;0,VLOOKUP(I30,Hraci!$A$1:$I$1000,5,0),IF(TYPE(INDIRECT(ADDRESS(ROW() + $A$9-9 + (ROW()-11)*4,3,1,1,"Internet")))&gt;1,INDIRECT(ADDRESS(ROW() + $A$9-9 + (ROW()-11)*4,3,1,1,"Internet"))," "))</f>
        <v xml:space="preserve"> </v>
      </c>
      <c r="M30" s="149">
        <f ca="1">IF(N(I30)=0,9999,VLOOKUP(I30,Hraci!$A$1:$I$1000,8,0))</f>
        <v>9999</v>
      </c>
      <c r="N30" s="150">
        <f ca="1">IF(N(I30)=0,0,VLOOKUP(I30,Hraci!$A$1:$I$1000,9,0))</f>
        <v>0</v>
      </c>
      <c r="O30" s="147" t="str">
        <f t="shared" ca="1" si="9"/>
        <v/>
      </c>
      <c r="P30" s="148" t="str">
        <f ca="1">IF(N(O30)&gt;0,VLOOKUP(O30,Hraci!$A$1:$I$1000,2,0),IF(TYPE(INDIRECT(ADDRESS(ROW() + $A$9-8 + (ROW()-11)*4,2,1,1,"Internet")))&gt;1,INDIRECT(ADDRESS(ROW() + $A$9-8 + (ROW()-11)*4,2,1,1,"Internet"))," "))</f>
        <v xml:space="preserve"> </v>
      </c>
      <c r="Q30" s="149" t="str">
        <f ca="1">IF(N(O30)&gt;0,VLOOKUP(O30,Hraci!$A$1:$I$1000,3,0)," ")</f>
        <v xml:space="preserve"> </v>
      </c>
      <c r="R30" s="149" t="str">
        <f ca="1">IF(N(O30)&gt;0,VLOOKUP(O30,Hraci!$A$1:$I$1000,5,0),IF(TYPE(INDIRECT(ADDRESS(ROW() + $A$9-8 + (ROW()-11)*4,3,1,1,"Internet")))&gt;1,INDIRECT(ADDRESS(ROW() + $A$9-8 + (ROW()-11)*4,3,1,1,"Internet"))," "))</f>
        <v xml:space="preserve"> </v>
      </c>
      <c r="S30" s="149">
        <f ca="1">IF(N(O30)=0,9999,VLOOKUP(O30,Hraci!$A$1:$I$1000,8,0))</f>
        <v>9999</v>
      </c>
      <c r="T30" s="150">
        <f ca="1">IF(N(O30)=0,0,VLOOKUP(O30,Hraci!$A$1:$I$1000,9,0))</f>
        <v>0</v>
      </c>
      <c r="U30" s="147" t="str">
        <f t="shared" ca="1" si="10"/>
        <v/>
      </c>
      <c r="V30" s="148" t="str">
        <f ca="1">IF(N(U30)&gt;0,VLOOKUP(U30,Hraci!$A$1:$I$1000,2,0),IF(TYPE(INDIRECT(ADDRESS(ROW() + $A$9-7 + (ROW()-11)*4,2,1,1,"Internet")))&gt;1,INDIRECT(ADDRESS(ROW() + $A$9-7 + (ROW()-11)*4,2,1,1,"Internet"))," "))</f>
        <v xml:space="preserve"> </v>
      </c>
      <c r="W30" s="149" t="str">
        <f ca="1">IF(N(U30)&gt;0,VLOOKUP(U30,Hraci!$A$1:$I$1000,3,0)," ")</f>
        <v xml:space="preserve"> </v>
      </c>
      <c r="X30" s="149" t="str">
        <f ca="1">IF(N(U30)&gt;0,VLOOKUP(U30,Hraci!$A$1:$I$1000,5,0),IF(TYPE(INDIRECT(ADDRESS(ROW() + $A$9-7 + (ROW()-11)*4,3,1,1,"Internet")))&gt;1,INDIRECT(ADDRESS(ROW() + $A$9-7 + (ROW()-11)*4,3,1,1,"Internet"))," "))</f>
        <v xml:space="preserve"> </v>
      </c>
      <c r="Y30" s="149">
        <f ca="1">IF(N(U30)=0,9999,VLOOKUP(U30,Hraci!$A$1:$I$1000,8,0))</f>
        <v>9999</v>
      </c>
      <c r="Z30" s="150">
        <f ca="1">IF(N(U30)=0,0,VLOOKUP(U30,Hraci!$A$1:$I$1000,9,0))</f>
        <v>0</v>
      </c>
      <c r="AA30" s="147" t="str">
        <f t="shared" ca="1" si="11"/>
        <v/>
      </c>
      <c r="AB30" s="148" t="str">
        <f ca="1">IF(N(AA30)&gt;0,VLOOKUP(AA30,Hraci!$A$1:$I$1000,2,0)," ")</f>
        <v xml:space="preserve"> </v>
      </c>
      <c r="AC30" s="149" t="str">
        <f ca="1">IF(N(AA30)&gt;0,VLOOKUP(AA30,Hraci!$A$1:$I$1000,3,0)," ")</f>
        <v xml:space="preserve"> </v>
      </c>
      <c r="AD30" s="149" t="str">
        <f ca="1">IF(N(AA30)&gt;0,VLOOKUP(AA30,Hraci!$A$1:$I$1000,5,0)," ")</f>
        <v xml:space="preserve"> </v>
      </c>
      <c r="AE30" s="149">
        <f ca="1">IF(N(AA30)=0,9999,VLOOKUP(AA30,Hraci!$A$1:$I$1000,8,0))</f>
        <v>9999</v>
      </c>
      <c r="AF30" s="150">
        <f ca="1">IF(N(AA30)=0,0,VLOOKUP(AA30,Hraci!$A$1:$I$1000,9,0))</f>
        <v>0</v>
      </c>
      <c r="AG30" s="147"/>
      <c r="AH30" s="151">
        <f ca="1">IF(TYPE(VLOOKUP(H30,Nasazení!$A$3:$E$130,5,0))&lt;4,VLOOKUP(H30,Nasazení!$A$3:$E$130,5,0),0)</f>
        <v>0</v>
      </c>
      <c r="AI30" s="152" t="str">
        <f ca="1">IF(N($AH30)&gt;0,VLOOKUP($AH30,Body!$A$4:$F$259,5,0),"")</f>
        <v/>
      </c>
      <c r="AJ30" s="153" t="str">
        <f ca="1">IF(N($AH30)&gt;0,VLOOKUP($AH30,Body!$A$4:$F$259,6,0),"")</f>
        <v/>
      </c>
      <c r="AK30" s="152" t="str">
        <f ca="1">IF(N($AH30)&gt;0,VLOOKUP($AH30,Body!$A$4:$F$259,2,0),"")</f>
        <v/>
      </c>
      <c r="AL30" s="154" t="str">
        <f t="shared" ca="1" si="12"/>
        <v/>
      </c>
      <c r="AM30" s="155">
        <f t="shared" ca="1" si="13"/>
        <v>0</v>
      </c>
      <c r="AN30" s="72">
        <f ca="1">IF(OR(TYPE(I30)&gt;1,TYPE(MATCH(I30,I31:I$203,0))&gt;1),0,MATCH(I30,I31:I$203,0))+IF(OR(TYPE(I30)&gt;1,TYPE(MATCH(I30,O$11:O$203,0))&gt;1),0,MATCH(I30,O$11:O$203,0))+IF(OR(TYPE(I30)&gt;1,TYPE(MATCH(I30,U$11:U$203,0))&gt;1),0,MATCH(I30,U$11:U$203,0))+IF(OR(TYPE(I30)&gt;1,TYPE(MATCH(I30,AA$11:AA$203,0))&gt;1),0,MATCH(I30,AA$11:AA$203,0))</f>
        <v>0</v>
      </c>
      <c r="AO30" s="72">
        <f ca="1">IF(OR(TYPE(O30)&gt;1,TYPE(MATCH(O30,I$11:I$203,0))&gt;1),0,MATCH(O30,I$11:I$203,0))+IF(OR(TYPE(O30)&gt;1,TYPE(MATCH(O30,O31:O$203,0))&gt;1),0,MATCH(O30,O31:O$203,0))+IF(OR(TYPE(O30)&gt;1,TYPE(MATCH(O30,U$11:U$203,0))&gt;1),0,MATCH(O30,U$11:U$203,0))+IF(OR(TYPE(O30)&gt;1,TYPE(MATCH(O30,AA$11:AA$203,0))&gt;1),0,MATCH(O30,AA$11:AA$203,0))</f>
        <v>0</v>
      </c>
      <c r="AP30" s="72">
        <f ca="1">IF(OR(TYPE(U30)&gt;1,TYPE(MATCH(U30,I$11:I$203,0))&gt;1),0,MATCH(U30,I$11:I$203,0))+IF(OR(TYPE(U30)&gt;1,TYPE(MATCH(U30,O$11:O$203,0))&gt;1),0,MATCH(U30,O$11:O$203,0))+IF(OR(TYPE(U30)&gt;1,TYPE(MATCH(U30,U31:U$203,0))&gt;1),0,MATCH(U30,U31:U$203,0))+IF(OR(TYPE(U30)&gt;1,TYPE(MATCH(U30,AA$11:AA$203,0))&gt;1),0,MATCH(U30,AA$11:AA$203,0))</f>
        <v>0</v>
      </c>
      <c r="AQ30" s="72">
        <f ca="1">IF(OR(TYPE(AA30)&gt;1,TYPE(MATCH(AA30,I$11:I$203,0))&gt;1),0,MATCH(AA30,I$11:I$203,0))+IF(OR(TYPE(AA30)&gt;1,TYPE(MATCH(AA30,O$11:O$203,0))&gt;1),0,MATCH(AA30,O$11:O$203,0))+IF(OR(TYPE(AA30)&gt;1,TYPE(MATCH(AA30,U$11:U$203,0))&gt;1),0,MATCH(U30,U$11:U$203,0))+IF(OR(TYPE(AA30)&gt;1,TYPE(MATCH(AA30,AA31:AA$203,0))&gt;1),0,MATCH(AA30,AA31:AA$203,0))</f>
        <v>0</v>
      </c>
      <c r="AR30" s="72">
        <f t="shared" ca="1" si="14"/>
        <v>0</v>
      </c>
    </row>
    <row r="31" spans="1:44" ht="14.25">
      <c r="A31" s="103">
        <f t="shared" ca="1" si="0"/>
        <v>0</v>
      </c>
      <c r="B31" s="103">
        <f t="shared" ca="1" si="1"/>
        <v>0</v>
      </c>
      <c r="C31" s="156">
        <f t="shared" ca="1" si="2"/>
        <v>0</v>
      </c>
      <c r="D31" s="103">
        <f t="shared" ca="1" si="3"/>
        <v>99999</v>
      </c>
      <c r="E31" s="103">
        <f t="shared" ca="1" si="4"/>
        <v>9999</v>
      </c>
      <c r="F31" s="104" t="str">
        <f t="shared" ca="1" si="5"/>
        <v>00000000000000000000558049</v>
      </c>
      <c r="G31" s="145">
        <f t="shared" ca="1" si="6"/>
        <v>1</v>
      </c>
      <c r="H31" s="146">
        <f t="shared" si="7"/>
        <v>21</v>
      </c>
      <c r="I31" s="147" t="str">
        <f t="shared" ca="1" si="8"/>
        <v/>
      </c>
      <c r="J31" s="148" t="str">
        <f ca="1">IF(N(I31)&gt;0,VLOOKUP(I31,Hraci!$A$1:$I$1000,2,0),IF(TYPE(INDIRECT(ADDRESS(ROW() + $A$9-9 + (ROW()-11)*4,2,1,1,"Internet")))&gt;1,INDIRECT(ADDRESS(ROW() + $A$9-9 + (ROW()-11)*4,2,1,1,"Internet"))," "))</f>
        <v xml:space="preserve"> </v>
      </c>
      <c r="K31" s="149" t="str">
        <f ca="1">IF(N(I31)&gt;0,VLOOKUP(I31,Hraci!$A$1:$I$1000,3,0)," ")</f>
        <v xml:space="preserve"> </v>
      </c>
      <c r="L31" s="149" t="str">
        <f ca="1">IF(N(I31)&gt;0,VLOOKUP(I31,Hraci!$A$1:$I$1000,5,0),IF(TYPE(INDIRECT(ADDRESS(ROW() + $A$9-9 + (ROW()-11)*4,3,1,1,"Internet")))&gt;1,INDIRECT(ADDRESS(ROW() + $A$9-9 + (ROW()-11)*4,3,1,1,"Internet"))," "))</f>
        <v xml:space="preserve"> </v>
      </c>
      <c r="M31" s="149">
        <f ca="1">IF(N(I31)=0,9999,VLOOKUP(I31,Hraci!$A$1:$I$1000,8,0))</f>
        <v>9999</v>
      </c>
      <c r="N31" s="150">
        <f ca="1">IF(N(I31)=0,0,VLOOKUP(I31,Hraci!$A$1:$I$1000,9,0))</f>
        <v>0</v>
      </c>
      <c r="O31" s="147" t="str">
        <f t="shared" ca="1" si="9"/>
        <v/>
      </c>
      <c r="P31" s="148" t="str">
        <f ca="1">IF(N(O31)&gt;0,VLOOKUP(O31,Hraci!$A$1:$I$1000,2,0),IF(TYPE(INDIRECT(ADDRESS(ROW() + $A$9-8 + (ROW()-11)*4,2,1,1,"Internet")))&gt;1,INDIRECT(ADDRESS(ROW() + $A$9-8 + (ROW()-11)*4,2,1,1,"Internet"))," "))</f>
        <v xml:space="preserve"> </v>
      </c>
      <c r="Q31" s="149" t="str">
        <f ca="1">IF(N(O31)&gt;0,VLOOKUP(O31,Hraci!$A$1:$I$1000,3,0)," ")</f>
        <v xml:space="preserve"> </v>
      </c>
      <c r="R31" s="149" t="str">
        <f ca="1">IF(N(O31)&gt;0,VLOOKUP(O31,Hraci!$A$1:$I$1000,5,0),IF(TYPE(INDIRECT(ADDRESS(ROW() + $A$9-8 + (ROW()-11)*4,3,1,1,"Internet")))&gt;1,INDIRECT(ADDRESS(ROW() + $A$9-8 + (ROW()-11)*4,3,1,1,"Internet"))," "))</f>
        <v xml:space="preserve"> </v>
      </c>
      <c r="S31" s="149">
        <f ca="1">IF(N(O31)=0,9999,VLOOKUP(O31,Hraci!$A$1:$I$1000,8,0))</f>
        <v>9999</v>
      </c>
      <c r="T31" s="150">
        <f ca="1">IF(N(O31)=0,0,VLOOKUP(O31,Hraci!$A$1:$I$1000,9,0))</f>
        <v>0</v>
      </c>
      <c r="U31" s="147" t="str">
        <f t="shared" ca="1" si="10"/>
        <v/>
      </c>
      <c r="V31" s="148" t="str">
        <f ca="1">IF(N(U31)&gt;0,VLOOKUP(U31,Hraci!$A$1:$I$1000,2,0),IF(TYPE(INDIRECT(ADDRESS(ROW() + $A$9-7 + (ROW()-11)*4,2,1,1,"Internet")))&gt;1,INDIRECT(ADDRESS(ROW() + $A$9-7 + (ROW()-11)*4,2,1,1,"Internet"))," "))</f>
        <v xml:space="preserve"> </v>
      </c>
      <c r="W31" s="149" t="str">
        <f ca="1">IF(N(U31)&gt;0,VLOOKUP(U31,Hraci!$A$1:$I$1000,3,0)," ")</f>
        <v xml:space="preserve"> </v>
      </c>
      <c r="X31" s="149" t="str">
        <f ca="1">IF(N(U31)&gt;0,VLOOKUP(U31,Hraci!$A$1:$I$1000,5,0),IF(TYPE(INDIRECT(ADDRESS(ROW() + $A$9-7 + (ROW()-11)*4,3,1,1,"Internet")))&gt;1,INDIRECT(ADDRESS(ROW() + $A$9-7 + (ROW()-11)*4,3,1,1,"Internet"))," "))</f>
        <v xml:space="preserve"> </v>
      </c>
      <c r="Y31" s="149">
        <f ca="1">IF(N(U31)=0,9999,VLOOKUP(U31,Hraci!$A$1:$I$1000,8,0))</f>
        <v>9999</v>
      </c>
      <c r="Z31" s="150">
        <f ca="1">IF(N(U31)=0,0,VLOOKUP(U31,Hraci!$A$1:$I$1000,9,0))</f>
        <v>0</v>
      </c>
      <c r="AA31" s="147" t="str">
        <f t="shared" ca="1" si="11"/>
        <v/>
      </c>
      <c r="AB31" s="148" t="str">
        <f ca="1">IF(N(AA31)&gt;0,VLOOKUP(AA31,Hraci!$A$1:$I$1000,2,0)," ")</f>
        <v xml:space="preserve"> </v>
      </c>
      <c r="AC31" s="149" t="str">
        <f ca="1">IF(N(AA31)&gt;0,VLOOKUP(AA31,Hraci!$A$1:$I$1000,3,0)," ")</f>
        <v xml:space="preserve"> </v>
      </c>
      <c r="AD31" s="149" t="str">
        <f ca="1">IF(N(AA31)&gt;0,VLOOKUP(AA31,Hraci!$A$1:$I$1000,5,0)," ")</f>
        <v xml:space="preserve"> </v>
      </c>
      <c r="AE31" s="149">
        <f ca="1">IF(N(AA31)=0,9999,VLOOKUP(AA31,Hraci!$A$1:$I$1000,8,0))</f>
        <v>9999</v>
      </c>
      <c r="AF31" s="150">
        <f ca="1">IF(N(AA31)=0,0,VLOOKUP(AA31,Hraci!$A$1:$I$1000,9,0))</f>
        <v>0</v>
      </c>
      <c r="AG31" s="147"/>
      <c r="AH31" s="151">
        <f ca="1">IF(TYPE(VLOOKUP(H31,Nasazení!$A$3:$E$130,5,0))&lt;4,VLOOKUP(H31,Nasazení!$A$3:$E$130,5,0),0)</f>
        <v>0</v>
      </c>
      <c r="AI31" s="152" t="str">
        <f ca="1">IF(N($AH31)&gt;0,VLOOKUP($AH31,Body!$A$4:$F$259,5,0),"")</f>
        <v/>
      </c>
      <c r="AJ31" s="153" t="str">
        <f ca="1">IF(N($AH31)&gt;0,VLOOKUP($AH31,Body!$A$4:$F$259,6,0),"")</f>
        <v/>
      </c>
      <c r="AK31" s="152" t="str">
        <f ca="1">IF(N($AH31)&gt;0,VLOOKUP($AH31,Body!$A$4:$F$259,2,0),"")</f>
        <v/>
      </c>
      <c r="AL31" s="154" t="str">
        <f t="shared" ca="1" si="12"/>
        <v/>
      </c>
      <c r="AM31" s="155">
        <f t="shared" ca="1" si="13"/>
        <v>0</v>
      </c>
      <c r="AN31" s="72">
        <f ca="1">IF(OR(TYPE(I31)&gt;1,TYPE(MATCH(I31,I32:I$203,0))&gt;1),0,MATCH(I31,I32:I$203,0))+IF(OR(TYPE(I31)&gt;1,TYPE(MATCH(I31,O$11:O$203,0))&gt;1),0,MATCH(I31,O$11:O$203,0))+IF(OR(TYPE(I31)&gt;1,TYPE(MATCH(I31,U$11:U$203,0))&gt;1),0,MATCH(I31,U$11:U$203,0))+IF(OR(TYPE(I31)&gt;1,TYPE(MATCH(I31,AA$11:AA$203,0))&gt;1),0,MATCH(I31,AA$11:AA$203,0))</f>
        <v>0</v>
      </c>
      <c r="AO31" s="72">
        <f ca="1">IF(OR(TYPE(O31)&gt;1,TYPE(MATCH(O31,I$11:I$203,0))&gt;1),0,MATCH(O31,I$11:I$203,0))+IF(OR(TYPE(O31)&gt;1,TYPE(MATCH(O31,O32:O$203,0))&gt;1),0,MATCH(O31,O32:O$203,0))+IF(OR(TYPE(O31)&gt;1,TYPE(MATCH(O31,U$11:U$203,0))&gt;1),0,MATCH(O31,U$11:U$203,0))+IF(OR(TYPE(O31)&gt;1,TYPE(MATCH(O31,AA$11:AA$203,0))&gt;1),0,MATCH(O31,AA$11:AA$203,0))</f>
        <v>0</v>
      </c>
      <c r="AP31" s="72">
        <f ca="1">IF(OR(TYPE(U31)&gt;1,TYPE(MATCH(U31,I$11:I$203,0))&gt;1),0,MATCH(U31,I$11:I$203,0))+IF(OR(TYPE(U31)&gt;1,TYPE(MATCH(U31,O$11:O$203,0))&gt;1),0,MATCH(U31,O$11:O$203,0))+IF(OR(TYPE(U31)&gt;1,TYPE(MATCH(U31,U32:U$203,0))&gt;1),0,MATCH(U31,U32:U$203,0))+IF(OR(TYPE(U31)&gt;1,TYPE(MATCH(U31,AA$11:AA$203,0))&gt;1),0,MATCH(U31,AA$11:AA$203,0))</f>
        <v>0</v>
      </c>
      <c r="AQ31" s="72">
        <f ca="1">IF(OR(TYPE(AA31)&gt;1,TYPE(MATCH(AA31,I$11:I$203,0))&gt;1),0,MATCH(AA31,I$11:I$203,0))+IF(OR(TYPE(AA31)&gt;1,TYPE(MATCH(AA31,O$11:O$203,0))&gt;1),0,MATCH(AA31,O$11:O$203,0))+IF(OR(TYPE(AA31)&gt;1,TYPE(MATCH(AA31,U$11:U$203,0))&gt;1),0,MATCH(U31,U$11:U$203,0))+IF(OR(TYPE(AA31)&gt;1,TYPE(MATCH(AA31,AA32:AA$203,0))&gt;1),0,MATCH(AA31,AA32:AA$203,0))</f>
        <v>0</v>
      </c>
      <c r="AR31" s="72">
        <f t="shared" ca="1" si="14"/>
        <v>0</v>
      </c>
    </row>
    <row r="32" spans="1:44" ht="14.25">
      <c r="A32" s="103">
        <f t="shared" ca="1" si="0"/>
        <v>0</v>
      </c>
      <c r="B32" s="103">
        <f t="shared" ca="1" si="1"/>
        <v>0</v>
      </c>
      <c r="C32" s="156">
        <f t="shared" ca="1" si="2"/>
        <v>0</v>
      </c>
      <c r="D32" s="103">
        <f t="shared" ca="1" si="3"/>
        <v>99999</v>
      </c>
      <c r="E32" s="103">
        <f t="shared" ca="1" si="4"/>
        <v>9999</v>
      </c>
      <c r="F32" s="104" t="str">
        <f t="shared" ca="1" si="5"/>
        <v>00000000000000000000053908</v>
      </c>
      <c r="G32" s="145">
        <f t="shared" ca="1" si="6"/>
        <v>1</v>
      </c>
      <c r="H32" s="146">
        <f t="shared" si="7"/>
        <v>22</v>
      </c>
      <c r="I32" s="147" t="str">
        <f t="shared" ca="1" si="8"/>
        <v/>
      </c>
      <c r="J32" s="148" t="str">
        <f ca="1">IF(N(I32)&gt;0,VLOOKUP(I32,Hraci!$A$1:$I$1000,2,0),IF(TYPE(INDIRECT(ADDRESS(ROW() + $A$9-9 + (ROW()-11)*4,2,1,1,"Internet")))&gt;1,INDIRECT(ADDRESS(ROW() + $A$9-9 + (ROW()-11)*4,2,1,1,"Internet"))," "))</f>
        <v xml:space="preserve"> </v>
      </c>
      <c r="K32" s="149" t="str">
        <f ca="1">IF(N(I32)&gt;0,VLOOKUP(I32,Hraci!$A$1:$I$1000,3,0)," ")</f>
        <v xml:space="preserve"> </v>
      </c>
      <c r="L32" s="149" t="str">
        <f ca="1">IF(N(I32)&gt;0,VLOOKUP(I32,Hraci!$A$1:$I$1000,5,0),IF(TYPE(INDIRECT(ADDRESS(ROW() + $A$9-9 + (ROW()-11)*4,3,1,1,"Internet")))&gt;1,INDIRECT(ADDRESS(ROW() + $A$9-9 + (ROW()-11)*4,3,1,1,"Internet"))," "))</f>
        <v xml:space="preserve"> </v>
      </c>
      <c r="M32" s="149">
        <f ca="1">IF(N(I32)=0,9999,VLOOKUP(I32,Hraci!$A$1:$I$1000,8,0))</f>
        <v>9999</v>
      </c>
      <c r="N32" s="150">
        <f ca="1">IF(N(I32)=0,0,VLOOKUP(I32,Hraci!$A$1:$I$1000,9,0))</f>
        <v>0</v>
      </c>
      <c r="O32" s="147" t="str">
        <f t="shared" ca="1" si="9"/>
        <v/>
      </c>
      <c r="P32" s="148" t="str">
        <f ca="1">IF(N(O32)&gt;0,VLOOKUP(O32,Hraci!$A$1:$I$1000,2,0),IF(TYPE(INDIRECT(ADDRESS(ROW() + $A$9-8 + (ROW()-11)*4,2,1,1,"Internet")))&gt;1,INDIRECT(ADDRESS(ROW() + $A$9-8 + (ROW()-11)*4,2,1,1,"Internet"))," "))</f>
        <v xml:space="preserve"> </v>
      </c>
      <c r="Q32" s="149" t="str">
        <f ca="1">IF(N(O32)&gt;0,VLOOKUP(O32,Hraci!$A$1:$I$1000,3,0)," ")</f>
        <v xml:space="preserve"> </v>
      </c>
      <c r="R32" s="149" t="str">
        <f ca="1">IF(N(O32)&gt;0,VLOOKUP(O32,Hraci!$A$1:$I$1000,5,0),IF(TYPE(INDIRECT(ADDRESS(ROW() + $A$9-8 + (ROW()-11)*4,3,1,1,"Internet")))&gt;1,INDIRECT(ADDRESS(ROW() + $A$9-8 + (ROW()-11)*4,3,1,1,"Internet"))," "))</f>
        <v xml:space="preserve"> </v>
      </c>
      <c r="S32" s="149">
        <f ca="1">IF(N(O32)=0,9999,VLOOKUP(O32,Hraci!$A$1:$I$1000,8,0))</f>
        <v>9999</v>
      </c>
      <c r="T32" s="150">
        <f ca="1">IF(N(O32)=0,0,VLOOKUP(O32,Hraci!$A$1:$I$1000,9,0))</f>
        <v>0</v>
      </c>
      <c r="U32" s="147" t="str">
        <f t="shared" ca="1" si="10"/>
        <v/>
      </c>
      <c r="V32" s="148" t="str">
        <f ca="1">IF(N(U32)&gt;0,VLOOKUP(U32,Hraci!$A$1:$I$1000,2,0),IF(TYPE(INDIRECT(ADDRESS(ROW() + $A$9-7 + (ROW()-11)*4,2,1,1,"Internet")))&gt;1,INDIRECT(ADDRESS(ROW() + $A$9-7 + (ROW()-11)*4,2,1,1,"Internet"))," "))</f>
        <v xml:space="preserve"> </v>
      </c>
      <c r="W32" s="149" t="str">
        <f ca="1">IF(N(U32)&gt;0,VLOOKUP(U32,Hraci!$A$1:$I$1000,3,0)," ")</f>
        <v xml:space="preserve"> </v>
      </c>
      <c r="X32" s="149" t="str">
        <f ca="1">IF(N(U32)&gt;0,VLOOKUP(U32,Hraci!$A$1:$I$1000,5,0),IF(TYPE(INDIRECT(ADDRESS(ROW() + $A$9-7 + (ROW()-11)*4,3,1,1,"Internet")))&gt;1,INDIRECT(ADDRESS(ROW() + $A$9-7 + (ROW()-11)*4,3,1,1,"Internet"))," "))</f>
        <v xml:space="preserve"> </v>
      </c>
      <c r="Y32" s="149">
        <f ca="1">IF(N(U32)=0,9999,VLOOKUP(U32,Hraci!$A$1:$I$1000,8,0))</f>
        <v>9999</v>
      </c>
      <c r="Z32" s="150">
        <f ca="1">IF(N(U32)=0,0,VLOOKUP(U32,Hraci!$A$1:$I$1000,9,0))</f>
        <v>0</v>
      </c>
      <c r="AA32" s="147" t="str">
        <f t="shared" ca="1" si="11"/>
        <v/>
      </c>
      <c r="AB32" s="148" t="str">
        <f ca="1">IF(N(AA32)&gt;0,VLOOKUP(AA32,Hraci!$A$1:$I$1000,2,0)," ")</f>
        <v xml:space="preserve"> </v>
      </c>
      <c r="AC32" s="149" t="str">
        <f ca="1">IF(N(AA32)&gt;0,VLOOKUP(AA32,Hraci!$A$1:$I$1000,3,0)," ")</f>
        <v xml:space="preserve"> </v>
      </c>
      <c r="AD32" s="149" t="str">
        <f ca="1">IF(N(AA32)&gt;0,VLOOKUP(AA32,Hraci!$A$1:$I$1000,5,0)," ")</f>
        <v xml:space="preserve"> </v>
      </c>
      <c r="AE32" s="149">
        <f ca="1">IF(N(AA32)=0,9999,VLOOKUP(AA32,Hraci!$A$1:$I$1000,8,0))</f>
        <v>9999</v>
      </c>
      <c r="AF32" s="150">
        <f ca="1">IF(N(AA32)=0,0,VLOOKUP(AA32,Hraci!$A$1:$I$1000,9,0))</f>
        <v>0</v>
      </c>
      <c r="AG32" s="147"/>
      <c r="AH32" s="151">
        <f ca="1">IF(TYPE(VLOOKUP(H32,Nasazení!$A$3:$E$130,5,0))&lt;4,VLOOKUP(H32,Nasazení!$A$3:$E$130,5,0),0)</f>
        <v>0</v>
      </c>
      <c r="AI32" s="152" t="str">
        <f ca="1">IF(N($AH32)&gt;0,VLOOKUP($AH32,Body!$A$4:$F$259,5,0),"")</f>
        <v/>
      </c>
      <c r="AJ32" s="153" t="str">
        <f ca="1">IF(N($AH32)&gt;0,VLOOKUP($AH32,Body!$A$4:$F$259,6,0),"")</f>
        <v/>
      </c>
      <c r="AK32" s="152" t="str">
        <f ca="1">IF(N($AH32)&gt;0,VLOOKUP($AH32,Body!$A$4:$F$259,2,0),"")</f>
        <v/>
      </c>
      <c r="AL32" s="154" t="str">
        <f t="shared" ca="1" si="12"/>
        <v/>
      </c>
      <c r="AM32" s="155">
        <f t="shared" ca="1" si="13"/>
        <v>0</v>
      </c>
      <c r="AN32" s="72">
        <f ca="1">IF(OR(TYPE(I32)&gt;1,TYPE(MATCH(I32,I33:I$203,0))&gt;1),0,MATCH(I32,I33:I$203,0))+IF(OR(TYPE(I32)&gt;1,TYPE(MATCH(I32,O$11:O$203,0))&gt;1),0,MATCH(I32,O$11:O$203,0))+IF(OR(TYPE(I32)&gt;1,TYPE(MATCH(I32,U$11:U$203,0))&gt;1),0,MATCH(I32,U$11:U$203,0))+IF(OR(TYPE(I32)&gt;1,TYPE(MATCH(I32,AA$11:AA$203,0))&gt;1),0,MATCH(I32,AA$11:AA$203,0))</f>
        <v>0</v>
      </c>
      <c r="AO32" s="72">
        <f ca="1">IF(OR(TYPE(O32)&gt;1,TYPE(MATCH(O32,I$11:I$203,0))&gt;1),0,MATCH(O32,I$11:I$203,0))+IF(OR(TYPE(O32)&gt;1,TYPE(MATCH(O32,O33:O$203,0))&gt;1),0,MATCH(O32,O33:O$203,0))+IF(OR(TYPE(O32)&gt;1,TYPE(MATCH(O32,U$11:U$203,0))&gt;1),0,MATCH(O32,U$11:U$203,0))+IF(OR(TYPE(O32)&gt;1,TYPE(MATCH(O32,AA$11:AA$203,0))&gt;1),0,MATCH(O32,AA$11:AA$203,0))</f>
        <v>0</v>
      </c>
      <c r="AP32" s="72">
        <f ca="1">IF(OR(TYPE(U32)&gt;1,TYPE(MATCH(U32,I$11:I$203,0))&gt;1),0,MATCH(U32,I$11:I$203,0))+IF(OR(TYPE(U32)&gt;1,TYPE(MATCH(U32,O$11:O$203,0))&gt;1),0,MATCH(U32,O$11:O$203,0))+IF(OR(TYPE(U32)&gt;1,TYPE(MATCH(U32,U33:U$203,0))&gt;1),0,MATCH(U32,U33:U$203,0))+IF(OR(TYPE(U32)&gt;1,TYPE(MATCH(U32,AA$11:AA$203,0))&gt;1),0,MATCH(U32,AA$11:AA$203,0))</f>
        <v>0</v>
      </c>
      <c r="AQ32" s="72">
        <f ca="1">IF(OR(TYPE(AA32)&gt;1,TYPE(MATCH(AA32,I$11:I$203,0))&gt;1),0,MATCH(AA32,I$11:I$203,0))+IF(OR(TYPE(AA32)&gt;1,TYPE(MATCH(AA32,O$11:O$203,0))&gt;1),0,MATCH(AA32,O$11:O$203,0))+IF(OR(TYPE(AA32)&gt;1,TYPE(MATCH(AA32,U$11:U$203,0))&gt;1),0,MATCH(U32,U$11:U$203,0))+IF(OR(TYPE(AA32)&gt;1,TYPE(MATCH(AA32,AA33:AA$203,0))&gt;1),0,MATCH(AA32,AA33:AA$203,0))</f>
        <v>0</v>
      </c>
      <c r="AR32" s="72">
        <f t="shared" ca="1" si="14"/>
        <v>0</v>
      </c>
    </row>
    <row r="33" spans="1:44" ht="14.25">
      <c r="A33" s="103">
        <f t="shared" ca="1" si="0"/>
        <v>0</v>
      </c>
      <c r="B33" s="103">
        <f t="shared" ca="1" si="1"/>
        <v>0</v>
      </c>
      <c r="C33" s="156">
        <f t="shared" ca="1" si="2"/>
        <v>0</v>
      </c>
      <c r="D33" s="103">
        <f t="shared" ca="1" si="3"/>
        <v>99999</v>
      </c>
      <c r="E33" s="103">
        <f t="shared" ca="1" si="4"/>
        <v>9999</v>
      </c>
      <c r="F33" s="104" t="str">
        <f t="shared" ca="1" si="5"/>
        <v>00000000000000000000807340</v>
      </c>
      <c r="G33" s="145">
        <f t="shared" ca="1" si="6"/>
        <v>1</v>
      </c>
      <c r="H33" s="146">
        <f t="shared" si="7"/>
        <v>23</v>
      </c>
      <c r="I33" s="147" t="str">
        <f t="shared" ca="1" si="8"/>
        <v/>
      </c>
      <c r="J33" s="148" t="str">
        <f ca="1">IF(N(I33)&gt;0,VLOOKUP(I33,Hraci!$A$1:$I$1000,2,0),IF(TYPE(INDIRECT(ADDRESS(ROW() + $A$9-9 + (ROW()-11)*4,2,1,1,"Internet")))&gt;1,INDIRECT(ADDRESS(ROW() + $A$9-9 + (ROW()-11)*4,2,1,1,"Internet"))," "))</f>
        <v xml:space="preserve"> </v>
      </c>
      <c r="K33" s="149" t="str">
        <f ca="1">IF(N(I33)&gt;0,VLOOKUP(I33,Hraci!$A$1:$I$1000,3,0)," ")</f>
        <v xml:space="preserve"> </v>
      </c>
      <c r="L33" s="149" t="str">
        <f ca="1">IF(N(I33)&gt;0,VLOOKUP(I33,Hraci!$A$1:$I$1000,5,0),IF(TYPE(INDIRECT(ADDRESS(ROW() + $A$9-9 + (ROW()-11)*4,3,1,1,"Internet")))&gt;1,INDIRECT(ADDRESS(ROW() + $A$9-9 + (ROW()-11)*4,3,1,1,"Internet"))," "))</f>
        <v xml:space="preserve"> </v>
      </c>
      <c r="M33" s="149">
        <f ca="1">IF(N(I33)=0,9999,VLOOKUP(I33,Hraci!$A$1:$I$1000,8,0))</f>
        <v>9999</v>
      </c>
      <c r="N33" s="150">
        <f ca="1">IF(N(I33)=0,0,VLOOKUP(I33,Hraci!$A$1:$I$1000,9,0))</f>
        <v>0</v>
      </c>
      <c r="O33" s="147" t="str">
        <f t="shared" ca="1" si="9"/>
        <v/>
      </c>
      <c r="P33" s="148" t="str">
        <f ca="1">IF(N(O33)&gt;0,VLOOKUP(O33,Hraci!$A$1:$I$1000,2,0),IF(TYPE(INDIRECT(ADDRESS(ROW() + $A$9-8 + (ROW()-11)*4,2,1,1,"Internet")))&gt;1,INDIRECT(ADDRESS(ROW() + $A$9-8 + (ROW()-11)*4,2,1,1,"Internet"))," "))</f>
        <v xml:space="preserve"> </v>
      </c>
      <c r="Q33" s="149" t="str">
        <f ca="1">IF(N(O33)&gt;0,VLOOKUP(O33,Hraci!$A$1:$I$1000,3,0)," ")</f>
        <v xml:space="preserve"> </v>
      </c>
      <c r="R33" s="149" t="str">
        <f ca="1">IF(N(O33)&gt;0,VLOOKUP(O33,Hraci!$A$1:$I$1000,5,0),IF(TYPE(INDIRECT(ADDRESS(ROW() + $A$9-8 + (ROW()-11)*4,3,1,1,"Internet")))&gt;1,INDIRECT(ADDRESS(ROW() + $A$9-8 + (ROW()-11)*4,3,1,1,"Internet"))," "))</f>
        <v xml:space="preserve"> </v>
      </c>
      <c r="S33" s="149">
        <f ca="1">IF(N(O33)=0,9999,VLOOKUP(O33,Hraci!$A$1:$I$1000,8,0))</f>
        <v>9999</v>
      </c>
      <c r="T33" s="150">
        <f ca="1">IF(N(O33)=0,0,VLOOKUP(O33,Hraci!$A$1:$I$1000,9,0))</f>
        <v>0</v>
      </c>
      <c r="U33" s="147" t="str">
        <f t="shared" ca="1" si="10"/>
        <v/>
      </c>
      <c r="V33" s="148" t="str">
        <f ca="1">IF(N(U33)&gt;0,VLOOKUP(U33,Hraci!$A$1:$I$1000,2,0),IF(TYPE(INDIRECT(ADDRESS(ROW() + $A$9-7 + (ROW()-11)*4,2,1,1,"Internet")))&gt;1,INDIRECT(ADDRESS(ROW() + $A$9-7 + (ROW()-11)*4,2,1,1,"Internet"))," "))</f>
        <v xml:space="preserve"> </v>
      </c>
      <c r="W33" s="149" t="str">
        <f ca="1">IF(N(U33)&gt;0,VLOOKUP(U33,Hraci!$A$1:$I$1000,3,0)," ")</f>
        <v xml:space="preserve"> </v>
      </c>
      <c r="X33" s="149" t="str">
        <f ca="1">IF(N(U33)&gt;0,VLOOKUP(U33,Hraci!$A$1:$I$1000,5,0),IF(TYPE(INDIRECT(ADDRESS(ROW() + $A$9-7 + (ROW()-11)*4,3,1,1,"Internet")))&gt;1,INDIRECT(ADDRESS(ROW() + $A$9-7 + (ROW()-11)*4,3,1,1,"Internet"))," "))</f>
        <v xml:space="preserve"> </v>
      </c>
      <c r="Y33" s="149">
        <f ca="1">IF(N(U33)=0,9999,VLOOKUP(U33,Hraci!$A$1:$I$1000,8,0))</f>
        <v>9999</v>
      </c>
      <c r="Z33" s="150">
        <f ca="1">IF(N(U33)=0,0,VLOOKUP(U33,Hraci!$A$1:$I$1000,9,0))</f>
        <v>0</v>
      </c>
      <c r="AA33" s="147" t="str">
        <f t="shared" ca="1" si="11"/>
        <v/>
      </c>
      <c r="AB33" s="148" t="str">
        <f ca="1">IF(N(AA33)&gt;0,VLOOKUP(AA33,Hraci!$A$1:$I$1000,2,0)," ")</f>
        <v xml:space="preserve"> </v>
      </c>
      <c r="AC33" s="149" t="str">
        <f ca="1">IF(N(AA33)&gt;0,VLOOKUP(AA33,Hraci!$A$1:$I$1000,3,0)," ")</f>
        <v xml:space="preserve"> </v>
      </c>
      <c r="AD33" s="149" t="str">
        <f ca="1">IF(N(AA33)&gt;0,VLOOKUP(AA33,Hraci!$A$1:$I$1000,5,0)," ")</f>
        <v xml:space="preserve"> </v>
      </c>
      <c r="AE33" s="149">
        <f ca="1">IF(N(AA33)=0,9999,VLOOKUP(AA33,Hraci!$A$1:$I$1000,8,0))</f>
        <v>9999</v>
      </c>
      <c r="AF33" s="150">
        <f ca="1">IF(N(AA33)=0,0,VLOOKUP(AA33,Hraci!$A$1:$I$1000,9,0))</f>
        <v>0</v>
      </c>
      <c r="AG33" s="147"/>
      <c r="AH33" s="151">
        <f ca="1">IF(TYPE(VLOOKUP(H33,Nasazení!$A$3:$E$130,5,0))&lt;4,VLOOKUP(H33,Nasazení!$A$3:$E$130,5,0),0)</f>
        <v>0</v>
      </c>
      <c r="AI33" s="152" t="str">
        <f ca="1">IF(N($AH33)&gt;0,VLOOKUP($AH33,Body!$A$4:$F$259,5,0),"")</f>
        <v/>
      </c>
      <c r="AJ33" s="153" t="str">
        <f ca="1">IF(N($AH33)&gt;0,VLOOKUP($AH33,Body!$A$4:$F$259,6,0),"")</f>
        <v/>
      </c>
      <c r="AK33" s="152" t="str">
        <f ca="1">IF(N($AH33)&gt;0,VLOOKUP($AH33,Body!$A$4:$F$259,2,0),"")</f>
        <v/>
      </c>
      <c r="AL33" s="154" t="str">
        <f t="shared" ca="1" si="12"/>
        <v/>
      </c>
      <c r="AM33" s="155">
        <f t="shared" ca="1" si="13"/>
        <v>0</v>
      </c>
      <c r="AN33" s="72">
        <f ca="1">IF(OR(TYPE(I33)&gt;1,TYPE(MATCH(I33,I34:I$203,0))&gt;1),0,MATCH(I33,I34:I$203,0))+IF(OR(TYPE(I33)&gt;1,TYPE(MATCH(I33,O$11:O$203,0))&gt;1),0,MATCH(I33,O$11:O$203,0))+IF(OR(TYPE(I33)&gt;1,TYPE(MATCH(I33,U$11:U$203,0))&gt;1),0,MATCH(I33,U$11:U$203,0))+IF(OR(TYPE(I33)&gt;1,TYPE(MATCH(I33,AA$11:AA$203,0))&gt;1),0,MATCH(I33,AA$11:AA$203,0))</f>
        <v>0</v>
      </c>
      <c r="AO33" s="72">
        <f ca="1">IF(OR(TYPE(O33)&gt;1,TYPE(MATCH(O33,I$11:I$203,0))&gt;1),0,MATCH(O33,I$11:I$203,0))+IF(OR(TYPE(O33)&gt;1,TYPE(MATCH(O33,O34:O$203,0))&gt;1),0,MATCH(O33,O34:O$203,0))+IF(OR(TYPE(O33)&gt;1,TYPE(MATCH(O33,U$11:U$203,0))&gt;1),0,MATCH(O33,U$11:U$203,0))+IF(OR(TYPE(O33)&gt;1,TYPE(MATCH(O33,AA$11:AA$203,0))&gt;1),0,MATCH(O33,AA$11:AA$203,0))</f>
        <v>0</v>
      </c>
      <c r="AP33" s="72">
        <f ca="1">IF(OR(TYPE(U33)&gt;1,TYPE(MATCH(U33,I$11:I$203,0))&gt;1),0,MATCH(U33,I$11:I$203,0))+IF(OR(TYPE(U33)&gt;1,TYPE(MATCH(U33,O$11:O$203,0))&gt;1),0,MATCH(U33,O$11:O$203,0))+IF(OR(TYPE(U33)&gt;1,TYPE(MATCH(U33,U34:U$203,0))&gt;1),0,MATCH(U33,U34:U$203,0))+IF(OR(TYPE(U33)&gt;1,TYPE(MATCH(U33,AA$11:AA$203,0))&gt;1),0,MATCH(U33,AA$11:AA$203,0))</f>
        <v>0</v>
      </c>
      <c r="AQ33" s="72">
        <f ca="1">IF(OR(TYPE(AA33)&gt;1,TYPE(MATCH(AA33,I$11:I$203,0))&gt;1),0,MATCH(AA33,I$11:I$203,0))+IF(OR(TYPE(AA33)&gt;1,TYPE(MATCH(AA33,O$11:O$203,0))&gt;1),0,MATCH(AA33,O$11:O$203,0))+IF(OR(TYPE(AA33)&gt;1,TYPE(MATCH(AA33,U$11:U$203,0))&gt;1),0,MATCH(U33,U$11:U$203,0))+IF(OR(TYPE(AA33)&gt;1,TYPE(MATCH(AA33,AA34:AA$203,0))&gt;1),0,MATCH(AA33,AA34:AA$203,0))</f>
        <v>0</v>
      </c>
      <c r="AR33" s="72">
        <f t="shared" ca="1" si="14"/>
        <v>0</v>
      </c>
    </row>
    <row r="34" spans="1:44" ht="14.25">
      <c r="A34" s="103">
        <f t="shared" ca="1" si="0"/>
        <v>0</v>
      </c>
      <c r="B34" s="103">
        <f t="shared" ca="1" si="1"/>
        <v>0</v>
      </c>
      <c r="C34" s="156">
        <f t="shared" ca="1" si="2"/>
        <v>0</v>
      </c>
      <c r="D34" s="103">
        <f t="shared" ca="1" si="3"/>
        <v>99999</v>
      </c>
      <c r="E34" s="103">
        <f t="shared" ca="1" si="4"/>
        <v>9999</v>
      </c>
      <c r="F34" s="104" t="str">
        <f t="shared" ca="1" si="5"/>
        <v>00000000000000000000316080</v>
      </c>
      <c r="G34" s="145">
        <f t="shared" ca="1" si="6"/>
        <v>1</v>
      </c>
      <c r="H34" s="146">
        <f t="shared" si="7"/>
        <v>24</v>
      </c>
      <c r="I34" s="147" t="str">
        <f t="shared" ca="1" si="8"/>
        <v/>
      </c>
      <c r="J34" s="148" t="str">
        <f ca="1">IF(N(I34)&gt;0,VLOOKUP(I34,Hraci!$A$1:$I$1000,2,0),IF(TYPE(INDIRECT(ADDRESS(ROW() + $A$9-9 + (ROW()-11)*4,2,1,1,"Internet")))&gt;1,INDIRECT(ADDRESS(ROW() + $A$9-9 + (ROW()-11)*4,2,1,1,"Internet"))," "))</f>
        <v xml:space="preserve"> </v>
      </c>
      <c r="K34" s="149" t="str">
        <f ca="1">IF(N(I34)&gt;0,VLOOKUP(I34,Hraci!$A$1:$I$1000,3,0)," ")</f>
        <v xml:space="preserve"> </v>
      </c>
      <c r="L34" s="149" t="str">
        <f ca="1">IF(N(I34)&gt;0,VLOOKUP(I34,Hraci!$A$1:$I$1000,5,0),IF(TYPE(INDIRECT(ADDRESS(ROW() + $A$9-9 + (ROW()-11)*4,3,1,1,"Internet")))&gt;1,INDIRECT(ADDRESS(ROW() + $A$9-9 + (ROW()-11)*4,3,1,1,"Internet"))," "))</f>
        <v xml:space="preserve"> </v>
      </c>
      <c r="M34" s="149">
        <f ca="1">IF(N(I34)=0,9999,VLOOKUP(I34,Hraci!$A$1:$I$1000,8,0))</f>
        <v>9999</v>
      </c>
      <c r="N34" s="150">
        <f ca="1">IF(N(I34)=0,0,VLOOKUP(I34,Hraci!$A$1:$I$1000,9,0))</f>
        <v>0</v>
      </c>
      <c r="O34" s="147" t="str">
        <f t="shared" ca="1" si="9"/>
        <v/>
      </c>
      <c r="P34" s="148" t="str">
        <f ca="1">IF(N(O34)&gt;0,VLOOKUP(O34,Hraci!$A$1:$I$1000,2,0),IF(TYPE(INDIRECT(ADDRESS(ROW() + $A$9-8 + (ROW()-11)*4,2,1,1,"Internet")))&gt;1,INDIRECT(ADDRESS(ROW() + $A$9-8 + (ROW()-11)*4,2,1,1,"Internet"))," "))</f>
        <v xml:space="preserve"> </v>
      </c>
      <c r="Q34" s="149" t="str">
        <f ca="1">IF(N(O34)&gt;0,VLOOKUP(O34,Hraci!$A$1:$I$1000,3,0)," ")</f>
        <v xml:space="preserve"> </v>
      </c>
      <c r="R34" s="149" t="str">
        <f ca="1">IF(N(O34)&gt;0,VLOOKUP(O34,Hraci!$A$1:$I$1000,5,0),IF(TYPE(INDIRECT(ADDRESS(ROW() + $A$9-8 + (ROW()-11)*4,3,1,1,"Internet")))&gt;1,INDIRECT(ADDRESS(ROW() + $A$9-8 + (ROW()-11)*4,3,1,1,"Internet"))," "))</f>
        <v xml:space="preserve"> </v>
      </c>
      <c r="S34" s="149">
        <f ca="1">IF(N(O34)=0,9999,VLOOKUP(O34,Hraci!$A$1:$I$1000,8,0))</f>
        <v>9999</v>
      </c>
      <c r="T34" s="150">
        <f ca="1">IF(N(O34)=0,0,VLOOKUP(O34,Hraci!$A$1:$I$1000,9,0))</f>
        <v>0</v>
      </c>
      <c r="U34" s="147" t="str">
        <f t="shared" ca="1" si="10"/>
        <v/>
      </c>
      <c r="V34" s="148" t="str">
        <f ca="1">IF(N(U34)&gt;0,VLOOKUP(U34,Hraci!$A$1:$I$1000,2,0),IF(TYPE(INDIRECT(ADDRESS(ROW() + $A$9-7 + (ROW()-11)*4,2,1,1,"Internet")))&gt;1,INDIRECT(ADDRESS(ROW() + $A$9-7 + (ROW()-11)*4,2,1,1,"Internet"))," "))</f>
        <v xml:space="preserve"> </v>
      </c>
      <c r="W34" s="149" t="str">
        <f ca="1">IF(N(U34)&gt;0,VLOOKUP(U34,Hraci!$A$1:$I$1000,3,0)," ")</f>
        <v xml:space="preserve"> </v>
      </c>
      <c r="X34" s="149" t="str">
        <f ca="1">IF(N(U34)&gt;0,VLOOKUP(U34,Hraci!$A$1:$I$1000,5,0),IF(TYPE(INDIRECT(ADDRESS(ROW() + $A$9-7 + (ROW()-11)*4,3,1,1,"Internet")))&gt;1,INDIRECT(ADDRESS(ROW() + $A$9-7 + (ROW()-11)*4,3,1,1,"Internet"))," "))</f>
        <v xml:space="preserve"> </v>
      </c>
      <c r="Y34" s="149">
        <f ca="1">IF(N(U34)=0,9999,VLOOKUP(U34,Hraci!$A$1:$I$1000,8,0))</f>
        <v>9999</v>
      </c>
      <c r="Z34" s="150">
        <f ca="1">IF(N(U34)=0,0,VLOOKUP(U34,Hraci!$A$1:$I$1000,9,0))</f>
        <v>0</v>
      </c>
      <c r="AA34" s="147" t="str">
        <f t="shared" ca="1" si="11"/>
        <v/>
      </c>
      <c r="AB34" s="148" t="str">
        <f ca="1">IF(N(AA34)&gt;0,VLOOKUP(AA34,Hraci!$A$1:$I$1000,2,0)," ")</f>
        <v xml:space="preserve"> </v>
      </c>
      <c r="AC34" s="149" t="str">
        <f ca="1">IF(N(AA34)&gt;0,VLOOKUP(AA34,Hraci!$A$1:$I$1000,3,0)," ")</f>
        <v xml:space="preserve"> </v>
      </c>
      <c r="AD34" s="149" t="str">
        <f ca="1">IF(N(AA34)&gt;0,VLOOKUP(AA34,Hraci!$A$1:$I$1000,5,0)," ")</f>
        <v xml:space="preserve"> </v>
      </c>
      <c r="AE34" s="149">
        <f ca="1">IF(N(AA34)=0,9999,VLOOKUP(AA34,Hraci!$A$1:$I$1000,8,0))</f>
        <v>9999</v>
      </c>
      <c r="AF34" s="150">
        <f ca="1">IF(N(AA34)=0,0,VLOOKUP(AA34,Hraci!$A$1:$I$1000,9,0))</f>
        <v>0</v>
      </c>
      <c r="AG34" s="147"/>
      <c r="AH34" s="151">
        <f ca="1">IF(TYPE(VLOOKUP(H34,Nasazení!$A$3:$E$130,5,0))&lt;4,VLOOKUP(H34,Nasazení!$A$3:$E$130,5,0),0)</f>
        <v>0</v>
      </c>
      <c r="AI34" s="152" t="str">
        <f ca="1">IF(N($AH34)&gt;0,VLOOKUP($AH34,Body!$A$4:$F$259,5,0),"")</f>
        <v/>
      </c>
      <c r="AJ34" s="153" t="str">
        <f ca="1">IF(N($AH34)&gt;0,VLOOKUP($AH34,Body!$A$4:$F$259,6,0),"")</f>
        <v/>
      </c>
      <c r="AK34" s="152" t="str">
        <f ca="1">IF(N($AH34)&gt;0,VLOOKUP($AH34,Body!$A$4:$F$259,2,0),"")</f>
        <v/>
      </c>
      <c r="AL34" s="154" t="str">
        <f t="shared" ca="1" si="12"/>
        <v/>
      </c>
      <c r="AM34" s="155">
        <f t="shared" ca="1" si="13"/>
        <v>0</v>
      </c>
      <c r="AN34" s="72">
        <f ca="1">IF(OR(TYPE(I34)&gt;1,TYPE(MATCH(I34,I35:I$203,0))&gt;1),0,MATCH(I34,I35:I$203,0))+IF(OR(TYPE(I34)&gt;1,TYPE(MATCH(I34,O$11:O$203,0))&gt;1),0,MATCH(I34,O$11:O$203,0))+IF(OR(TYPE(I34)&gt;1,TYPE(MATCH(I34,U$11:U$203,0))&gt;1),0,MATCH(I34,U$11:U$203,0))+IF(OR(TYPE(I34)&gt;1,TYPE(MATCH(I34,AA$11:AA$203,0))&gt;1),0,MATCH(I34,AA$11:AA$203,0))</f>
        <v>0</v>
      </c>
      <c r="AO34" s="72">
        <f ca="1">IF(OR(TYPE(O34)&gt;1,TYPE(MATCH(O34,I$11:I$203,0))&gt;1),0,MATCH(O34,I$11:I$203,0))+IF(OR(TYPE(O34)&gt;1,TYPE(MATCH(O34,O35:O$203,0))&gt;1),0,MATCH(O34,O35:O$203,0))+IF(OR(TYPE(O34)&gt;1,TYPE(MATCH(O34,U$11:U$203,0))&gt;1),0,MATCH(O34,U$11:U$203,0))+IF(OR(TYPE(O34)&gt;1,TYPE(MATCH(O34,AA$11:AA$203,0))&gt;1),0,MATCH(O34,AA$11:AA$203,0))</f>
        <v>0</v>
      </c>
      <c r="AP34" s="72">
        <f ca="1">IF(OR(TYPE(U34)&gt;1,TYPE(MATCH(U34,I$11:I$203,0))&gt;1),0,MATCH(U34,I$11:I$203,0))+IF(OR(TYPE(U34)&gt;1,TYPE(MATCH(U34,O$11:O$203,0))&gt;1),0,MATCH(U34,O$11:O$203,0))+IF(OR(TYPE(U34)&gt;1,TYPE(MATCH(U34,U35:U$203,0))&gt;1),0,MATCH(U34,U35:U$203,0))+IF(OR(TYPE(U34)&gt;1,TYPE(MATCH(U34,AA$11:AA$203,0))&gt;1),0,MATCH(U34,AA$11:AA$203,0))</f>
        <v>0</v>
      </c>
      <c r="AQ34" s="72">
        <f ca="1">IF(OR(TYPE(AA34)&gt;1,TYPE(MATCH(AA34,I$11:I$203,0))&gt;1),0,MATCH(AA34,I$11:I$203,0))+IF(OR(TYPE(AA34)&gt;1,TYPE(MATCH(AA34,O$11:O$203,0))&gt;1),0,MATCH(AA34,O$11:O$203,0))+IF(OR(TYPE(AA34)&gt;1,TYPE(MATCH(AA34,U$11:U$203,0))&gt;1),0,MATCH(U34,U$11:U$203,0))+IF(OR(TYPE(AA34)&gt;1,TYPE(MATCH(AA34,AA35:AA$203,0))&gt;1),0,MATCH(AA34,AA35:AA$203,0))</f>
        <v>0</v>
      </c>
      <c r="AR34" s="72">
        <f t="shared" ca="1" si="14"/>
        <v>0</v>
      </c>
    </row>
    <row r="35" spans="1:44" ht="14.25">
      <c r="A35" s="103">
        <f t="shared" ca="1" si="0"/>
        <v>0</v>
      </c>
      <c r="B35" s="103">
        <f t="shared" ca="1" si="1"/>
        <v>0</v>
      </c>
      <c r="C35" s="156">
        <f t="shared" ca="1" si="2"/>
        <v>0</v>
      </c>
      <c r="D35" s="103">
        <f t="shared" ca="1" si="3"/>
        <v>99999</v>
      </c>
      <c r="E35" s="103">
        <f t="shared" ca="1" si="4"/>
        <v>9999</v>
      </c>
      <c r="F35" s="104" t="str">
        <f t="shared" ca="1" si="5"/>
        <v>00000000000000000000621635</v>
      </c>
      <c r="G35" s="145">
        <f t="shared" ca="1" si="6"/>
        <v>1</v>
      </c>
      <c r="H35" s="146">
        <f t="shared" si="7"/>
        <v>25</v>
      </c>
      <c r="I35" s="147" t="str">
        <f t="shared" ca="1" si="8"/>
        <v/>
      </c>
      <c r="J35" s="148" t="str">
        <f ca="1">IF(N(I35)&gt;0,VLOOKUP(I35,Hraci!$A$1:$I$1000,2,0),IF(TYPE(INDIRECT(ADDRESS(ROW() + $A$9-9 + (ROW()-11)*4,2,1,1,"Internet")))&gt;1,INDIRECT(ADDRESS(ROW() + $A$9-9 + (ROW()-11)*4,2,1,1,"Internet"))," "))</f>
        <v xml:space="preserve"> </v>
      </c>
      <c r="K35" s="149" t="str">
        <f ca="1">IF(N(I35)&gt;0,VLOOKUP(I35,Hraci!$A$1:$I$1000,3,0)," ")</f>
        <v xml:space="preserve"> </v>
      </c>
      <c r="L35" s="149" t="str">
        <f ca="1">IF(N(I35)&gt;0,VLOOKUP(I35,Hraci!$A$1:$I$1000,5,0),IF(TYPE(INDIRECT(ADDRESS(ROW() + $A$9-9 + (ROW()-11)*4,3,1,1,"Internet")))&gt;1,INDIRECT(ADDRESS(ROW() + $A$9-9 + (ROW()-11)*4,3,1,1,"Internet"))," "))</f>
        <v xml:space="preserve"> </v>
      </c>
      <c r="M35" s="149">
        <f ca="1">IF(N(I35)=0,9999,VLOOKUP(I35,Hraci!$A$1:$I$1000,8,0))</f>
        <v>9999</v>
      </c>
      <c r="N35" s="150">
        <f ca="1">IF(N(I35)=0,0,VLOOKUP(I35,Hraci!$A$1:$I$1000,9,0))</f>
        <v>0</v>
      </c>
      <c r="O35" s="147" t="str">
        <f t="shared" ca="1" si="9"/>
        <v/>
      </c>
      <c r="P35" s="148" t="str">
        <f ca="1">IF(N(O35)&gt;0,VLOOKUP(O35,Hraci!$A$1:$I$1000,2,0),IF(TYPE(INDIRECT(ADDRESS(ROW() + $A$9-8 + (ROW()-11)*4,2,1,1,"Internet")))&gt;1,INDIRECT(ADDRESS(ROW() + $A$9-8 + (ROW()-11)*4,2,1,1,"Internet"))," "))</f>
        <v xml:space="preserve"> </v>
      </c>
      <c r="Q35" s="149" t="str">
        <f ca="1">IF(N(O35)&gt;0,VLOOKUP(O35,Hraci!$A$1:$I$1000,3,0)," ")</f>
        <v xml:space="preserve"> </v>
      </c>
      <c r="R35" s="149" t="str">
        <f ca="1">IF(N(O35)&gt;0,VLOOKUP(O35,Hraci!$A$1:$I$1000,5,0),IF(TYPE(INDIRECT(ADDRESS(ROW() + $A$9-8 + (ROW()-11)*4,3,1,1,"Internet")))&gt;1,INDIRECT(ADDRESS(ROW() + $A$9-8 + (ROW()-11)*4,3,1,1,"Internet"))," "))</f>
        <v xml:space="preserve"> </v>
      </c>
      <c r="S35" s="149">
        <f ca="1">IF(N(O35)=0,9999,VLOOKUP(O35,Hraci!$A$1:$I$1000,8,0))</f>
        <v>9999</v>
      </c>
      <c r="T35" s="150">
        <f ca="1">IF(N(O35)=0,0,VLOOKUP(O35,Hraci!$A$1:$I$1000,9,0))</f>
        <v>0</v>
      </c>
      <c r="U35" s="147" t="str">
        <f t="shared" ca="1" si="10"/>
        <v/>
      </c>
      <c r="V35" s="148" t="str">
        <f ca="1">IF(N(U35)&gt;0,VLOOKUP(U35,Hraci!$A$1:$I$1000,2,0),IF(TYPE(INDIRECT(ADDRESS(ROW() + $A$9-7 + (ROW()-11)*4,2,1,1,"Internet")))&gt;1,INDIRECT(ADDRESS(ROW() + $A$9-7 + (ROW()-11)*4,2,1,1,"Internet"))," "))</f>
        <v xml:space="preserve"> </v>
      </c>
      <c r="W35" s="149" t="str">
        <f ca="1">IF(N(U35)&gt;0,VLOOKUP(U35,Hraci!$A$1:$I$1000,3,0)," ")</f>
        <v xml:space="preserve"> </v>
      </c>
      <c r="X35" s="149" t="str">
        <f ca="1">IF(N(U35)&gt;0,VLOOKUP(U35,Hraci!$A$1:$I$1000,5,0),IF(TYPE(INDIRECT(ADDRESS(ROW() + $A$9-7 + (ROW()-11)*4,3,1,1,"Internet")))&gt;1,INDIRECT(ADDRESS(ROW() + $A$9-7 + (ROW()-11)*4,3,1,1,"Internet"))," "))</f>
        <v xml:space="preserve"> </v>
      </c>
      <c r="Y35" s="149">
        <f ca="1">IF(N(U35)=0,9999,VLOOKUP(U35,Hraci!$A$1:$I$1000,8,0))</f>
        <v>9999</v>
      </c>
      <c r="Z35" s="150">
        <f ca="1">IF(N(U35)=0,0,VLOOKUP(U35,Hraci!$A$1:$I$1000,9,0))</f>
        <v>0</v>
      </c>
      <c r="AA35" s="147" t="str">
        <f t="shared" ca="1" si="11"/>
        <v/>
      </c>
      <c r="AB35" s="148" t="str">
        <f ca="1">IF(N(AA35)&gt;0,VLOOKUP(AA35,Hraci!$A$1:$I$1000,2,0)," ")</f>
        <v xml:space="preserve"> </v>
      </c>
      <c r="AC35" s="149" t="str">
        <f ca="1">IF(N(AA35)&gt;0,VLOOKUP(AA35,Hraci!$A$1:$I$1000,3,0)," ")</f>
        <v xml:space="preserve"> </v>
      </c>
      <c r="AD35" s="149" t="str">
        <f ca="1">IF(N(AA35)&gt;0,VLOOKUP(AA35,Hraci!$A$1:$I$1000,5,0)," ")</f>
        <v xml:space="preserve"> </v>
      </c>
      <c r="AE35" s="149">
        <f ca="1">IF(N(AA35)=0,9999,VLOOKUP(AA35,Hraci!$A$1:$I$1000,8,0))</f>
        <v>9999</v>
      </c>
      <c r="AF35" s="150">
        <f ca="1">IF(N(AA35)=0,0,VLOOKUP(AA35,Hraci!$A$1:$I$1000,9,0))</f>
        <v>0</v>
      </c>
      <c r="AG35" s="147"/>
      <c r="AH35" s="151">
        <f ca="1">IF(TYPE(VLOOKUP(H35,Nasazení!$A$3:$E$130,5,0))&lt;4,VLOOKUP(H35,Nasazení!$A$3:$E$130,5,0),0)</f>
        <v>0</v>
      </c>
      <c r="AI35" s="152" t="str">
        <f ca="1">IF(N($AH35)&gt;0,VLOOKUP($AH35,Body!$A$4:$F$259,5,0),"")</f>
        <v/>
      </c>
      <c r="AJ35" s="153" t="str">
        <f ca="1">IF(N($AH35)&gt;0,VLOOKUP($AH35,Body!$A$4:$F$259,6,0),"")</f>
        <v/>
      </c>
      <c r="AK35" s="152" t="str">
        <f ca="1">IF(N($AH35)&gt;0,VLOOKUP($AH35,Body!$A$4:$F$259,2,0),"")</f>
        <v/>
      </c>
      <c r="AL35" s="154" t="str">
        <f t="shared" ca="1" si="12"/>
        <v/>
      </c>
      <c r="AM35" s="155">
        <f t="shared" ca="1" si="13"/>
        <v>0</v>
      </c>
      <c r="AN35" s="72">
        <f ca="1">IF(OR(TYPE(I35)&gt;1,TYPE(MATCH(I35,I36:I$203,0))&gt;1),0,MATCH(I35,I36:I$203,0))+IF(OR(TYPE(I35)&gt;1,TYPE(MATCH(I35,O$11:O$203,0))&gt;1),0,MATCH(I35,O$11:O$203,0))+IF(OR(TYPE(I35)&gt;1,TYPE(MATCH(I35,U$11:U$203,0))&gt;1),0,MATCH(I35,U$11:U$203,0))+IF(OR(TYPE(I35)&gt;1,TYPE(MATCH(I35,AA$11:AA$203,0))&gt;1),0,MATCH(I35,AA$11:AA$203,0))</f>
        <v>0</v>
      </c>
      <c r="AO35" s="72">
        <f ca="1">IF(OR(TYPE(O35)&gt;1,TYPE(MATCH(O35,I$11:I$203,0))&gt;1),0,MATCH(O35,I$11:I$203,0))+IF(OR(TYPE(O35)&gt;1,TYPE(MATCH(O35,O36:O$203,0))&gt;1),0,MATCH(O35,O36:O$203,0))+IF(OR(TYPE(O35)&gt;1,TYPE(MATCH(O35,U$11:U$203,0))&gt;1),0,MATCH(O35,U$11:U$203,0))+IF(OR(TYPE(O35)&gt;1,TYPE(MATCH(O35,AA$11:AA$203,0))&gt;1),0,MATCH(O35,AA$11:AA$203,0))</f>
        <v>0</v>
      </c>
      <c r="AP35" s="72">
        <f ca="1">IF(OR(TYPE(U35)&gt;1,TYPE(MATCH(U35,I$11:I$203,0))&gt;1),0,MATCH(U35,I$11:I$203,0))+IF(OR(TYPE(U35)&gt;1,TYPE(MATCH(U35,O$11:O$203,0))&gt;1),0,MATCH(U35,O$11:O$203,0))+IF(OR(TYPE(U35)&gt;1,TYPE(MATCH(U35,U36:U$203,0))&gt;1),0,MATCH(U35,U36:U$203,0))+IF(OR(TYPE(U35)&gt;1,TYPE(MATCH(U35,AA$11:AA$203,0))&gt;1),0,MATCH(U35,AA$11:AA$203,0))</f>
        <v>0</v>
      </c>
      <c r="AQ35" s="72">
        <f ca="1">IF(OR(TYPE(AA35)&gt;1,TYPE(MATCH(AA35,I$11:I$203,0))&gt;1),0,MATCH(AA35,I$11:I$203,0))+IF(OR(TYPE(AA35)&gt;1,TYPE(MATCH(AA35,O$11:O$203,0))&gt;1),0,MATCH(AA35,O$11:O$203,0))+IF(OR(TYPE(AA35)&gt;1,TYPE(MATCH(AA35,U$11:U$203,0))&gt;1),0,MATCH(U35,U$11:U$203,0))+IF(OR(TYPE(AA35)&gt;1,TYPE(MATCH(AA35,AA36:AA$203,0))&gt;1),0,MATCH(AA35,AA36:AA$203,0))</f>
        <v>0</v>
      </c>
      <c r="AR35" s="72">
        <f t="shared" ca="1" si="14"/>
        <v>0</v>
      </c>
    </row>
    <row r="36" spans="1:44" ht="14.25">
      <c r="A36" s="103">
        <f t="shared" ca="1" si="0"/>
        <v>0</v>
      </c>
      <c r="B36" s="103">
        <f t="shared" ca="1" si="1"/>
        <v>0</v>
      </c>
      <c r="C36" s="156">
        <f t="shared" ca="1" si="2"/>
        <v>0</v>
      </c>
      <c r="D36" s="103">
        <f t="shared" ca="1" si="3"/>
        <v>99999</v>
      </c>
      <c r="E36" s="103">
        <f t="shared" ca="1" si="4"/>
        <v>9999</v>
      </c>
      <c r="F36" s="104" t="str">
        <f t="shared" ca="1" si="5"/>
        <v>00000000000000000000548046</v>
      </c>
      <c r="G36" s="145">
        <f t="shared" ca="1" si="6"/>
        <v>1</v>
      </c>
      <c r="H36" s="146">
        <f t="shared" si="7"/>
        <v>26</v>
      </c>
      <c r="I36" s="147" t="str">
        <f t="shared" ca="1" si="8"/>
        <v/>
      </c>
      <c r="J36" s="148" t="str">
        <f ca="1">IF(N(I36)&gt;0,VLOOKUP(I36,Hraci!$A$1:$I$1000,2,0),IF(TYPE(INDIRECT(ADDRESS(ROW() + $A$9-9 + (ROW()-11)*4,2,1,1,"Internet")))&gt;1,INDIRECT(ADDRESS(ROW() + $A$9-9 + (ROW()-11)*4,2,1,1,"Internet"))," "))</f>
        <v xml:space="preserve"> </v>
      </c>
      <c r="K36" s="149" t="str">
        <f ca="1">IF(N(I36)&gt;0,VLOOKUP(I36,Hraci!$A$1:$I$1000,3,0)," ")</f>
        <v xml:space="preserve"> </v>
      </c>
      <c r="L36" s="149" t="str">
        <f ca="1">IF(N(I36)&gt;0,VLOOKUP(I36,Hraci!$A$1:$I$1000,5,0),IF(TYPE(INDIRECT(ADDRESS(ROW() + $A$9-9 + (ROW()-11)*4,3,1,1,"Internet")))&gt;1,INDIRECT(ADDRESS(ROW() + $A$9-9 + (ROW()-11)*4,3,1,1,"Internet"))," "))</f>
        <v xml:space="preserve"> </v>
      </c>
      <c r="M36" s="149">
        <f ca="1">IF(N(I36)=0,9999,VLOOKUP(I36,Hraci!$A$1:$I$1000,8,0))</f>
        <v>9999</v>
      </c>
      <c r="N36" s="150">
        <f ca="1">IF(N(I36)=0,0,VLOOKUP(I36,Hraci!$A$1:$I$1000,9,0))</f>
        <v>0</v>
      </c>
      <c r="O36" s="147" t="str">
        <f t="shared" ca="1" si="9"/>
        <v/>
      </c>
      <c r="P36" s="148" t="str">
        <f ca="1">IF(N(O36)&gt;0,VLOOKUP(O36,Hraci!$A$1:$I$1000,2,0),IF(TYPE(INDIRECT(ADDRESS(ROW() + $A$9-8 + (ROW()-11)*4,2,1,1,"Internet")))&gt;1,INDIRECT(ADDRESS(ROW() + $A$9-8 + (ROW()-11)*4,2,1,1,"Internet"))," "))</f>
        <v xml:space="preserve"> </v>
      </c>
      <c r="Q36" s="149" t="str">
        <f ca="1">IF(N(O36)&gt;0,VLOOKUP(O36,Hraci!$A$1:$I$1000,3,0)," ")</f>
        <v xml:space="preserve"> </v>
      </c>
      <c r="R36" s="149" t="str">
        <f ca="1">IF(N(O36)&gt;0,VLOOKUP(O36,Hraci!$A$1:$I$1000,5,0),IF(TYPE(INDIRECT(ADDRESS(ROW() + $A$9-8 + (ROW()-11)*4,3,1,1,"Internet")))&gt;1,INDIRECT(ADDRESS(ROW() + $A$9-8 + (ROW()-11)*4,3,1,1,"Internet"))," "))</f>
        <v xml:space="preserve"> </v>
      </c>
      <c r="S36" s="149">
        <f ca="1">IF(N(O36)=0,9999,VLOOKUP(O36,Hraci!$A$1:$I$1000,8,0))</f>
        <v>9999</v>
      </c>
      <c r="T36" s="150">
        <f ca="1">IF(N(O36)=0,0,VLOOKUP(O36,Hraci!$A$1:$I$1000,9,0))</f>
        <v>0</v>
      </c>
      <c r="U36" s="147" t="str">
        <f t="shared" ca="1" si="10"/>
        <v/>
      </c>
      <c r="V36" s="148" t="str">
        <f ca="1">IF(N(U36)&gt;0,VLOOKUP(U36,Hraci!$A$1:$I$1000,2,0),IF(TYPE(INDIRECT(ADDRESS(ROW() + $A$9-7 + (ROW()-11)*4,2,1,1,"Internet")))&gt;1,INDIRECT(ADDRESS(ROW() + $A$9-7 + (ROW()-11)*4,2,1,1,"Internet"))," "))</f>
        <v xml:space="preserve"> </v>
      </c>
      <c r="W36" s="149" t="str">
        <f ca="1">IF(N(U36)&gt;0,VLOOKUP(U36,Hraci!$A$1:$I$1000,3,0)," ")</f>
        <v xml:space="preserve"> </v>
      </c>
      <c r="X36" s="149" t="str">
        <f ca="1">IF(N(U36)&gt;0,VLOOKUP(U36,Hraci!$A$1:$I$1000,5,0),IF(TYPE(INDIRECT(ADDRESS(ROW() + $A$9-7 + (ROW()-11)*4,3,1,1,"Internet")))&gt;1,INDIRECT(ADDRESS(ROW() + $A$9-7 + (ROW()-11)*4,3,1,1,"Internet"))," "))</f>
        <v xml:space="preserve"> </v>
      </c>
      <c r="Y36" s="149">
        <f ca="1">IF(N(U36)=0,9999,VLOOKUP(U36,Hraci!$A$1:$I$1000,8,0))</f>
        <v>9999</v>
      </c>
      <c r="Z36" s="150">
        <f ca="1">IF(N(U36)=0,0,VLOOKUP(U36,Hraci!$A$1:$I$1000,9,0))</f>
        <v>0</v>
      </c>
      <c r="AA36" s="147" t="str">
        <f t="shared" ca="1" si="11"/>
        <v/>
      </c>
      <c r="AB36" s="148" t="str">
        <f ca="1">IF(N(AA36)&gt;0,VLOOKUP(AA36,Hraci!$A$1:$I$1000,2,0)," ")</f>
        <v xml:space="preserve"> </v>
      </c>
      <c r="AC36" s="149" t="str">
        <f ca="1">IF(N(AA36)&gt;0,VLOOKUP(AA36,Hraci!$A$1:$I$1000,3,0)," ")</f>
        <v xml:space="preserve"> </v>
      </c>
      <c r="AD36" s="149" t="str">
        <f ca="1">IF(N(AA36)&gt;0,VLOOKUP(AA36,Hraci!$A$1:$I$1000,5,0)," ")</f>
        <v xml:space="preserve"> </v>
      </c>
      <c r="AE36" s="149">
        <f ca="1">IF(N(AA36)=0,9999,VLOOKUP(AA36,Hraci!$A$1:$I$1000,8,0))</f>
        <v>9999</v>
      </c>
      <c r="AF36" s="150">
        <f ca="1">IF(N(AA36)=0,0,VLOOKUP(AA36,Hraci!$A$1:$I$1000,9,0))</f>
        <v>0</v>
      </c>
      <c r="AG36" s="147"/>
      <c r="AH36" s="151">
        <f ca="1">IF(TYPE(VLOOKUP(H36,Nasazení!$A$3:$E$130,5,0))&lt;4,VLOOKUP(H36,Nasazení!$A$3:$E$130,5,0),0)</f>
        <v>0</v>
      </c>
      <c r="AI36" s="152" t="str">
        <f ca="1">IF(N($AH36)&gt;0,VLOOKUP($AH36,Body!$A$4:$F$259,5,0),"")</f>
        <v/>
      </c>
      <c r="AJ36" s="153" t="str">
        <f ca="1">IF(N($AH36)&gt;0,VLOOKUP($AH36,Body!$A$4:$F$259,6,0),"")</f>
        <v/>
      </c>
      <c r="AK36" s="152" t="str">
        <f ca="1">IF(N($AH36)&gt;0,VLOOKUP($AH36,Body!$A$4:$F$259,2,0),"")</f>
        <v/>
      </c>
      <c r="AL36" s="154" t="str">
        <f t="shared" ca="1" si="12"/>
        <v/>
      </c>
      <c r="AM36" s="155">
        <f t="shared" ca="1" si="13"/>
        <v>0</v>
      </c>
      <c r="AN36" s="72">
        <f ca="1">IF(OR(TYPE(I36)&gt;1,TYPE(MATCH(I36,I37:I$203,0))&gt;1),0,MATCH(I36,I37:I$203,0))+IF(OR(TYPE(I36)&gt;1,TYPE(MATCH(I36,O$11:O$203,0))&gt;1),0,MATCH(I36,O$11:O$203,0))+IF(OR(TYPE(I36)&gt;1,TYPE(MATCH(I36,U$11:U$203,0))&gt;1),0,MATCH(I36,U$11:U$203,0))+IF(OR(TYPE(I36)&gt;1,TYPE(MATCH(I36,AA$11:AA$203,0))&gt;1),0,MATCH(I36,AA$11:AA$203,0))</f>
        <v>0</v>
      </c>
      <c r="AO36" s="72">
        <f ca="1">IF(OR(TYPE(O36)&gt;1,TYPE(MATCH(O36,I$11:I$203,0))&gt;1),0,MATCH(O36,I$11:I$203,0))+IF(OR(TYPE(O36)&gt;1,TYPE(MATCH(O36,O37:O$203,0))&gt;1),0,MATCH(O36,O37:O$203,0))+IF(OR(TYPE(O36)&gt;1,TYPE(MATCH(O36,U$11:U$203,0))&gt;1),0,MATCH(O36,U$11:U$203,0))+IF(OR(TYPE(O36)&gt;1,TYPE(MATCH(O36,AA$11:AA$203,0))&gt;1),0,MATCH(O36,AA$11:AA$203,0))</f>
        <v>0</v>
      </c>
      <c r="AP36" s="72">
        <f ca="1">IF(OR(TYPE(U36)&gt;1,TYPE(MATCH(U36,I$11:I$203,0))&gt;1),0,MATCH(U36,I$11:I$203,0))+IF(OR(TYPE(U36)&gt;1,TYPE(MATCH(U36,O$11:O$203,0))&gt;1),0,MATCH(U36,O$11:O$203,0))+IF(OR(TYPE(U36)&gt;1,TYPE(MATCH(U36,U37:U$203,0))&gt;1),0,MATCH(U36,U37:U$203,0))+IF(OR(TYPE(U36)&gt;1,TYPE(MATCH(U36,AA$11:AA$203,0))&gt;1),0,MATCH(U36,AA$11:AA$203,0))</f>
        <v>0</v>
      </c>
      <c r="AQ36" s="72">
        <f ca="1">IF(OR(TYPE(AA36)&gt;1,TYPE(MATCH(AA36,I$11:I$203,0))&gt;1),0,MATCH(AA36,I$11:I$203,0))+IF(OR(TYPE(AA36)&gt;1,TYPE(MATCH(AA36,O$11:O$203,0))&gt;1),0,MATCH(AA36,O$11:O$203,0))+IF(OR(TYPE(AA36)&gt;1,TYPE(MATCH(AA36,U$11:U$203,0))&gt;1),0,MATCH(U36,U$11:U$203,0))+IF(OR(TYPE(AA36)&gt;1,TYPE(MATCH(AA36,AA37:AA$203,0))&gt;1),0,MATCH(AA36,AA37:AA$203,0))</f>
        <v>0</v>
      </c>
      <c r="AR36" s="72">
        <f t="shared" ca="1" si="14"/>
        <v>0</v>
      </c>
    </row>
    <row r="37" spans="1:44" ht="14.25">
      <c r="A37" s="103">
        <f t="shared" ca="1" si="0"/>
        <v>0</v>
      </c>
      <c r="B37" s="103">
        <f t="shared" ca="1" si="1"/>
        <v>0</v>
      </c>
      <c r="C37" s="156">
        <f t="shared" ca="1" si="2"/>
        <v>0</v>
      </c>
      <c r="D37" s="103">
        <f t="shared" ca="1" si="3"/>
        <v>99999</v>
      </c>
      <c r="E37" s="103">
        <f t="shared" ca="1" si="4"/>
        <v>9999</v>
      </c>
      <c r="F37" s="104" t="str">
        <f t="shared" ca="1" si="5"/>
        <v>00000000000000000000937736</v>
      </c>
      <c r="G37" s="145">
        <f t="shared" ca="1" si="6"/>
        <v>1</v>
      </c>
      <c r="H37" s="146">
        <f t="shared" si="7"/>
        <v>27</v>
      </c>
      <c r="I37" s="147" t="str">
        <f t="shared" ca="1" si="8"/>
        <v/>
      </c>
      <c r="J37" s="148" t="str">
        <f ca="1">IF(N(I37)&gt;0,VLOOKUP(I37,Hraci!$A$1:$I$1000,2,0),IF(TYPE(INDIRECT(ADDRESS(ROW() + $A$9-9 + (ROW()-11)*4,2,1,1,"Internet")))&gt;1,INDIRECT(ADDRESS(ROW() + $A$9-9 + (ROW()-11)*4,2,1,1,"Internet"))," "))</f>
        <v xml:space="preserve"> </v>
      </c>
      <c r="K37" s="149" t="str">
        <f ca="1">IF(N(I37)&gt;0,VLOOKUP(I37,Hraci!$A$1:$I$1000,3,0)," ")</f>
        <v xml:space="preserve"> </v>
      </c>
      <c r="L37" s="149" t="str">
        <f ca="1">IF(N(I37)&gt;0,VLOOKUP(I37,Hraci!$A$1:$I$1000,5,0),IF(TYPE(INDIRECT(ADDRESS(ROW() + $A$9-9 + (ROW()-11)*4,3,1,1,"Internet")))&gt;1,INDIRECT(ADDRESS(ROW() + $A$9-9 + (ROW()-11)*4,3,1,1,"Internet"))," "))</f>
        <v xml:space="preserve"> </v>
      </c>
      <c r="M37" s="149">
        <f ca="1">IF(N(I37)=0,9999,VLOOKUP(I37,Hraci!$A$1:$I$1000,8,0))</f>
        <v>9999</v>
      </c>
      <c r="N37" s="150">
        <f ca="1">IF(N(I37)=0,0,VLOOKUP(I37,Hraci!$A$1:$I$1000,9,0))</f>
        <v>0</v>
      </c>
      <c r="O37" s="147" t="str">
        <f t="shared" ca="1" si="9"/>
        <v/>
      </c>
      <c r="P37" s="148" t="str">
        <f ca="1">IF(N(O37)&gt;0,VLOOKUP(O37,Hraci!$A$1:$I$1000,2,0),IF(TYPE(INDIRECT(ADDRESS(ROW() + $A$9-8 + (ROW()-11)*4,2,1,1,"Internet")))&gt;1,INDIRECT(ADDRESS(ROW() + $A$9-8 + (ROW()-11)*4,2,1,1,"Internet"))," "))</f>
        <v xml:space="preserve"> </v>
      </c>
      <c r="Q37" s="149" t="str">
        <f ca="1">IF(N(O37)&gt;0,VLOOKUP(O37,Hraci!$A$1:$I$1000,3,0)," ")</f>
        <v xml:space="preserve"> </v>
      </c>
      <c r="R37" s="149" t="str">
        <f ca="1">IF(N(O37)&gt;0,VLOOKUP(O37,Hraci!$A$1:$I$1000,5,0),IF(TYPE(INDIRECT(ADDRESS(ROW() + $A$9-8 + (ROW()-11)*4,3,1,1,"Internet")))&gt;1,INDIRECT(ADDRESS(ROW() + $A$9-8 + (ROW()-11)*4,3,1,1,"Internet"))," "))</f>
        <v xml:space="preserve"> </v>
      </c>
      <c r="S37" s="149">
        <f ca="1">IF(N(O37)=0,9999,VLOOKUP(O37,Hraci!$A$1:$I$1000,8,0))</f>
        <v>9999</v>
      </c>
      <c r="T37" s="150">
        <f ca="1">IF(N(O37)=0,0,VLOOKUP(O37,Hraci!$A$1:$I$1000,9,0))</f>
        <v>0</v>
      </c>
      <c r="U37" s="147" t="str">
        <f t="shared" ca="1" si="10"/>
        <v/>
      </c>
      <c r="V37" s="148" t="str">
        <f ca="1">IF(N(U37)&gt;0,VLOOKUP(U37,Hraci!$A$1:$I$1000,2,0),IF(TYPE(INDIRECT(ADDRESS(ROW() + $A$9-7 + (ROW()-11)*4,2,1,1,"Internet")))&gt;1,INDIRECT(ADDRESS(ROW() + $A$9-7 + (ROW()-11)*4,2,1,1,"Internet"))," "))</f>
        <v xml:space="preserve"> </v>
      </c>
      <c r="W37" s="149" t="str">
        <f ca="1">IF(N(U37)&gt;0,VLOOKUP(U37,Hraci!$A$1:$I$1000,3,0)," ")</f>
        <v xml:space="preserve"> </v>
      </c>
      <c r="X37" s="149" t="str">
        <f ca="1">IF(N(U37)&gt;0,VLOOKUP(U37,Hraci!$A$1:$I$1000,5,0),IF(TYPE(INDIRECT(ADDRESS(ROW() + $A$9-7 + (ROW()-11)*4,3,1,1,"Internet")))&gt;1,INDIRECT(ADDRESS(ROW() + $A$9-7 + (ROW()-11)*4,3,1,1,"Internet"))," "))</f>
        <v xml:space="preserve"> </v>
      </c>
      <c r="Y37" s="149">
        <f ca="1">IF(N(U37)=0,9999,VLOOKUP(U37,Hraci!$A$1:$I$1000,8,0))</f>
        <v>9999</v>
      </c>
      <c r="Z37" s="150">
        <f ca="1">IF(N(U37)=0,0,VLOOKUP(U37,Hraci!$A$1:$I$1000,9,0))</f>
        <v>0</v>
      </c>
      <c r="AA37" s="147" t="str">
        <f t="shared" ca="1" si="11"/>
        <v/>
      </c>
      <c r="AB37" s="148" t="str">
        <f ca="1">IF(N(AA37)&gt;0,VLOOKUP(AA37,Hraci!$A$1:$I$1000,2,0)," ")</f>
        <v xml:space="preserve"> </v>
      </c>
      <c r="AC37" s="149" t="str">
        <f ca="1">IF(N(AA37)&gt;0,VLOOKUP(AA37,Hraci!$A$1:$I$1000,3,0)," ")</f>
        <v xml:space="preserve"> </v>
      </c>
      <c r="AD37" s="149" t="str">
        <f ca="1">IF(N(AA37)&gt;0,VLOOKUP(AA37,Hraci!$A$1:$I$1000,5,0)," ")</f>
        <v xml:space="preserve"> </v>
      </c>
      <c r="AE37" s="149">
        <f ca="1">IF(N(AA37)=0,9999,VLOOKUP(AA37,Hraci!$A$1:$I$1000,8,0))</f>
        <v>9999</v>
      </c>
      <c r="AF37" s="150">
        <f ca="1">IF(N(AA37)=0,0,VLOOKUP(AA37,Hraci!$A$1:$I$1000,9,0))</f>
        <v>0</v>
      </c>
      <c r="AG37" s="147"/>
      <c r="AH37" s="151">
        <f ca="1">IF(TYPE(VLOOKUP(H37,Nasazení!$A$3:$E$130,5,0))&lt;4,VLOOKUP(H37,Nasazení!$A$3:$E$130,5,0),0)</f>
        <v>0</v>
      </c>
      <c r="AI37" s="152" t="str">
        <f ca="1">IF(N($AH37)&gt;0,VLOOKUP($AH37,Body!$A$4:$F$259,5,0),"")</f>
        <v/>
      </c>
      <c r="AJ37" s="153" t="str">
        <f ca="1">IF(N($AH37)&gt;0,VLOOKUP($AH37,Body!$A$4:$F$259,6,0),"")</f>
        <v/>
      </c>
      <c r="AK37" s="152" t="str">
        <f ca="1">IF(N($AH37)&gt;0,VLOOKUP($AH37,Body!$A$4:$F$259,2,0),"")</f>
        <v/>
      </c>
      <c r="AL37" s="154" t="str">
        <f t="shared" ca="1" si="12"/>
        <v/>
      </c>
      <c r="AM37" s="155">
        <f t="shared" ca="1" si="13"/>
        <v>0</v>
      </c>
      <c r="AN37" s="72">
        <f ca="1">IF(OR(TYPE(I37)&gt;1,TYPE(MATCH(I37,I38:I$203,0))&gt;1),0,MATCH(I37,I38:I$203,0))+IF(OR(TYPE(I37)&gt;1,TYPE(MATCH(I37,O$11:O$203,0))&gt;1),0,MATCH(I37,O$11:O$203,0))+IF(OR(TYPE(I37)&gt;1,TYPE(MATCH(I37,U$11:U$203,0))&gt;1),0,MATCH(I37,U$11:U$203,0))+IF(OR(TYPE(I37)&gt;1,TYPE(MATCH(I37,AA$11:AA$203,0))&gt;1),0,MATCH(I37,AA$11:AA$203,0))</f>
        <v>0</v>
      </c>
      <c r="AO37" s="72">
        <f ca="1">IF(OR(TYPE(O37)&gt;1,TYPE(MATCH(O37,I$11:I$203,0))&gt;1),0,MATCH(O37,I$11:I$203,0))+IF(OR(TYPE(O37)&gt;1,TYPE(MATCH(O37,O38:O$203,0))&gt;1),0,MATCH(O37,O38:O$203,0))+IF(OR(TYPE(O37)&gt;1,TYPE(MATCH(O37,U$11:U$203,0))&gt;1),0,MATCH(O37,U$11:U$203,0))+IF(OR(TYPE(O37)&gt;1,TYPE(MATCH(O37,AA$11:AA$203,0))&gt;1),0,MATCH(O37,AA$11:AA$203,0))</f>
        <v>0</v>
      </c>
      <c r="AP37" s="72">
        <f ca="1">IF(OR(TYPE(U37)&gt;1,TYPE(MATCH(U37,I$11:I$203,0))&gt;1),0,MATCH(U37,I$11:I$203,0))+IF(OR(TYPE(U37)&gt;1,TYPE(MATCH(U37,O$11:O$203,0))&gt;1),0,MATCH(U37,O$11:O$203,0))+IF(OR(TYPE(U37)&gt;1,TYPE(MATCH(U37,U38:U$203,0))&gt;1),0,MATCH(U37,U38:U$203,0))+IF(OR(TYPE(U37)&gt;1,TYPE(MATCH(U37,AA$11:AA$203,0))&gt;1),0,MATCH(U37,AA$11:AA$203,0))</f>
        <v>0</v>
      </c>
      <c r="AQ37" s="72">
        <f ca="1">IF(OR(TYPE(AA37)&gt;1,TYPE(MATCH(AA37,I$11:I$203,0))&gt;1),0,MATCH(AA37,I$11:I$203,0))+IF(OR(TYPE(AA37)&gt;1,TYPE(MATCH(AA37,O$11:O$203,0))&gt;1),0,MATCH(AA37,O$11:O$203,0))+IF(OR(TYPE(AA37)&gt;1,TYPE(MATCH(AA37,U$11:U$203,0))&gt;1),0,MATCH(U37,U$11:U$203,0))+IF(OR(TYPE(AA37)&gt;1,TYPE(MATCH(AA37,AA38:AA$203,0))&gt;1),0,MATCH(AA37,AA38:AA$203,0))</f>
        <v>0</v>
      </c>
      <c r="AR37" s="72">
        <f t="shared" ca="1" si="14"/>
        <v>0</v>
      </c>
    </row>
    <row r="38" spans="1:44" ht="14.25">
      <c r="A38" s="103">
        <f t="shared" ca="1" si="0"/>
        <v>0</v>
      </c>
      <c r="B38" s="103">
        <f t="shared" ca="1" si="1"/>
        <v>0</v>
      </c>
      <c r="C38" s="156">
        <f t="shared" ca="1" si="2"/>
        <v>0</v>
      </c>
      <c r="D38" s="149">
        <f t="shared" ca="1" si="3"/>
        <v>99999</v>
      </c>
      <c r="E38" s="103">
        <f t="shared" ca="1" si="4"/>
        <v>9999</v>
      </c>
      <c r="F38" s="104" t="str">
        <f t="shared" ca="1" si="5"/>
        <v>00000000000000000000232767</v>
      </c>
      <c r="G38" s="145">
        <f t="shared" ca="1" si="6"/>
        <v>1</v>
      </c>
      <c r="H38" s="146">
        <f t="shared" si="7"/>
        <v>28</v>
      </c>
      <c r="I38" s="147" t="str">
        <f t="shared" ca="1" si="8"/>
        <v/>
      </c>
      <c r="J38" s="148" t="str">
        <f ca="1">IF(N(I38)&gt;0,VLOOKUP(I38,Hraci!$A$1:$I$1000,2,0),IF(TYPE(INDIRECT(ADDRESS(ROW() + $A$9-9 + (ROW()-11)*4,2,1,1,"Internet")))&gt;1,INDIRECT(ADDRESS(ROW() + $A$9-9 + (ROW()-11)*4,2,1,1,"Internet"))," "))</f>
        <v xml:space="preserve"> </v>
      </c>
      <c r="K38" s="149" t="str">
        <f ca="1">IF(N(I38)&gt;0,VLOOKUP(I38,Hraci!$A$1:$I$1000,3,0)," ")</f>
        <v xml:space="preserve"> </v>
      </c>
      <c r="L38" s="149" t="str">
        <f ca="1">IF(N(I38)&gt;0,VLOOKUP(I38,Hraci!$A$1:$I$1000,5,0),IF(TYPE(INDIRECT(ADDRESS(ROW() + $A$9-9 + (ROW()-11)*4,3,1,1,"Internet")))&gt;1,INDIRECT(ADDRESS(ROW() + $A$9-9 + (ROW()-11)*4,3,1,1,"Internet"))," "))</f>
        <v xml:space="preserve"> </v>
      </c>
      <c r="M38" s="149">
        <f ca="1">IF(N(I38)=0,9999,VLOOKUP(I38,Hraci!$A$1:$I$1000,8,0))</f>
        <v>9999</v>
      </c>
      <c r="N38" s="150">
        <f ca="1">IF(N(I38)=0,0,VLOOKUP(I38,Hraci!$A$1:$I$1000,9,0))</f>
        <v>0</v>
      </c>
      <c r="O38" s="147" t="str">
        <f t="shared" ca="1" si="9"/>
        <v/>
      </c>
      <c r="P38" s="148" t="str">
        <f ca="1">IF(N(O38)&gt;0,VLOOKUP(O38,Hraci!$A$1:$I$1000,2,0),IF(TYPE(INDIRECT(ADDRESS(ROW() + $A$9-8 + (ROW()-11)*4,2,1,1,"Internet")))&gt;1,INDIRECT(ADDRESS(ROW() + $A$9-8 + (ROW()-11)*4,2,1,1,"Internet"))," "))</f>
        <v xml:space="preserve"> </v>
      </c>
      <c r="Q38" s="149" t="str">
        <f ca="1">IF(N(O38)&gt;0,VLOOKUP(O38,Hraci!$A$1:$I$1000,3,0)," ")</f>
        <v xml:space="preserve"> </v>
      </c>
      <c r="R38" s="149" t="str">
        <f ca="1">IF(N(O38)&gt;0,VLOOKUP(O38,Hraci!$A$1:$I$1000,5,0),IF(TYPE(INDIRECT(ADDRESS(ROW() + $A$9-8 + (ROW()-11)*4,3,1,1,"Internet")))&gt;1,INDIRECT(ADDRESS(ROW() + $A$9-8 + (ROW()-11)*4,3,1,1,"Internet"))," "))</f>
        <v xml:space="preserve"> </v>
      </c>
      <c r="S38" s="149">
        <f ca="1">IF(N(O38)=0,9999,VLOOKUP(O38,Hraci!$A$1:$I$1000,8,0))</f>
        <v>9999</v>
      </c>
      <c r="T38" s="150">
        <f ca="1">IF(N(O38)=0,0,VLOOKUP(O38,Hraci!$A$1:$I$1000,9,0))</f>
        <v>0</v>
      </c>
      <c r="U38" s="147" t="str">
        <f t="shared" ca="1" si="10"/>
        <v/>
      </c>
      <c r="V38" s="148" t="str">
        <f ca="1">IF(N(U38)&gt;0,VLOOKUP(U38,Hraci!$A$1:$I$1000,2,0),IF(TYPE(INDIRECT(ADDRESS(ROW() + $A$9-7 + (ROW()-11)*4,2,1,1,"Internet")))&gt;1,INDIRECT(ADDRESS(ROW() + $A$9-7 + (ROW()-11)*4,2,1,1,"Internet"))," "))</f>
        <v xml:space="preserve"> </v>
      </c>
      <c r="W38" s="149" t="str">
        <f ca="1">IF(N(U38)&gt;0,VLOOKUP(U38,Hraci!$A$1:$I$1000,3,0)," ")</f>
        <v xml:space="preserve"> </v>
      </c>
      <c r="X38" s="149" t="str">
        <f ca="1">IF(N(U38)&gt;0,VLOOKUP(U38,Hraci!$A$1:$I$1000,5,0),IF(TYPE(INDIRECT(ADDRESS(ROW() + $A$9-7 + (ROW()-11)*4,3,1,1,"Internet")))&gt;1,INDIRECT(ADDRESS(ROW() + $A$9-7 + (ROW()-11)*4,3,1,1,"Internet"))," "))</f>
        <v xml:space="preserve"> </v>
      </c>
      <c r="Y38" s="149">
        <f ca="1">IF(N(U38)=0,9999,VLOOKUP(U38,Hraci!$A$1:$I$1000,8,0))</f>
        <v>9999</v>
      </c>
      <c r="Z38" s="150">
        <f ca="1">IF(N(U38)=0,0,VLOOKUP(U38,Hraci!$A$1:$I$1000,9,0))</f>
        <v>0</v>
      </c>
      <c r="AA38" s="147" t="str">
        <f t="shared" ca="1" si="11"/>
        <v/>
      </c>
      <c r="AB38" s="148" t="str">
        <f ca="1">IF(N(AA38)&gt;0,VLOOKUP(AA38,Hraci!$A$1:$I$1000,2,0)," ")</f>
        <v xml:space="preserve"> </v>
      </c>
      <c r="AC38" s="149" t="str">
        <f ca="1">IF(N(AA38)&gt;0,VLOOKUP(AA38,Hraci!$A$1:$I$1000,3,0)," ")</f>
        <v xml:space="preserve"> </v>
      </c>
      <c r="AD38" s="149" t="str">
        <f ca="1">IF(N(AA38)&gt;0,VLOOKUP(AA38,Hraci!$A$1:$I$1000,5,0)," ")</f>
        <v xml:space="preserve"> </v>
      </c>
      <c r="AE38" s="149">
        <f ca="1">IF(N(AA38)=0,9999,VLOOKUP(AA38,Hraci!$A$1:$I$1000,8,0))</f>
        <v>9999</v>
      </c>
      <c r="AF38" s="150">
        <f ca="1">IF(N(AA38)=0,0,VLOOKUP(AA38,Hraci!$A$1:$I$1000,9,0))</f>
        <v>0</v>
      </c>
      <c r="AG38" s="147"/>
      <c r="AH38" s="151">
        <f ca="1">IF(TYPE(VLOOKUP(H38,Nasazení!$A$3:$E$130,5,0))&lt;4,VLOOKUP(H38,Nasazení!$A$3:$E$130,5,0),0)</f>
        <v>0</v>
      </c>
      <c r="AI38" s="152" t="str">
        <f ca="1">IF(N($AH38)&gt;0,VLOOKUP($AH38,Body!$A$4:$F$259,5,0),"")</f>
        <v/>
      </c>
      <c r="AJ38" s="153" t="str">
        <f ca="1">IF(N($AH38)&gt;0,VLOOKUP($AH38,Body!$A$4:$F$259,6,0),"")</f>
        <v/>
      </c>
      <c r="AK38" s="152" t="str">
        <f ca="1">IF(N($AH38)&gt;0,VLOOKUP($AH38,Body!$A$4:$F$259,2,0),"")</f>
        <v/>
      </c>
      <c r="AL38" s="154" t="str">
        <f t="shared" ca="1" si="12"/>
        <v/>
      </c>
      <c r="AM38" s="155">
        <f t="shared" ca="1" si="13"/>
        <v>0</v>
      </c>
      <c r="AN38" s="72">
        <f ca="1">IF(OR(TYPE(I38)&gt;1,TYPE(MATCH(I38,I39:I$203,0))&gt;1),0,MATCH(I38,I39:I$203,0))+IF(OR(TYPE(I38)&gt;1,TYPE(MATCH(I38,O$11:O$203,0))&gt;1),0,MATCH(I38,O$11:O$203,0))+IF(OR(TYPE(I38)&gt;1,TYPE(MATCH(I38,U$11:U$203,0))&gt;1),0,MATCH(I38,U$11:U$203,0))+IF(OR(TYPE(I38)&gt;1,TYPE(MATCH(I38,AA$11:AA$203,0))&gt;1),0,MATCH(I38,AA$11:AA$203,0))</f>
        <v>0</v>
      </c>
      <c r="AO38" s="72">
        <f ca="1">IF(OR(TYPE(O38)&gt;1,TYPE(MATCH(O38,I$11:I$203,0))&gt;1),0,MATCH(O38,I$11:I$203,0))+IF(OR(TYPE(O38)&gt;1,TYPE(MATCH(O38,O39:O$203,0))&gt;1),0,MATCH(O38,O39:O$203,0))+IF(OR(TYPE(O38)&gt;1,TYPE(MATCH(O38,U$11:U$203,0))&gt;1),0,MATCH(O38,U$11:U$203,0))+IF(OR(TYPE(O38)&gt;1,TYPE(MATCH(O38,AA$11:AA$203,0))&gt;1),0,MATCH(O38,AA$11:AA$203,0))</f>
        <v>0</v>
      </c>
      <c r="AP38" s="72">
        <f ca="1">IF(OR(TYPE(U38)&gt;1,TYPE(MATCH(U38,I$11:I$203,0))&gt;1),0,MATCH(U38,I$11:I$203,0))+IF(OR(TYPE(U38)&gt;1,TYPE(MATCH(U38,O$11:O$203,0))&gt;1),0,MATCH(U38,O$11:O$203,0))+IF(OR(TYPE(U38)&gt;1,TYPE(MATCH(U38,U39:U$203,0))&gt;1),0,MATCH(U38,U39:U$203,0))+IF(OR(TYPE(U38)&gt;1,TYPE(MATCH(U38,AA$11:AA$203,0))&gt;1),0,MATCH(U38,AA$11:AA$203,0))</f>
        <v>0</v>
      </c>
      <c r="AQ38" s="72">
        <f ca="1">IF(OR(TYPE(AA38)&gt;1,TYPE(MATCH(AA38,I$11:I$203,0))&gt;1),0,MATCH(AA38,I$11:I$203,0))+IF(OR(TYPE(AA38)&gt;1,TYPE(MATCH(AA38,O$11:O$203,0))&gt;1),0,MATCH(AA38,O$11:O$203,0))+IF(OR(TYPE(AA38)&gt;1,TYPE(MATCH(AA38,U$11:U$203,0))&gt;1),0,MATCH(U38,U$11:U$203,0))+IF(OR(TYPE(AA38)&gt;1,TYPE(MATCH(AA38,AA39:AA$203,0))&gt;1),0,MATCH(AA38,AA39:AA$203,0))</f>
        <v>0</v>
      </c>
      <c r="AR38" s="72">
        <f t="shared" ca="1" si="14"/>
        <v>0</v>
      </c>
    </row>
    <row r="39" spans="1:44" ht="14.25">
      <c r="A39" s="103">
        <f t="shared" ca="1" si="0"/>
        <v>0</v>
      </c>
      <c r="B39" s="103">
        <f t="shared" ca="1" si="1"/>
        <v>0</v>
      </c>
      <c r="C39" s="156">
        <f t="shared" ca="1" si="2"/>
        <v>0</v>
      </c>
      <c r="D39" s="103">
        <f t="shared" ca="1" si="3"/>
        <v>99999</v>
      </c>
      <c r="E39" s="103">
        <f t="shared" ca="1" si="4"/>
        <v>9999</v>
      </c>
      <c r="F39" s="104" t="str">
        <f t="shared" ca="1" si="5"/>
        <v>00000000000000000000418851</v>
      </c>
      <c r="G39" s="145">
        <f t="shared" ca="1" si="6"/>
        <v>1</v>
      </c>
      <c r="H39" s="146">
        <f t="shared" si="7"/>
        <v>29</v>
      </c>
      <c r="I39" s="147" t="str">
        <f t="shared" ca="1" si="8"/>
        <v/>
      </c>
      <c r="J39" s="148" t="str">
        <f ca="1">IF(N(I39)&gt;0,VLOOKUP(I39,Hraci!$A$1:$I$1000,2,0),IF(TYPE(INDIRECT(ADDRESS(ROW() + $A$9-9 + (ROW()-11)*4,2,1,1,"Internet")))&gt;1,INDIRECT(ADDRESS(ROW() + $A$9-9 + (ROW()-11)*4,2,1,1,"Internet"))," "))</f>
        <v xml:space="preserve"> </v>
      </c>
      <c r="K39" s="149" t="str">
        <f ca="1">IF(N(I39)&gt;0,VLOOKUP(I39,Hraci!$A$1:$I$1000,3,0)," ")</f>
        <v xml:space="preserve"> </v>
      </c>
      <c r="L39" s="149" t="str">
        <f ca="1">IF(N(I39)&gt;0,VLOOKUP(I39,Hraci!$A$1:$I$1000,5,0),IF(TYPE(INDIRECT(ADDRESS(ROW() + $A$9-9 + (ROW()-11)*4,3,1,1,"Internet")))&gt;1,INDIRECT(ADDRESS(ROW() + $A$9-9 + (ROW()-11)*4,3,1,1,"Internet"))," "))</f>
        <v xml:space="preserve"> </v>
      </c>
      <c r="M39" s="149">
        <f ca="1">IF(N(I39)=0,9999,VLOOKUP(I39,Hraci!$A$1:$I$1000,8,0))</f>
        <v>9999</v>
      </c>
      <c r="N39" s="150">
        <f ca="1">IF(N(I39)=0,0,VLOOKUP(I39,Hraci!$A$1:$I$1000,9,0))</f>
        <v>0</v>
      </c>
      <c r="O39" s="147" t="str">
        <f t="shared" ca="1" si="9"/>
        <v/>
      </c>
      <c r="P39" s="148" t="str">
        <f ca="1">IF(N(O39)&gt;0,VLOOKUP(O39,Hraci!$A$1:$I$1000,2,0),IF(TYPE(INDIRECT(ADDRESS(ROW() + $A$9-8 + (ROW()-11)*4,2,1,1,"Internet")))&gt;1,INDIRECT(ADDRESS(ROW() + $A$9-8 + (ROW()-11)*4,2,1,1,"Internet"))," "))</f>
        <v xml:space="preserve"> </v>
      </c>
      <c r="Q39" s="149" t="str">
        <f ca="1">IF(N(O39)&gt;0,VLOOKUP(O39,Hraci!$A$1:$I$1000,3,0)," ")</f>
        <v xml:space="preserve"> </v>
      </c>
      <c r="R39" s="149" t="str">
        <f ca="1">IF(N(O39)&gt;0,VLOOKUP(O39,Hraci!$A$1:$I$1000,5,0),IF(TYPE(INDIRECT(ADDRESS(ROW() + $A$9-8 + (ROW()-11)*4,3,1,1,"Internet")))&gt;1,INDIRECT(ADDRESS(ROW() + $A$9-8 + (ROW()-11)*4,3,1,1,"Internet"))," "))</f>
        <v xml:space="preserve"> </v>
      </c>
      <c r="S39" s="149">
        <f ca="1">IF(N(O39)=0,9999,VLOOKUP(O39,Hraci!$A$1:$I$1000,8,0))</f>
        <v>9999</v>
      </c>
      <c r="T39" s="150">
        <f ca="1">IF(N(O39)=0,0,VLOOKUP(O39,Hraci!$A$1:$I$1000,9,0))</f>
        <v>0</v>
      </c>
      <c r="U39" s="147" t="str">
        <f t="shared" ca="1" si="10"/>
        <v/>
      </c>
      <c r="V39" s="148" t="str">
        <f ca="1">IF(N(U39)&gt;0,VLOOKUP(U39,Hraci!$A$1:$I$1000,2,0),IF(TYPE(INDIRECT(ADDRESS(ROW() + $A$9-7 + (ROW()-11)*4,2,1,1,"Internet")))&gt;1,INDIRECT(ADDRESS(ROW() + $A$9-7 + (ROW()-11)*4,2,1,1,"Internet"))," "))</f>
        <v xml:space="preserve"> </v>
      </c>
      <c r="W39" s="149" t="str">
        <f ca="1">IF(N(U39)&gt;0,VLOOKUP(U39,Hraci!$A$1:$I$1000,3,0)," ")</f>
        <v xml:space="preserve"> </v>
      </c>
      <c r="X39" s="149" t="str">
        <f ca="1">IF(N(U39)&gt;0,VLOOKUP(U39,Hraci!$A$1:$I$1000,5,0),IF(TYPE(INDIRECT(ADDRESS(ROW() + $A$9-7 + (ROW()-11)*4,3,1,1,"Internet")))&gt;1,INDIRECT(ADDRESS(ROW() + $A$9-7 + (ROW()-11)*4,3,1,1,"Internet"))," "))</f>
        <v xml:space="preserve"> </v>
      </c>
      <c r="Y39" s="149">
        <f ca="1">IF(N(U39)=0,9999,VLOOKUP(U39,Hraci!$A$1:$I$1000,8,0))</f>
        <v>9999</v>
      </c>
      <c r="Z39" s="150">
        <f ca="1">IF(N(U39)=0,0,VLOOKUP(U39,Hraci!$A$1:$I$1000,9,0))</f>
        <v>0</v>
      </c>
      <c r="AA39" s="147" t="str">
        <f t="shared" ca="1" si="11"/>
        <v/>
      </c>
      <c r="AB39" s="148" t="str">
        <f ca="1">IF(N(AA39)&gt;0,VLOOKUP(AA39,Hraci!$A$1:$I$1000,2,0)," ")</f>
        <v xml:space="preserve"> </v>
      </c>
      <c r="AC39" s="149" t="str">
        <f ca="1">IF(N(AA39)&gt;0,VLOOKUP(AA39,Hraci!$A$1:$I$1000,3,0)," ")</f>
        <v xml:space="preserve"> </v>
      </c>
      <c r="AD39" s="149" t="str">
        <f ca="1">IF(N(AA39)&gt;0,VLOOKUP(AA39,Hraci!$A$1:$I$1000,5,0)," ")</f>
        <v xml:space="preserve"> </v>
      </c>
      <c r="AE39" s="149">
        <f ca="1">IF(N(AA39)=0,9999,VLOOKUP(AA39,Hraci!$A$1:$I$1000,8,0))</f>
        <v>9999</v>
      </c>
      <c r="AF39" s="150">
        <f ca="1">IF(N(AA39)=0,0,VLOOKUP(AA39,Hraci!$A$1:$I$1000,9,0))</f>
        <v>0</v>
      </c>
      <c r="AG39" s="147"/>
      <c r="AH39" s="151">
        <f ca="1">IF(TYPE(VLOOKUP(H39,Nasazení!$A$3:$E$130,5,0))&lt;4,VLOOKUP(H39,Nasazení!$A$3:$E$130,5,0),0)</f>
        <v>0</v>
      </c>
      <c r="AI39" s="152" t="str">
        <f ca="1">IF(N($AH39)&gt;0,VLOOKUP($AH39,Body!$A$4:$F$259,5,0),"")</f>
        <v/>
      </c>
      <c r="AJ39" s="153" t="str">
        <f ca="1">IF(N($AH39)&gt;0,VLOOKUP($AH39,Body!$A$4:$F$259,6,0),"")</f>
        <v/>
      </c>
      <c r="AK39" s="152" t="str">
        <f ca="1">IF(N($AH39)&gt;0,VLOOKUP($AH39,Body!$A$4:$F$259,2,0),"")</f>
        <v/>
      </c>
      <c r="AL39" s="154" t="str">
        <f t="shared" ca="1" si="12"/>
        <v/>
      </c>
      <c r="AM39" s="155">
        <f t="shared" ca="1" si="13"/>
        <v>0</v>
      </c>
      <c r="AN39" s="72">
        <f ca="1">IF(OR(TYPE(I39)&gt;1,TYPE(MATCH(I39,I40:I$203,0))&gt;1),0,MATCH(I39,I40:I$203,0))+IF(OR(TYPE(I39)&gt;1,TYPE(MATCH(I39,O$11:O$203,0))&gt;1),0,MATCH(I39,O$11:O$203,0))+IF(OR(TYPE(I39)&gt;1,TYPE(MATCH(I39,U$11:U$203,0))&gt;1),0,MATCH(I39,U$11:U$203,0))+IF(OR(TYPE(I39)&gt;1,TYPE(MATCH(I39,AA$11:AA$203,0))&gt;1),0,MATCH(I39,AA$11:AA$203,0))</f>
        <v>0</v>
      </c>
      <c r="AO39" s="72">
        <f ca="1">IF(OR(TYPE(O39)&gt;1,TYPE(MATCH(O39,I$11:I$203,0))&gt;1),0,MATCH(O39,I$11:I$203,0))+IF(OR(TYPE(O39)&gt;1,TYPE(MATCH(O39,O40:O$203,0))&gt;1),0,MATCH(O39,O40:O$203,0))+IF(OR(TYPE(O39)&gt;1,TYPE(MATCH(O39,U$11:U$203,0))&gt;1),0,MATCH(O39,U$11:U$203,0))+IF(OR(TYPE(O39)&gt;1,TYPE(MATCH(O39,AA$11:AA$203,0))&gt;1),0,MATCH(O39,AA$11:AA$203,0))</f>
        <v>0</v>
      </c>
      <c r="AP39" s="72">
        <f ca="1">IF(OR(TYPE(U39)&gt;1,TYPE(MATCH(U39,I$11:I$203,0))&gt;1),0,MATCH(U39,I$11:I$203,0))+IF(OR(TYPE(U39)&gt;1,TYPE(MATCH(U39,O$11:O$203,0))&gt;1),0,MATCH(U39,O$11:O$203,0))+IF(OR(TYPE(U39)&gt;1,TYPE(MATCH(U39,U40:U$203,0))&gt;1),0,MATCH(U39,U40:U$203,0))+IF(OR(TYPE(U39)&gt;1,TYPE(MATCH(U39,AA$11:AA$203,0))&gt;1),0,MATCH(U39,AA$11:AA$203,0))</f>
        <v>0</v>
      </c>
      <c r="AQ39" s="72">
        <f ca="1">IF(OR(TYPE(AA39)&gt;1,TYPE(MATCH(AA39,I$11:I$203,0))&gt;1),0,MATCH(AA39,I$11:I$203,0))+IF(OR(TYPE(AA39)&gt;1,TYPE(MATCH(AA39,O$11:O$203,0))&gt;1),0,MATCH(AA39,O$11:O$203,0))+IF(OR(TYPE(AA39)&gt;1,TYPE(MATCH(AA39,U$11:U$203,0))&gt;1),0,MATCH(U39,U$11:U$203,0))+IF(OR(TYPE(AA39)&gt;1,TYPE(MATCH(AA39,AA40:AA$203,0))&gt;1),0,MATCH(AA39,AA40:AA$203,0))</f>
        <v>0</v>
      </c>
      <c r="AR39" s="72">
        <f t="shared" ca="1" si="14"/>
        <v>0</v>
      </c>
    </row>
    <row r="40" spans="1:44" ht="14.25">
      <c r="A40" s="103">
        <f t="shared" ca="1" si="0"/>
        <v>0</v>
      </c>
      <c r="B40" s="103">
        <f t="shared" ca="1" si="1"/>
        <v>0</v>
      </c>
      <c r="C40" s="156">
        <f t="shared" ca="1" si="2"/>
        <v>0</v>
      </c>
      <c r="D40" s="103">
        <f t="shared" ca="1" si="3"/>
        <v>99999</v>
      </c>
      <c r="E40" s="103">
        <f t="shared" ca="1" si="4"/>
        <v>9999</v>
      </c>
      <c r="F40" s="104" t="str">
        <f t="shared" ca="1" si="5"/>
        <v>00000000000000000000469733</v>
      </c>
      <c r="G40" s="145">
        <f t="shared" ca="1" si="6"/>
        <v>1</v>
      </c>
      <c r="H40" s="146">
        <f t="shared" si="7"/>
        <v>30</v>
      </c>
      <c r="I40" s="147" t="str">
        <f t="shared" ca="1" si="8"/>
        <v/>
      </c>
      <c r="J40" s="148" t="str">
        <f ca="1">IF(N(I40)&gt;0,VLOOKUP(I40,Hraci!$A$1:$I$1000,2,0),IF(TYPE(INDIRECT(ADDRESS(ROW() + $A$9-9 + (ROW()-11)*4,2,1,1,"Internet")))&gt;1,INDIRECT(ADDRESS(ROW() + $A$9-9 + (ROW()-11)*4,2,1,1,"Internet"))," "))</f>
        <v xml:space="preserve"> </v>
      </c>
      <c r="K40" s="149" t="str">
        <f ca="1">IF(N(I40)&gt;0,VLOOKUP(I40,Hraci!$A$1:$I$1000,3,0)," ")</f>
        <v xml:space="preserve"> </v>
      </c>
      <c r="L40" s="149" t="str">
        <f ca="1">IF(N(I40)&gt;0,VLOOKUP(I40,Hraci!$A$1:$I$1000,5,0),IF(TYPE(INDIRECT(ADDRESS(ROW() + $A$9-9 + (ROW()-11)*4,3,1,1,"Internet")))&gt;1,INDIRECT(ADDRESS(ROW() + $A$9-9 + (ROW()-11)*4,3,1,1,"Internet"))," "))</f>
        <v xml:space="preserve"> </v>
      </c>
      <c r="M40" s="149">
        <f ca="1">IF(N(I40)=0,9999,VLOOKUP(I40,Hraci!$A$1:$I$1000,8,0))</f>
        <v>9999</v>
      </c>
      <c r="N40" s="150">
        <f ca="1">IF(N(I40)=0,0,VLOOKUP(I40,Hraci!$A$1:$I$1000,9,0))</f>
        <v>0</v>
      </c>
      <c r="O40" s="147" t="str">
        <f t="shared" ca="1" si="9"/>
        <v/>
      </c>
      <c r="P40" s="148" t="str">
        <f ca="1">IF(N(O40)&gt;0,VLOOKUP(O40,Hraci!$A$1:$I$1000,2,0),IF(TYPE(INDIRECT(ADDRESS(ROW() + $A$9-8 + (ROW()-11)*4,2,1,1,"Internet")))&gt;1,INDIRECT(ADDRESS(ROW() + $A$9-8 + (ROW()-11)*4,2,1,1,"Internet"))," "))</f>
        <v xml:space="preserve"> </v>
      </c>
      <c r="Q40" s="149" t="str">
        <f ca="1">IF(N(O40)&gt;0,VLOOKUP(O40,Hraci!$A$1:$I$1000,3,0)," ")</f>
        <v xml:space="preserve"> </v>
      </c>
      <c r="R40" s="149" t="str">
        <f ca="1">IF(N(O40)&gt;0,VLOOKUP(O40,Hraci!$A$1:$I$1000,5,0),IF(TYPE(INDIRECT(ADDRESS(ROW() + $A$9-8 + (ROW()-11)*4,3,1,1,"Internet")))&gt;1,INDIRECT(ADDRESS(ROW() + $A$9-8 + (ROW()-11)*4,3,1,1,"Internet"))," "))</f>
        <v xml:space="preserve"> </v>
      </c>
      <c r="S40" s="149">
        <f ca="1">IF(N(O40)=0,9999,VLOOKUP(O40,Hraci!$A$1:$I$1000,8,0))</f>
        <v>9999</v>
      </c>
      <c r="T40" s="150">
        <f ca="1">IF(N(O40)=0,0,VLOOKUP(O40,Hraci!$A$1:$I$1000,9,0))</f>
        <v>0</v>
      </c>
      <c r="U40" s="147" t="str">
        <f t="shared" ca="1" si="10"/>
        <v/>
      </c>
      <c r="V40" s="148" t="str">
        <f ca="1">IF(N(U40)&gt;0,VLOOKUP(U40,Hraci!$A$1:$I$1000,2,0),IF(TYPE(INDIRECT(ADDRESS(ROW() + $A$9-7 + (ROW()-11)*4,2,1,1,"Internet")))&gt;1,INDIRECT(ADDRESS(ROW() + $A$9-7 + (ROW()-11)*4,2,1,1,"Internet"))," "))</f>
        <v xml:space="preserve"> </v>
      </c>
      <c r="W40" s="149" t="str">
        <f ca="1">IF(N(U40)&gt;0,VLOOKUP(U40,Hraci!$A$1:$I$1000,3,0)," ")</f>
        <v xml:space="preserve"> </v>
      </c>
      <c r="X40" s="149" t="str">
        <f ca="1">IF(N(U40)&gt;0,VLOOKUP(U40,Hraci!$A$1:$I$1000,5,0),IF(TYPE(INDIRECT(ADDRESS(ROW() + $A$9-7 + (ROW()-11)*4,3,1,1,"Internet")))&gt;1,INDIRECT(ADDRESS(ROW() + $A$9-7 + (ROW()-11)*4,3,1,1,"Internet"))," "))</f>
        <v xml:space="preserve"> </v>
      </c>
      <c r="Y40" s="149">
        <f ca="1">IF(N(U40)=0,9999,VLOOKUP(U40,Hraci!$A$1:$I$1000,8,0))</f>
        <v>9999</v>
      </c>
      <c r="Z40" s="150">
        <f ca="1">IF(N(U40)=0,0,VLOOKUP(U40,Hraci!$A$1:$I$1000,9,0))</f>
        <v>0</v>
      </c>
      <c r="AA40" s="147" t="str">
        <f t="shared" ca="1" si="11"/>
        <v/>
      </c>
      <c r="AB40" s="148" t="str">
        <f ca="1">IF(N(AA40)&gt;0,VLOOKUP(AA40,Hraci!$A$1:$I$1000,2,0)," ")</f>
        <v xml:space="preserve"> </v>
      </c>
      <c r="AC40" s="149" t="str">
        <f ca="1">IF(N(AA40)&gt;0,VLOOKUP(AA40,Hraci!$A$1:$I$1000,3,0)," ")</f>
        <v xml:space="preserve"> </v>
      </c>
      <c r="AD40" s="149" t="str">
        <f ca="1">IF(N(AA40)&gt;0,VLOOKUP(AA40,Hraci!$A$1:$I$1000,5,0)," ")</f>
        <v xml:space="preserve"> </v>
      </c>
      <c r="AE40" s="149">
        <f ca="1">IF(N(AA40)=0,9999,VLOOKUP(AA40,Hraci!$A$1:$I$1000,8,0))</f>
        <v>9999</v>
      </c>
      <c r="AF40" s="150">
        <f ca="1">IF(N(AA40)=0,0,VLOOKUP(AA40,Hraci!$A$1:$I$1000,9,0))</f>
        <v>0</v>
      </c>
      <c r="AG40" s="147"/>
      <c r="AH40" s="151">
        <f ca="1">IF(TYPE(VLOOKUP(H40,Nasazení!$A$3:$E$130,5,0))&lt;4,VLOOKUP(H40,Nasazení!$A$3:$E$130,5,0),0)</f>
        <v>0</v>
      </c>
      <c r="AI40" s="152" t="str">
        <f ca="1">IF(N($AH40)&gt;0,VLOOKUP($AH40,Body!$A$4:$F$259,5,0),"")</f>
        <v/>
      </c>
      <c r="AJ40" s="153" t="str">
        <f ca="1">IF(N($AH40)&gt;0,VLOOKUP($AH40,Body!$A$4:$F$259,6,0),"")</f>
        <v/>
      </c>
      <c r="AK40" s="152" t="str">
        <f ca="1">IF(N($AH40)&gt;0,VLOOKUP($AH40,Body!$A$4:$F$259,2,0),"")</f>
        <v/>
      </c>
      <c r="AL40" s="154" t="str">
        <f t="shared" ca="1" si="12"/>
        <v/>
      </c>
      <c r="AM40" s="155">
        <f t="shared" ca="1" si="13"/>
        <v>0</v>
      </c>
      <c r="AN40" s="72">
        <f ca="1">IF(OR(TYPE(I40)&gt;1,TYPE(MATCH(I40,I41:I$203,0))&gt;1),0,MATCH(I40,I41:I$203,0))+IF(OR(TYPE(I40)&gt;1,TYPE(MATCH(I40,O$11:O$203,0))&gt;1),0,MATCH(I40,O$11:O$203,0))+IF(OR(TYPE(I40)&gt;1,TYPE(MATCH(I40,U$11:U$203,0))&gt;1),0,MATCH(I40,U$11:U$203,0))+IF(OR(TYPE(I40)&gt;1,TYPE(MATCH(I40,AA$11:AA$203,0))&gt;1),0,MATCH(I40,AA$11:AA$203,0))</f>
        <v>0</v>
      </c>
      <c r="AO40" s="72">
        <f ca="1">IF(OR(TYPE(O40)&gt;1,TYPE(MATCH(O40,I$11:I$203,0))&gt;1),0,MATCH(O40,I$11:I$203,0))+IF(OR(TYPE(O40)&gt;1,TYPE(MATCH(O40,O41:O$203,0))&gt;1),0,MATCH(O40,O41:O$203,0))+IF(OR(TYPE(O40)&gt;1,TYPE(MATCH(O40,U$11:U$203,0))&gt;1),0,MATCH(O40,U$11:U$203,0))+IF(OR(TYPE(O40)&gt;1,TYPE(MATCH(O40,AA$11:AA$203,0))&gt;1),0,MATCH(O40,AA$11:AA$203,0))</f>
        <v>0</v>
      </c>
      <c r="AP40" s="72">
        <f ca="1">IF(OR(TYPE(U40)&gt;1,TYPE(MATCH(U40,I$11:I$203,0))&gt;1),0,MATCH(U40,I$11:I$203,0))+IF(OR(TYPE(U40)&gt;1,TYPE(MATCH(U40,O$11:O$203,0))&gt;1),0,MATCH(U40,O$11:O$203,0))+IF(OR(TYPE(U40)&gt;1,TYPE(MATCH(U40,U41:U$203,0))&gt;1),0,MATCH(U40,U41:U$203,0))+IF(OR(TYPE(U40)&gt;1,TYPE(MATCH(U40,AA$11:AA$203,0))&gt;1),0,MATCH(U40,AA$11:AA$203,0))</f>
        <v>0</v>
      </c>
      <c r="AQ40" s="72">
        <f ca="1">IF(OR(TYPE(AA40)&gt;1,TYPE(MATCH(AA40,I$11:I$203,0))&gt;1),0,MATCH(AA40,I$11:I$203,0))+IF(OR(TYPE(AA40)&gt;1,TYPE(MATCH(AA40,O$11:O$203,0))&gt;1),0,MATCH(AA40,O$11:O$203,0))+IF(OR(TYPE(AA40)&gt;1,TYPE(MATCH(AA40,U$11:U$203,0))&gt;1),0,MATCH(U40,U$11:U$203,0))+IF(OR(TYPE(AA40)&gt;1,TYPE(MATCH(AA40,AA41:AA$203,0))&gt;1),0,MATCH(AA40,AA41:AA$203,0))</f>
        <v>0</v>
      </c>
      <c r="AR40" s="72">
        <f t="shared" ca="1" si="14"/>
        <v>0</v>
      </c>
    </row>
    <row r="41" spans="1:44" ht="14.25">
      <c r="A41" s="103">
        <f t="shared" ca="1" si="0"/>
        <v>0</v>
      </c>
      <c r="B41" s="103">
        <f t="shared" ca="1" si="1"/>
        <v>0</v>
      </c>
      <c r="C41" s="156">
        <f t="shared" ca="1" si="2"/>
        <v>0</v>
      </c>
      <c r="D41" s="103">
        <f t="shared" ca="1" si="3"/>
        <v>99999</v>
      </c>
      <c r="E41" s="103">
        <f t="shared" ca="1" si="4"/>
        <v>9999</v>
      </c>
      <c r="F41" s="104" t="str">
        <f t="shared" ca="1" si="5"/>
        <v>00000000000000000000193632</v>
      </c>
      <c r="G41" s="145">
        <f t="shared" ca="1" si="6"/>
        <v>1</v>
      </c>
      <c r="H41" s="146">
        <f t="shared" si="7"/>
        <v>31</v>
      </c>
      <c r="I41" s="147" t="str">
        <f t="shared" ca="1" si="8"/>
        <v/>
      </c>
      <c r="J41" s="148" t="str">
        <f ca="1">IF(N(I41)&gt;0,VLOOKUP(I41,Hraci!$A$1:$I$1000,2,0),IF(TYPE(INDIRECT(ADDRESS(ROW() + $A$9-9 + (ROW()-11)*4,2,1,1,"Internet")))&gt;1,INDIRECT(ADDRESS(ROW() + $A$9-9 + (ROW()-11)*4,2,1,1,"Internet"))," "))</f>
        <v xml:space="preserve"> </v>
      </c>
      <c r="K41" s="149" t="str">
        <f ca="1">IF(N(I41)&gt;0,VLOOKUP(I41,Hraci!$A$1:$I$1000,3,0)," ")</f>
        <v xml:space="preserve"> </v>
      </c>
      <c r="L41" s="149" t="str">
        <f ca="1">IF(N(I41)&gt;0,VLOOKUP(I41,Hraci!$A$1:$I$1000,5,0),IF(TYPE(INDIRECT(ADDRESS(ROW() + $A$9-9 + (ROW()-11)*4,3,1,1,"Internet")))&gt;1,INDIRECT(ADDRESS(ROW() + $A$9-9 + (ROW()-11)*4,3,1,1,"Internet"))," "))</f>
        <v xml:space="preserve"> </v>
      </c>
      <c r="M41" s="149">
        <f ca="1">IF(N(I41)=0,9999,VLOOKUP(I41,Hraci!$A$1:$I$1000,8,0))</f>
        <v>9999</v>
      </c>
      <c r="N41" s="150">
        <f ca="1">IF(N(I41)=0,0,VLOOKUP(I41,Hraci!$A$1:$I$1000,9,0))</f>
        <v>0</v>
      </c>
      <c r="O41" s="147" t="str">
        <f t="shared" ca="1" si="9"/>
        <v/>
      </c>
      <c r="P41" s="148" t="str">
        <f ca="1">IF(N(O41)&gt;0,VLOOKUP(O41,Hraci!$A$1:$I$1000,2,0),IF(TYPE(INDIRECT(ADDRESS(ROW() + $A$9-8 + (ROW()-11)*4,2,1,1,"Internet")))&gt;1,INDIRECT(ADDRESS(ROW() + $A$9-8 + (ROW()-11)*4,2,1,1,"Internet"))," "))</f>
        <v xml:space="preserve"> </v>
      </c>
      <c r="Q41" s="149" t="str">
        <f ca="1">IF(N(O41)&gt;0,VLOOKUP(O41,Hraci!$A$1:$I$1000,3,0)," ")</f>
        <v xml:space="preserve"> </v>
      </c>
      <c r="R41" s="149" t="str">
        <f ca="1">IF(N(O41)&gt;0,VLOOKUP(O41,Hraci!$A$1:$I$1000,5,0),IF(TYPE(INDIRECT(ADDRESS(ROW() + $A$9-8 + (ROW()-11)*4,3,1,1,"Internet")))&gt;1,INDIRECT(ADDRESS(ROW() + $A$9-8 + (ROW()-11)*4,3,1,1,"Internet"))," "))</f>
        <v xml:space="preserve"> </v>
      </c>
      <c r="S41" s="149">
        <f ca="1">IF(N(O41)=0,9999,VLOOKUP(O41,Hraci!$A$1:$I$1000,8,0))</f>
        <v>9999</v>
      </c>
      <c r="T41" s="150">
        <f ca="1">IF(N(O41)=0,0,VLOOKUP(O41,Hraci!$A$1:$I$1000,9,0))</f>
        <v>0</v>
      </c>
      <c r="U41" s="147" t="str">
        <f t="shared" ca="1" si="10"/>
        <v/>
      </c>
      <c r="V41" s="148" t="str">
        <f ca="1">IF(N(U41)&gt;0,VLOOKUP(U41,Hraci!$A$1:$I$1000,2,0),IF(TYPE(INDIRECT(ADDRESS(ROW() + $A$9-7 + (ROW()-11)*4,2,1,1,"Internet")))&gt;1,INDIRECT(ADDRESS(ROW() + $A$9-7 + (ROW()-11)*4,2,1,1,"Internet"))," "))</f>
        <v xml:space="preserve"> </v>
      </c>
      <c r="W41" s="149" t="str">
        <f ca="1">IF(N(U41)&gt;0,VLOOKUP(U41,Hraci!$A$1:$I$1000,3,0)," ")</f>
        <v xml:space="preserve"> </v>
      </c>
      <c r="X41" s="149" t="str">
        <f ca="1">IF(N(U41)&gt;0,VLOOKUP(U41,Hraci!$A$1:$I$1000,5,0),IF(TYPE(INDIRECT(ADDRESS(ROW() + $A$9-7 + (ROW()-11)*4,3,1,1,"Internet")))&gt;1,INDIRECT(ADDRESS(ROW() + $A$9-7 + (ROW()-11)*4,3,1,1,"Internet"))," "))</f>
        <v xml:space="preserve"> </v>
      </c>
      <c r="Y41" s="149">
        <f ca="1">IF(N(U41)=0,9999,VLOOKUP(U41,Hraci!$A$1:$I$1000,8,0))</f>
        <v>9999</v>
      </c>
      <c r="Z41" s="150">
        <f ca="1">IF(N(U41)=0,0,VLOOKUP(U41,Hraci!$A$1:$I$1000,9,0))</f>
        <v>0</v>
      </c>
      <c r="AA41" s="147" t="str">
        <f t="shared" ca="1" si="11"/>
        <v/>
      </c>
      <c r="AB41" s="148" t="str">
        <f ca="1">IF(N(AA41)&gt;0,VLOOKUP(AA41,Hraci!$A$1:$I$1000,2,0)," ")</f>
        <v xml:space="preserve"> </v>
      </c>
      <c r="AC41" s="149" t="str">
        <f ca="1">IF(N(AA41)&gt;0,VLOOKUP(AA41,Hraci!$A$1:$I$1000,3,0)," ")</f>
        <v xml:space="preserve"> </v>
      </c>
      <c r="AD41" s="149" t="str">
        <f ca="1">IF(N(AA41)&gt;0,VLOOKUP(AA41,Hraci!$A$1:$I$1000,5,0)," ")</f>
        <v xml:space="preserve"> </v>
      </c>
      <c r="AE41" s="149">
        <f ca="1">IF(N(AA41)=0,9999,VLOOKUP(AA41,Hraci!$A$1:$I$1000,8,0))</f>
        <v>9999</v>
      </c>
      <c r="AF41" s="150">
        <f ca="1">IF(N(AA41)=0,0,VLOOKUP(AA41,Hraci!$A$1:$I$1000,9,0))</f>
        <v>0</v>
      </c>
      <c r="AG41" s="147"/>
      <c r="AH41" s="151">
        <f ca="1">IF(TYPE(VLOOKUP(H41,Nasazení!$A$3:$E$130,5,0))&lt;4,VLOOKUP(H41,Nasazení!$A$3:$E$130,5,0),0)</f>
        <v>0</v>
      </c>
      <c r="AI41" s="152" t="str">
        <f ca="1">IF(N($AH41)&gt;0,VLOOKUP($AH41,Body!$A$4:$F$259,5,0),"")</f>
        <v/>
      </c>
      <c r="AJ41" s="153" t="str">
        <f ca="1">IF(N($AH41)&gt;0,VLOOKUP($AH41,Body!$A$4:$F$259,6,0),"")</f>
        <v/>
      </c>
      <c r="AK41" s="152" t="str">
        <f ca="1">IF(N($AH41)&gt;0,VLOOKUP($AH41,Body!$A$4:$F$259,2,0),"")</f>
        <v/>
      </c>
      <c r="AL41" s="154" t="str">
        <f t="shared" ca="1" si="12"/>
        <v/>
      </c>
      <c r="AM41" s="155">
        <f t="shared" ca="1" si="13"/>
        <v>0</v>
      </c>
      <c r="AN41" s="72">
        <f ca="1">IF(OR(TYPE(I41)&gt;1,TYPE(MATCH(I41,I42:I$203,0))&gt;1),0,MATCH(I41,I42:I$203,0))+IF(OR(TYPE(I41)&gt;1,TYPE(MATCH(I41,O$11:O$203,0))&gt;1),0,MATCH(I41,O$11:O$203,0))+IF(OR(TYPE(I41)&gt;1,TYPE(MATCH(I41,U$11:U$203,0))&gt;1),0,MATCH(I41,U$11:U$203,0))+IF(OR(TYPE(I41)&gt;1,TYPE(MATCH(I41,AA$11:AA$203,0))&gt;1),0,MATCH(I41,AA$11:AA$203,0))</f>
        <v>0</v>
      </c>
      <c r="AO41" s="72">
        <f ca="1">IF(OR(TYPE(O41)&gt;1,TYPE(MATCH(O41,I$11:I$203,0))&gt;1),0,MATCH(O41,I$11:I$203,0))+IF(OR(TYPE(O41)&gt;1,TYPE(MATCH(O41,O42:O$203,0))&gt;1),0,MATCH(O41,O42:O$203,0))+IF(OR(TYPE(O41)&gt;1,TYPE(MATCH(O41,U$11:U$203,0))&gt;1),0,MATCH(O41,U$11:U$203,0))+IF(OR(TYPE(O41)&gt;1,TYPE(MATCH(O41,AA$11:AA$203,0))&gt;1),0,MATCH(O41,AA$11:AA$203,0))</f>
        <v>0</v>
      </c>
      <c r="AP41" s="72">
        <f ca="1">IF(OR(TYPE(U41)&gt;1,TYPE(MATCH(U41,I$11:I$203,0))&gt;1),0,MATCH(U41,I$11:I$203,0))+IF(OR(TYPE(U41)&gt;1,TYPE(MATCH(U41,O$11:O$203,0))&gt;1),0,MATCH(U41,O$11:O$203,0))+IF(OR(TYPE(U41)&gt;1,TYPE(MATCH(U41,U42:U$203,0))&gt;1),0,MATCH(U41,U42:U$203,0))+IF(OR(TYPE(U41)&gt;1,TYPE(MATCH(U41,AA$11:AA$203,0))&gt;1),0,MATCH(U41,AA$11:AA$203,0))</f>
        <v>0</v>
      </c>
      <c r="AQ41" s="72">
        <f ca="1">IF(OR(TYPE(AA41)&gt;1,TYPE(MATCH(AA41,I$11:I$203,0))&gt;1),0,MATCH(AA41,I$11:I$203,0))+IF(OR(TYPE(AA41)&gt;1,TYPE(MATCH(AA41,O$11:O$203,0))&gt;1),0,MATCH(AA41,O$11:O$203,0))+IF(OR(TYPE(AA41)&gt;1,TYPE(MATCH(AA41,U$11:U$203,0))&gt;1),0,MATCH(U41,U$11:U$203,0))+IF(OR(TYPE(AA41)&gt;1,TYPE(MATCH(AA41,AA42:AA$203,0))&gt;1),0,MATCH(AA41,AA42:AA$203,0))</f>
        <v>0</v>
      </c>
      <c r="AR41" s="72">
        <f t="shared" ca="1" si="14"/>
        <v>0</v>
      </c>
    </row>
    <row r="42" spans="1:44" ht="14.25">
      <c r="A42" s="103">
        <f t="shared" ca="1" si="0"/>
        <v>0</v>
      </c>
      <c r="B42" s="103">
        <f t="shared" ca="1" si="1"/>
        <v>0</v>
      </c>
      <c r="C42" s="156">
        <f t="shared" ca="1" si="2"/>
        <v>0</v>
      </c>
      <c r="D42" s="103">
        <f t="shared" ca="1" si="3"/>
        <v>99999</v>
      </c>
      <c r="E42" s="103">
        <f t="shared" ca="1" si="4"/>
        <v>9999</v>
      </c>
      <c r="F42" s="104" t="str">
        <f t="shared" ca="1" si="5"/>
        <v>00000000000000000000318380</v>
      </c>
      <c r="G42" s="145">
        <f t="shared" ca="1" si="6"/>
        <v>1</v>
      </c>
      <c r="H42" s="146">
        <f t="shared" si="7"/>
        <v>32</v>
      </c>
      <c r="I42" s="147" t="str">
        <f t="shared" ca="1" si="8"/>
        <v/>
      </c>
      <c r="J42" s="148" t="str">
        <f ca="1">IF(N(I42)&gt;0,VLOOKUP(I42,Hraci!$A$1:$I$1000,2,0),IF(TYPE(INDIRECT(ADDRESS(ROW() + $A$9-9 + (ROW()-11)*4,2,1,1,"Internet")))&gt;1,INDIRECT(ADDRESS(ROW() + $A$9-9 + (ROW()-11)*4,2,1,1,"Internet"))," "))</f>
        <v xml:space="preserve"> </v>
      </c>
      <c r="K42" s="149" t="str">
        <f ca="1">IF(N(I42)&gt;0,VLOOKUP(I42,Hraci!$A$1:$I$1000,3,0)," ")</f>
        <v xml:space="preserve"> </v>
      </c>
      <c r="L42" s="149" t="str">
        <f ca="1">IF(N(I42)&gt;0,VLOOKUP(I42,Hraci!$A$1:$I$1000,5,0),IF(TYPE(INDIRECT(ADDRESS(ROW() + $A$9-9 + (ROW()-11)*4,3,1,1,"Internet")))&gt;1,INDIRECT(ADDRESS(ROW() + $A$9-9 + (ROW()-11)*4,3,1,1,"Internet"))," "))</f>
        <v xml:space="preserve"> </v>
      </c>
      <c r="M42" s="149">
        <f ca="1">IF(N(I42)=0,9999,VLOOKUP(I42,Hraci!$A$1:$I$1000,8,0))</f>
        <v>9999</v>
      </c>
      <c r="N42" s="150">
        <f ca="1">IF(N(I42)=0,0,VLOOKUP(I42,Hraci!$A$1:$I$1000,9,0))</f>
        <v>0</v>
      </c>
      <c r="O42" s="147" t="str">
        <f t="shared" ca="1" si="9"/>
        <v/>
      </c>
      <c r="P42" s="148" t="str">
        <f ca="1">IF(N(O42)&gt;0,VLOOKUP(O42,Hraci!$A$1:$I$1000,2,0),IF(TYPE(INDIRECT(ADDRESS(ROW() + $A$9-8 + (ROW()-11)*4,2,1,1,"Internet")))&gt;1,INDIRECT(ADDRESS(ROW() + $A$9-8 + (ROW()-11)*4,2,1,1,"Internet"))," "))</f>
        <v xml:space="preserve"> </v>
      </c>
      <c r="Q42" s="149" t="str">
        <f ca="1">IF(N(O42)&gt;0,VLOOKUP(O42,Hraci!$A$1:$I$1000,3,0)," ")</f>
        <v xml:space="preserve"> </v>
      </c>
      <c r="R42" s="149" t="str">
        <f ca="1">IF(N(O42)&gt;0,VLOOKUP(O42,Hraci!$A$1:$I$1000,5,0),IF(TYPE(INDIRECT(ADDRESS(ROW() + $A$9-8 + (ROW()-11)*4,3,1,1,"Internet")))&gt;1,INDIRECT(ADDRESS(ROW() + $A$9-8 + (ROW()-11)*4,3,1,1,"Internet"))," "))</f>
        <v xml:space="preserve"> </v>
      </c>
      <c r="S42" s="149">
        <f ca="1">IF(N(O42)=0,9999,VLOOKUP(O42,Hraci!$A$1:$I$1000,8,0))</f>
        <v>9999</v>
      </c>
      <c r="T42" s="150">
        <f ca="1">IF(N(O42)=0,0,VLOOKUP(O42,Hraci!$A$1:$I$1000,9,0))</f>
        <v>0</v>
      </c>
      <c r="U42" s="147" t="str">
        <f t="shared" ca="1" si="10"/>
        <v/>
      </c>
      <c r="V42" s="148" t="str">
        <f ca="1">IF(N(U42)&gt;0,VLOOKUP(U42,Hraci!$A$1:$I$1000,2,0),IF(TYPE(INDIRECT(ADDRESS(ROW() + $A$9-7 + (ROW()-11)*4,2,1,1,"Internet")))&gt;1,INDIRECT(ADDRESS(ROW() + $A$9-7 + (ROW()-11)*4,2,1,1,"Internet"))," "))</f>
        <v xml:space="preserve"> </v>
      </c>
      <c r="W42" s="149" t="str">
        <f ca="1">IF(N(U42)&gt;0,VLOOKUP(U42,Hraci!$A$1:$I$1000,3,0)," ")</f>
        <v xml:space="preserve"> </v>
      </c>
      <c r="X42" s="149" t="str">
        <f ca="1">IF(N(U42)&gt;0,VLOOKUP(U42,Hraci!$A$1:$I$1000,5,0),IF(TYPE(INDIRECT(ADDRESS(ROW() + $A$9-7 + (ROW()-11)*4,3,1,1,"Internet")))&gt;1,INDIRECT(ADDRESS(ROW() + $A$9-7 + (ROW()-11)*4,3,1,1,"Internet"))," "))</f>
        <v xml:space="preserve"> </v>
      </c>
      <c r="Y42" s="149">
        <f ca="1">IF(N(U42)=0,9999,VLOOKUP(U42,Hraci!$A$1:$I$1000,8,0))</f>
        <v>9999</v>
      </c>
      <c r="Z42" s="150">
        <f ca="1">IF(N(U42)=0,0,VLOOKUP(U42,Hraci!$A$1:$I$1000,9,0))</f>
        <v>0</v>
      </c>
      <c r="AA42" s="147" t="str">
        <f t="shared" ca="1" si="11"/>
        <v/>
      </c>
      <c r="AB42" s="148" t="str">
        <f ca="1">IF(N(AA42)&gt;0,VLOOKUP(AA42,Hraci!$A$1:$I$1000,2,0)," ")</f>
        <v xml:space="preserve"> </v>
      </c>
      <c r="AC42" s="149" t="str">
        <f ca="1">IF(N(AA42)&gt;0,VLOOKUP(AA42,Hraci!$A$1:$I$1000,3,0)," ")</f>
        <v xml:space="preserve"> </v>
      </c>
      <c r="AD42" s="149" t="str">
        <f ca="1">IF(N(AA42)&gt;0,VLOOKUP(AA42,Hraci!$A$1:$I$1000,5,0)," ")</f>
        <v xml:space="preserve"> </v>
      </c>
      <c r="AE42" s="149">
        <f ca="1">IF(N(AA42)=0,9999,VLOOKUP(AA42,Hraci!$A$1:$I$1000,8,0))</f>
        <v>9999</v>
      </c>
      <c r="AF42" s="150">
        <f ca="1">IF(N(AA42)=0,0,VLOOKUP(AA42,Hraci!$A$1:$I$1000,9,0))</f>
        <v>0</v>
      </c>
      <c r="AG42" s="147"/>
      <c r="AH42" s="151">
        <f ca="1">IF(TYPE(VLOOKUP(H42,Nasazení!$A$3:$E$130,5,0))&lt;4,VLOOKUP(H42,Nasazení!$A$3:$E$130,5,0),0)</f>
        <v>0</v>
      </c>
      <c r="AI42" s="152" t="str">
        <f ca="1">IF(N($AH42)&gt;0,VLOOKUP($AH42,Body!$A$4:$F$259,5,0),"")</f>
        <v/>
      </c>
      <c r="AJ42" s="153" t="str">
        <f ca="1">IF(N($AH42)&gt;0,VLOOKUP($AH42,Body!$A$4:$F$259,6,0),"")</f>
        <v/>
      </c>
      <c r="AK42" s="152" t="str">
        <f ca="1">IF(N($AH42)&gt;0,VLOOKUP($AH42,Body!$A$4:$F$259,2,0),"")</f>
        <v/>
      </c>
      <c r="AL42" s="154" t="str">
        <f t="shared" ca="1" si="12"/>
        <v/>
      </c>
      <c r="AM42" s="155">
        <f t="shared" ca="1" si="13"/>
        <v>0</v>
      </c>
      <c r="AN42" s="72">
        <f ca="1">IF(OR(TYPE(I42)&gt;1,TYPE(MATCH(I42,I43:I$203,0))&gt;1),0,MATCH(I42,I43:I$203,0))+IF(OR(TYPE(I42)&gt;1,TYPE(MATCH(I42,O$11:O$203,0))&gt;1),0,MATCH(I42,O$11:O$203,0))+IF(OR(TYPE(I42)&gt;1,TYPE(MATCH(I42,U$11:U$203,0))&gt;1),0,MATCH(I42,U$11:U$203,0))+IF(OR(TYPE(I42)&gt;1,TYPE(MATCH(I42,AA$11:AA$203,0))&gt;1),0,MATCH(I42,AA$11:AA$203,0))</f>
        <v>0</v>
      </c>
      <c r="AO42" s="72">
        <f ca="1">IF(OR(TYPE(O42)&gt;1,TYPE(MATCH(O42,I$11:I$203,0))&gt;1),0,MATCH(O42,I$11:I$203,0))+IF(OR(TYPE(O42)&gt;1,TYPE(MATCH(O42,O43:O$203,0))&gt;1),0,MATCH(O42,O43:O$203,0))+IF(OR(TYPE(O42)&gt;1,TYPE(MATCH(O42,U$11:U$203,0))&gt;1),0,MATCH(O42,U$11:U$203,0))+IF(OR(TYPE(O42)&gt;1,TYPE(MATCH(O42,AA$11:AA$203,0))&gt;1),0,MATCH(O42,AA$11:AA$203,0))</f>
        <v>0</v>
      </c>
      <c r="AP42" s="72">
        <f ca="1">IF(OR(TYPE(U42)&gt;1,TYPE(MATCH(U42,I$11:I$203,0))&gt;1),0,MATCH(U42,I$11:I$203,0))+IF(OR(TYPE(U42)&gt;1,TYPE(MATCH(U42,O$11:O$203,0))&gt;1),0,MATCH(U42,O$11:O$203,0))+IF(OR(TYPE(U42)&gt;1,TYPE(MATCH(U42,U43:U$203,0))&gt;1),0,MATCH(U42,U43:U$203,0))+IF(OR(TYPE(U42)&gt;1,TYPE(MATCH(U42,AA$11:AA$203,0))&gt;1),0,MATCH(U42,AA$11:AA$203,0))</f>
        <v>0</v>
      </c>
      <c r="AQ42" s="72">
        <f ca="1">IF(OR(TYPE(AA42)&gt;1,TYPE(MATCH(AA42,I$11:I$203,0))&gt;1),0,MATCH(AA42,I$11:I$203,0))+IF(OR(TYPE(AA42)&gt;1,TYPE(MATCH(AA42,O$11:O$203,0))&gt;1),0,MATCH(AA42,O$11:O$203,0))+IF(OR(TYPE(AA42)&gt;1,TYPE(MATCH(AA42,U$11:U$203,0))&gt;1),0,MATCH(U42,U$11:U$203,0))+IF(OR(TYPE(AA42)&gt;1,TYPE(MATCH(AA42,AA43:AA$203,0))&gt;1),0,MATCH(AA42,AA43:AA$203,0))</f>
        <v>0</v>
      </c>
      <c r="AR42" s="72">
        <f t="shared" ca="1" si="14"/>
        <v>0</v>
      </c>
    </row>
    <row r="43" spans="1:44" ht="14.25">
      <c r="A43" s="103">
        <f t="shared" ref="A43:A74" ca="1" si="15">IF(OR(LEFT(J43,1)=" ",ISBLANK(J43)),0,1)+IF(OR(LEFT(P43,1)=" ",ISBLANK(P43)),0,1)+IF(OR(LEFT(V43,1)=" ",ISBLANK(V43)),0,1)</f>
        <v>0</v>
      </c>
      <c r="B43" s="103">
        <f t="shared" ref="B43:B74" ca="1" si="16">IF(AND(TYPE(G43&lt;15),G43=0),1,0)</f>
        <v>0</v>
      </c>
      <c r="C43" s="156">
        <f t="shared" ref="C43:C74" ca="1" si="17">IF(B43=0,0,N43+T43+Z43)</f>
        <v>0</v>
      </c>
      <c r="D43" s="103">
        <f t="shared" ref="D43:D74" ca="1" si="18">IF(B43=0,99999,M43+S43+Y43)</f>
        <v>99999</v>
      </c>
      <c r="E43" s="103">
        <f t="shared" ref="E43:E74" ca="1" si="19">MIN(M43,S43,Y43)</f>
        <v>9999</v>
      </c>
      <c r="F43" s="104" t="str">
        <f t="shared" ref="F43:F74" ca="1" si="20">CONCATENATE(IF(AND($P$4=1,H43&gt;2*$O$7),"0","9"),TEXT(B43,"0"),IF(AND($P$4=1,H43&gt;2*$O$7),"000000",TEXT(1000*C43,"000000")),IF(AND($P$4=1,H43&gt;2*$O$7),"000000",TEXT(999999-D43,"000000")),IF(AND($P$4=1,H43&gt;2*$O$7),"000000",TEXT(999999-E43,"000000")),TEXT(999999*RAND(),"000000"))</f>
        <v>00000000000000000000882094</v>
      </c>
      <c r="G43" s="145">
        <f t="shared" ref="G43:G74" ca="1" si="21">IF(OR($K$6&gt;A43,AR43&gt;0),1,0)</f>
        <v>1</v>
      </c>
      <c r="H43" s="146">
        <f t="shared" ref="H43:H74" si="22">ROW(H43)-10</f>
        <v>33</v>
      </c>
      <c r="I43" s="147" t="str">
        <f t="shared" ref="I43:I74" ca="1" si="23">IF(N(INDIRECT(ADDRESS(ROW() + $A$9-9 + (ROW()-11)*4,1,1,1,"Internet")))&gt;0,INDIRECT(ADDRESS(ROW() + $A$9-9 + (ROW()-11)*4,1,1,1,"Internet")),"")</f>
        <v/>
      </c>
      <c r="J43" s="148" t="str">
        <f ca="1">IF(N(I43)&gt;0,VLOOKUP(I43,Hraci!$A$1:$I$1000,2,0),IF(TYPE(INDIRECT(ADDRESS(ROW() + $A$9-9 + (ROW()-11)*4,2,1,1,"Internet")))&gt;1,INDIRECT(ADDRESS(ROW() + $A$9-9 + (ROW()-11)*4,2,1,1,"Internet"))," "))</f>
        <v xml:space="preserve"> </v>
      </c>
      <c r="K43" s="149" t="str">
        <f ca="1">IF(N(I43)&gt;0,VLOOKUP(I43,Hraci!$A$1:$I$1000,3,0)," ")</f>
        <v xml:space="preserve"> </v>
      </c>
      <c r="L43" s="149" t="str">
        <f ca="1">IF(N(I43)&gt;0,VLOOKUP(I43,Hraci!$A$1:$I$1000,5,0),IF(TYPE(INDIRECT(ADDRESS(ROW() + $A$9-9 + (ROW()-11)*4,3,1,1,"Internet")))&gt;1,INDIRECT(ADDRESS(ROW() + $A$9-9 + (ROW()-11)*4,3,1,1,"Internet"))," "))</f>
        <v xml:space="preserve"> </v>
      </c>
      <c r="M43" s="149">
        <f ca="1">IF(N(I43)=0,9999,VLOOKUP(I43,Hraci!$A$1:$I$1000,8,0))</f>
        <v>9999</v>
      </c>
      <c r="N43" s="150">
        <f ca="1">IF(N(I43)=0,0,VLOOKUP(I43,Hraci!$A$1:$I$1000,9,0))</f>
        <v>0</v>
      </c>
      <c r="O43" s="147" t="str">
        <f t="shared" ref="O43:O74" ca="1" si="24">IF(N(INDIRECT(ADDRESS(ROW() + $A$9-8 + (ROW()-11)*4,1,1,1,"Internet")))&gt;0,INDIRECT(ADDRESS(ROW() + $A$9-8 + (ROW()-11)*4,1,1,1,"Internet")),"")</f>
        <v/>
      </c>
      <c r="P43" s="148" t="str">
        <f ca="1">IF(N(O43)&gt;0,VLOOKUP(O43,Hraci!$A$1:$I$1000,2,0),IF(TYPE(INDIRECT(ADDRESS(ROW() + $A$9-8 + (ROW()-11)*4,2,1,1,"Internet")))&gt;1,INDIRECT(ADDRESS(ROW() + $A$9-8 + (ROW()-11)*4,2,1,1,"Internet"))," "))</f>
        <v xml:space="preserve"> </v>
      </c>
      <c r="Q43" s="149" t="str">
        <f ca="1">IF(N(O43)&gt;0,VLOOKUP(O43,Hraci!$A$1:$I$1000,3,0)," ")</f>
        <v xml:space="preserve"> </v>
      </c>
      <c r="R43" s="149" t="str">
        <f ca="1">IF(N(O43)&gt;0,VLOOKUP(O43,Hraci!$A$1:$I$1000,5,0),IF(TYPE(INDIRECT(ADDRESS(ROW() + $A$9-8 + (ROW()-11)*4,3,1,1,"Internet")))&gt;1,INDIRECT(ADDRESS(ROW() + $A$9-8 + (ROW()-11)*4,3,1,1,"Internet"))," "))</f>
        <v xml:space="preserve"> </v>
      </c>
      <c r="S43" s="149">
        <f ca="1">IF(N(O43)=0,9999,VLOOKUP(O43,Hraci!$A$1:$I$1000,8,0))</f>
        <v>9999</v>
      </c>
      <c r="T43" s="150">
        <f ca="1">IF(N(O43)=0,0,VLOOKUP(O43,Hraci!$A$1:$I$1000,9,0))</f>
        <v>0</v>
      </c>
      <c r="U43" s="147" t="str">
        <f t="shared" ref="U43:U74" ca="1" si="25">IF(N(INDIRECT(ADDRESS(ROW() + $A$9-7 + (ROW()-11)*4,1,1,1,"Internet")))&gt;0,INDIRECT(ADDRESS(ROW() + $A$9-7 + (ROW()-11)*4,1,1,1,"Internet")),"")</f>
        <v/>
      </c>
      <c r="V43" s="148" t="str">
        <f ca="1">IF(N(U43)&gt;0,VLOOKUP(U43,Hraci!$A$1:$I$1000,2,0),IF(TYPE(INDIRECT(ADDRESS(ROW() + $A$9-7 + (ROW()-11)*4,2,1,1,"Internet")))&gt;1,INDIRECT(ADDRESS(ROW() + $A$9-7 + (ROW()-11)*4,2,1,1,"Internet"))," "))</f>
        <v xml:space="preserve"> </v>
      </c>
      <c r="W43" s="149" t="str">
        <f ca="1">IF(N(U43)&gt;0,VLOOKUP(U43,Hraci!$A$1:$I$1000,3,0)," ")</f>
        <v xml:space="preserve"> </v>
      </c>
      <c r="X43" s="149" t="str">
        <f ca="1">IF(N(U43)&gt;0,VLOOKUP(U43,Hraci!$A$1:$I$1000,5,0),IF(TYPE(INDIRECT(ADDRESS(ROW() + $A$9-7 + (ROW()-11)*4,3,1,1,"Internet")))&gt;1,INDIRECT(ADDRESS(ROW() + $A$9-7 + (ROW()-11)*4,3,1,1,"Internet"))," "))</f>
        <v xml:space="preserve"> </v>
      </c>
      <c r="Y43" s="149">
        <f ca="1">IF(N(U43)=0,9999,VLOOKUP(U43,Hraci!$A$1:$I$1000,8,0))</f>
        <v>9999</v>
      </c>
      <c r="Z43" s="150">
        <f ca="1">IF(N(U43)=0,0,VLOOKUP(U43,Hraci!$A$1:$I$1000,9,0))</f>
        <v>0</v>
      </c>
      <c r="AA43" s="147" t="str">
        <f t="shared" ref="AA43:AA74" ca="1" si="26">IF(N(INDIRECT(ADDRESS(ROW() + $A$9-6 + (ROW()-11)*4,1,1,1,"Internet")))&gt;0,INDIRECT(ADDRESS(ROW() + $A$9-6 + (ROW()-11)*4,1,1,1,"Internet")),"")</f>
        <v/>
      </c>
      <c r="AB43" s="148" t="str">
        <f ca="1">IF(N(AA43)&gt;0,VLOOKUP(AA43,Hraci!$A$1:$I$1000,2,0)," ")</f>
        <v xml:space="preserve"> </v>
      </c>
      <c r="AC43" s="149" t="str">
        <f ca="1">IF(N(AA43)&gt;0,VLOOKUP(AA43,Hraci!$A$1:$I$1000,3,0)," ")</f>
        <v xml:space="preserve"> </v>
      </c>
      <c r="AD43" s="149" t="str">
        <f ca="1">IF(N(AA43)&gt;0,VLOOKUP(AA43,Hraci!$A$1:$I$1000,5,0)," ")</f>
        <v xml:space="preserve"> </v>
      </c>
      <c r="AE43" s="149">
        <f ca="1">IF(N(AA43)=0,9999,VLOOKUP(AA43,Hraci!$A$1:$I$1000,8,0))</f>
        <v>9999</v>
      </c>
      <c r="AF43" s="150">
        <f ca="1">IF(N(AA43)=0,0,VLOOKUP(AA43,Hraci!$A$1:$I$1000,9,0))</f>
        <v>0</v>
      </c>
      <c r="AG43" s="147"/>
      <c r="AH43" s="151">
        <f ca="1">IF(TYPE(VLOOKUP(H43,Nasazení!$A$3:$E$130,5,0))&lt;4,VLOOKUP(H43,Nasazení!$A$3:$E$130,5,0),0)</f>
        <v>0</v>
      </c>
      <c r="AI43" s="152" t="str">
        <f ca="1">IF(N($AH43)&gt;0,VLOOKUP($AH43,Body!$A$4:$F$259,5,0),"")</f>
        <v/>
      </c>
      <c r="AJ43" s="153" t="str">
        <f ca="1">IF(N($AH43)&gt;0,VLOOKUP($AH43,Body!$A$4:$F$259,6,0),"")</f>
        <v/>
      </c>
      <c r="AK43" s="152" t="str">
        <f ca="1">IF(N($AH43)&gt;0,VLOOKUP($AH43,Body!$A$4:$F$259,2,0),"")</f>
        <v/>
      </c>
      <c r="AL43" s="154" t="str">
        <f t="shared" ref="AL43:AL74" ca="1" si="27">IF(N(H43)&gt;$K$7,"",CONCATENATE(IF($U$8="","",H43&amp;" "),L43,IF(L43="",""," - "),J43," ",K43))</f>
        <v/>
      </c>
      <c r="AM43" s="155">
        <f t="shared" ref="AM43:AM74" ca="1" si="28">C43</f>
        <v>0</v>
      </c>
      <c r="AN43" s="72">
        <f ca="1">IF(OR(TYPE(I43)&gt;1,TYPE(MATCH(I43,I44:I$203,0))&gt;1),0,MATCH(I43,I44:I$203,0))+IF(OR(TYPE(I43)&gt;1,TYPE(MATCH(I43,O$11:O$203,0))&gt;1),0,MATCH(I43,O$11:O$203,0))+IF(OR(TYPE(I43)&gt;1,TYPE(MATCH(I43,U$11:U$203,0))&gt;1),0,MATCH(I43,U$11:U$203,0))+IF(OR(TYPE(I43)&gt;1,TYPE(MATCH(I43,AA$11:AA$203,0))&gt;1),0,MATCH(I43,AA$11:AA$203,0))</f>
        <v>0</v>
      </c>
      <c r="AO43" s="72">
        <f ca="1">IF(OR(TYPE(O43)&gt;1,TYPE(MATCH(O43,I$11:I$203,0))&gt;1),0,MATCH(O43,I$11:I$203,0))+IF(OR(TYPE(O43)&gt;1,TYPE(MATCH(O43,O44:O$203,0))&gt;1),0,MATCH(O43,O44:O$203,0))+IF(OR(TYPE(O43)&gt;1,TYPE(MATCH(O43,U$11:U$203,0))&gt;1),0,MATCH(O43,U$11:U$203,0))+IF(OR(TYPE(O43)&gt;1,TYPE(MATCH(O43,AA$11:AA$203,0))&gt;1),0,MATCH(O43,AA$11:AA$203,0))</f>
        <v>0</v>
      </c>
      <c r="AP43" s="72">
        <f ca="1">IF(OR(TYPE(U43)&gt;1,TYPE(MATCH(U43,I$11:I$203,0))&gt;1),0,MATCH(U43,I$11:I$203,0))+IF(OR(TYPE(U43)&gt;1,TYPE(MATCH(U43,O$11:O$203,0))&gt;1),0,MATCH(U43,O$11:O$203,0))+IF(OR(TYPE(U43)&gt;1,TYPE(MATCH(U43,U44:U$203,0))&gt;1),0,MATCH(U43,U44:U$203,0))+IF(OR(TYPE(U43)&gt;1,TYPE(MATCH(U43,AA$11:AA$203,0))&gt;1),0,MATCH(U43,AA$11:AA$203,0))</f>
        <v>0</v>
      </c>
      <c r="AQ43" s="72">
        <f ca="1">IF(OR(TYPE(AA43)&gt;1,TYPE(MATCH(AA43,I$11:I$203,0))&gt;1),0,MATCH(AA43,I$11:I$203,0))+IF(OR(TYPE(AA43)&gt;1,TYPE(MATCH(AA43,O$11:O$203,0))&gt;1),0,MATCH(AA43,O$11:O$203,0))+IF(OR(TYPE(AA43)&gt;1,TYPE(MATCH(AA43,U$11:U$203,0))&gt;1),0,MATCH(U43,U$11:U$203,0))+IF(OR(TYPE(AA43)&gt;1,TYPE(MATCH(AA43,AA44:AA$203,0))&gt;1),0,MATCH(AA43,AA44:AA$203,0))</f>
        <v>0</v>
      </c>
      <c r="AR43" s="72">
        <f t="shared" ref="AR43:AR74" ca="1" si="29">SUM(AN43:AQ43)</f>
        <v>0</v>
      </c>
    </row>
    <row r="44" spans="1:44" ht="14.25">
      <c r="A44" s="103">
        <f t="shared" ca="1" si="15"/>
        <v>0</v>
      </c>
      <c r="B44" s="103">
        <f t="shared" ca="1" si="16"/>
        <v>0</v>
      </c>
      <c r="C44" s="156">
        <f t="shared" ca="1" si="17"/>
        <v>0</v>
      </c>
      <c r="D44" s="103">
        <f t="shared" ca="1" si="18"/>
        <v>99999</v>
      </c>
      <c r="E44" s="103">
        <f t="shared" ca="1" si="19"/>
        <v>9999</v>
      </c>
      <c r="F44" s="104" t="str">
        <f t="shared" ca="1" si="20"/>
        <v>00000000000000000000265691</v>
      </c>
      <c r="G44" s="145">
        <f t="shared" ca="1" si="21"/>
        <v>1</v>
      </c>
      <c r="H44" s="146">
        <f t="shared" si="22"/>
        <v>34</v>
      </c>
      <c r="I44" s="147" t="str">
        <f t="shared" ca="1" si="23"/>
        <v/>
      </c>
      <c r="J44" s="148" t="str">
        <f ca="1">IF(N(I44)&gt;0,VLOOKUP(I44,Hraci!$A$1:$I$1000,2,0),IF(TYPE(INDIRECT(ADDRESS(ROW() + $A$9-9 + (ROW()-11)*4,2,1,1,"Internet")))&gt;1,INDIRECT(ADDRESS(ROW() + $A$9-9 + (ROW()-11)*4,2,1,1,"Internet"))," "))</f>
        <v xml:space="preserve"> </v>
      </c>
      <c r="K44" s="149" t="str">
        <f ca="1">IF(N(I44)&gt;0,VLOOKUP(I44,Hraci!$A$1:$I$1000,3,0)," ")</f>
        <v xml:space="preserve"> </v>
      </c>
      <c r="L44" s="149" t="str">
        <f ca="1">IF(N(I44)&gt;0,VLOOKUP(I44,Hraci!$A$1:$I$1000,5,0),IF(TYPE(INDIRECT(ADDRESS(ROW() + $A$9-9 + (ROW()-11)*4,3,1,1,"Internet")))&gt;1,INDIRECT(ADDRESS(ROW() + $A$9-9 + (ROW()-11)*4,3,1,1,"Internet"))," "))</f>
        <v xml:space="preserve"> </v>
      </c>
      <c r="M44" s="149">
        <f ca="1">IF(N(I44)=0,9999,VLOOKUP(I44,Hraci!$A$1:$I$1000,8,0))</f>
        <v>9999</v>
      </c>
      <c r="N44" s="150">
        <f ca="1">IF(N(I44)=0,0,VLOOKUP(I44,Hraci!$A$1:$I$1000,9,0))</f>
        <v>0</v>
      </c>
      <c r="O44" s="147" t="str">
        <f t="shared" ca="1" si="24"/>
        <v/>
      </c>
      <c r="P44" s="148" t="str">
        <f ca="1">IF(N(O44)&gt;0,VLOOKUP(O44,Hraci!$A$1:$I$1000,2,0),IF(TYPE(INDIRECT(ADDRESS(ROW() + $A$9-8 + (ROW()-11)*4,2,1,1,"Internet")))&gt;1,INDIRECT(ADDRESS(ROW() + $A$9-8 + (ROW()-11)*4,2,1,1,"Internet"))," "))</f>
        <v xml:space="preserve"> </v>
      </c>
      <c r="Q44" s="149" t="str">
        <f ca="1">IF(N(O44)&gt;0,VLOOKUP(O44,Hraci!$A$1:$I$1000,3,0)," ")</f>
        <v xml:space="preserve"> </v>
      </c>
      <c r="R44" s="149" t="str">
        <f ca="1">IF(N(O44)&gt;0,VLOOKUP(O44,Hraci!$A$1:$I$1000,5,0),IF(TYPE(INDIRECT(ADDRESS(ROW() + $A$9-8 + (ROW()-11)*4,3,1,1,"Internet")))&gt;1,INDIRECT(ADDRESS(ROW() + $A$9-8 + (ROW()-11)*4,3,1,1,"Internet"))," "))</f>
        <v xml:space="preserve"> </v>
      </c>
      <c r="S44" s="149">
        <f ca="1">IF(N(O44)=0,9999,VLOOKUP(O44,Hraci!$A$1:$I$1000,8,0))</f>
        <v>9999</v>
      </c>
      <c r="T44" s="150">
        <f ca="1">IF(N(O44)=0,0,VLOOKUP(O44,Hraci!$A$1:$I$1000,9,0))</f>
        <v>0</v>
      </c>
      <c r="U44" s="147" t="str">
        <f t="shared" ca="1" si="25"/>
        <v/>
      </c>
      <c r="V44" s="148" t="str">
        <f ca="1">IF(N(U44)&gt;0,VLOOKUP(U44,Hraci!$A$1:$I$1000,2,0),IF(TYPE(INDIRECT(ADDRESS(ROW() + $A$9-7 + (ROW()-11)*4,2,1,1,"Internet")))&gt;1,INDIRECT(ADDRESS(ROW() + $A$9-7 + (ROW()-11)*4,2,1,1,"Internet"))," "))</f>
        <v xml:space="preserve"> </v>
      </c>
      <c r="W44" s="149" t="str">
        <f ca="1">IF(N(U44)&gt;0,VLOOKUP(U44,Hraci!$A$1:$I$1000,3,0)," ")</f>
        <v xml:space="preserve"> </v>
      </c>
      <c r="X44" s="149" t="str">
        <f ca="1">IF(N(U44)&gt;0,VLOOKUP(U44,Hraci!$A$1:$I$1000,5,0),IF(TYPE(INDIRECT(ADDRESS(ROW() + $A$9-7 + (ROW()-11)*4,3,1,1,"Internet")))&gt;1,INDIRECT(ADDRESS(ROW() + $A$9-7 + (ROW()-11)*4,3,1,1,"Internet"))," "))</f>
        <v xml:space="preserve"> </v>
      </c>
      <c r="Y44" s="149">
        <f ca="1">IF(N(U44)=0,9999,VLOOKUP(U44,Hraci!$A$1:$I$1000,8,0))</f>
        <v>9999</v>
      </c>
      <c r="Z44" s="150">
        <f ca="1">IF(N(U44)=0,0,VLOOKUP(U44,Hraci!$A$1:$I$1000,9,0))</f>
        <v>0</v>
      </c>
      <c r="AA44" s="147" t="str">
        <f t="shared" ca="1" si="26"/>
        <v/>
      </c>
      <c r="AB44" s="148" t="str">
        <f ca="1">IF(N(AA44)&gt;0,VLOOKUP(AA44,Hraci!$A$1:$I$1000,2,0)," ")</f>
        <v xml:space="preserve"> </v>
      </c>
      <c r="AC44" s="149" t="str">
        <f ca="1">IF(N(AA44)&gt;0,VLOOKUP(AA44,Hraci!$A$1:$I$1000,3,0)," ")</f>
        <v xml:space="preserve"> </v>
      </c>
      <c r="AD44" s="149" t="str">
        <f ca="1">IF(N(AA44)&gt;0,VLOOKUP(AA44,Hraci!$A$1:$I$1000,5,0)," ")</f>
        <v xml:space="preserve"> </v>
      </c>
      <c r="AE44" s="149">
        <f ca="1">IF(N(AA44)=0,9999,VLOOKUP(AA44,Hraci!$A$1:$I$1000,8,0))</f>
        <v>9999</v>
      </c>
      <c r="AF44" s="150">
        <f ca="1">IF(N(AA44)=0,0,VLOOKUP(AA44,Hraci!$A$1:$I$1000,9,0))</f>
        <v>0</v>
      </c>
      <c r="AG44" s="147"/>
      <c r="AH44" s="151">
        <f ca="1">IF(TYPE(VLOOKUP(H44,Nasazení!$A$3:$E$130,5,0))&lt;4,VLOOKUP(H44,Nasazení!$A$3:$E$130,5,0),0)</f>
        <v>0</v>
      </c>
      <c r="AI44" s="152" t="str">
        <f ca="1">IF(N($AH44)&gt;0,VLOOKUP($AH44,Body!$A$4:$F$259,5,0),"")</f>
        <v/>
      </c>
      <c r="AJ44" s="153" t="str">
        <f ca="1">IF(N($AH44)&gt;0,VLOOKUP($AH44,Body!$A$4:$F$259,6,0),"")</f>
        <v/>
      </c>
      <c r="AK44" s="152" t="str">
        <f ca="1">IF(N($AH44)&gt;0,VLOOKUP($AH44,Body!$A$4:$F$259,2,0),"")</f>
        <v/>
      </c>
      <c r="AL44" s="154" t="str">
        <f t="shared" ca="1" si="27"/>
        <v/>
      </c>
      <c r="AM44" s="155">
        <f t="shared" ca="1" si="28"/>
        <v>0</v>
      </c>
      <c r="AN44" s="72">
        <f ca="1">IF(OR(TYPE(I44)&gt;1,TYPE(MATCH(I44,I45:I$203,0))&gt;1),0,MATCH(I44,I45:I$203,0))+IF(OR(TYPE(I44)&gt;1,TYPE(MATCH(I44,O$11:O$203,0))&gt;1),0,MATCH(I44,O$11:O$203,0))+IF(OR(TYPE(I44)&gt;1,TYPE(MATCH(I44,U$11:U$203,0))&gt;1),0,MATCH(I44,U$11:U$203,0))+IF(OR(TYPE(I44)&gt;1,TYPE(MATCH(I44,AA$11:AA$203,0))&gt;1),0,MATCH(I44,AA$11:AA$203,0))</f>
        <v>0</v>
      </c>
      <c r="AO44" s="72">
        <f ca="1">IF(OR(TYPE(O44)&gt;1,TYPE(MATCH(O44,I$11:I$203,0))&gt;1),0,MATCH(O44,I$11:I$203,0))+IF(OR(TYPE(O44)&gt;1,TYPE(MATCH(O44,O45:O$203,0))&gt;1),0,MATCH(O44,O45:O$203,0))+IF(OR(TYPE(O44)&gt;1,TYPE(MATCH(O44,U$11:U$203,0))&gt;1),0,MATCH(O44,U$11:U$203,0))+IF(OR(TYPE(O44)&gt;1,TYPE(MATCH(O44,AA$11:AA$203,0))&gt;1),0,MATCH(O44,AA$11:AA$203,0))</f>
        <v>0</v>
      </c>
      <c r="AP44" s="72">
        <f ca="1">IF(OR(TYPE(U44)&gt;1,TYPE(MATCH(U44,I$11:I$203,0))&gt;1),0,MATCH(U44,I$11:I$203,0))+IF(OR(TYPE(U44)&gt;1,TYPE(MATCH(U44,O$11:O$203,0))&gt;1),0,MATCH(U44,O$11:O$203,0))+IF(OR(TYPE(U44)&gt;1,TYPE(MATCH(U44,U45:U$203,0))&gt;1),0,MATCH(U44,U45:U$203,0))+IF(OR(TYPE(U44)&gt;1,TYPE(MATCH(U44,AA$11:AA$203,0))&gt;1),0,MATCH(U44,AA$11:AA$203,0))</f>
        <v>0</v>
      </c>
      <c r="AQ44" s="72">
        <f ca="1">IF(OR(TYPE(AA44)&gt;1,TYPE(MATCH(AA44,I$11:I$203,0))&gt;1),0,MATCH(AA44,I$11:I$203,0))+IF(OR(TYPE(AA44)&gt;1,TYPE(MATCH(AA44,O$11:O$203,0))&gt;1),0,MATCH(AA44,O$11:O$203,0))+IF(OR(TYPE(AA44)&gt;1,TYPE(MATCH(AA44,U$11:U$203,0))&gt;1),0,MATCH(U44,U$11:U$203,0))+IF(OR(TYPE(AA44)&gt;1,TYPE(MATCH(AA44,AA45:AA$203,0))&gt;1),0,MATCH(AA44,AA45:AA$203,0))</f>
        <v>0</v>
      </c>
      <c r="AR44" s="72">
        <f t="shared" ca="1" si="29"/>
        <v>0</v>
      </c>
    </row>
    <row r="45" spans="1:44" ht="14.25">
      <c r="A45" s="103">
        <f t="shared" ca="1" si="15"/>
        <v>0</v>
      </c>
      <c r="B45" s="103">
        <f t="shared" ca="1" si="16"/>
        <v>0</v>
      </c>
      <c r="C45" s="156">
        <f t="shared" ca="1" si="17"/>
        <v>0</v>
      </c>
      <c r="D45" s="103">
        <f t="shared" ca="1" si="18"/>
        <v>99999</v>
      </c>
      <c r="E45" s="103">
        <f t="shared" ca="1" si="19"/>
        <v>9999</v>
      </c>
      <c r="F45" s="104" t="str">
        <f t="shared" ca="1" si="20"/>
        <v>00000000000000000000010630</v>
      </c>
      <c r="G45" s="145">
        <f t="shared" ca="1" si="21"/>
        <v>1</v>
      </c>
      <c r="H45" s="146">
        <f t="shared" si="22"/>
        <v>35</v>
      </c>
      <c r="I45" s="147" t="str">
        <f t="shared" ca="1" si="23"/>
        <v/>
      </c>
      <c r="J45" s="148" t="str">
        <f ca="1">IF(N(I45)&gt;0,VLOOKUP(I45,Hraci!$A$1:$I$1000,2,0),IF(TYPE(INDIRECT(ADDRESS(ROW() + $A$9-9 + (ROW()-11)*4,2,1,1,"Internet")))&gt;1,INDIRECT(ADDRESS(ROW() + $A$9-9 + (ROW()-11)*4,2,1,1,"Internet"))," "))</f>
        <v xml:space="preserve"> </v>
      </c>
      <c r="K45" s="149" t="str">
        <f ca="1">IF(N(I45)&gt;0,VLOOKUP(I45,Hraci!$A$1:$I$1000,3,0)," ")</f>
        <v xml:space="preserve"> </v>
      </c>
      <c r="L45" s="149" t="str">
        <f ca="1">IF(N(I45)&gt;0,VLOOKUP(I45,Hraci!$A$1:$I$1000,5,0),IF(TYPE(INDIRECT(ADDRESS(ROW() + $A$9-9 + (ROW()-11)*4,3,1,1,"Internet")))&gt;1,INDIRECT(ADDRESS(ROW() + $A$9-9 + (ROW()-11)*4,3,1,1,"Internet"))," "))</f>
        <v xml:space="preserve"> </v>
      </c>
      <c r="M45" s="149">
        <f ca="1">IF(N(I45)=0,9999,VLOOKUP(I45,Hraci!$A$1:$I$1000,8,0))</f>
        <v>9999</v>
      </c>
      <c r="N45" s="150">
        <f ca="1">IF(N(I45)=0,0,VLOOKUP(I45,Hraci!$A$1:$I$1000,9,0))</f>
        <v>0</v>
      </c>
      <c r="O45" s="147" t="str">
        <f t="shared" ca="1" si="24"/>
        <v/>
      </c>
      <c r="P45" s="148" t="str">
        <f ca="1">IF(N(O45)&gt;0,VLOOKUP(O45,Hraci!$A$1:$I$1000,2,0),IF(TYPE(INDIRECT(ADDRESS(ROW() + $A$9-8 + (ROW()-11)*4,2,1,1,"Internet")))&gt;1,INDIRECT(ADDRESS(ROW() + $A$9-8 + (ROW()-11)*4,2,1,1,"Internet"))," "))</f>
        <v xml:space="preserve"> </v>
      </c>
      <c r="Q45" s="149" t="str">
        <f ca="1">IF(N(O45)&gt;0,VLOOKUP(O45,Hraci!$A$1:$I$1000,3,0)," ")</f>
        <v xml:space="preserve"> </v>
      </c>
      <c r="R45" s="149" t="str">
        <f ca="1">IF(N(O45)&gt;0,VLOOKUP(O45,Hraci!$A$1:$I$1000,5,0),IF(TYPE(INDIRECT(ADDRESS(ROW() + $A$9-8 + (ROW()-11)*4,3,1,1,"Internet")))&gt;1,INDIRECT(ADDRESS(ROW() + $A$9-8 + (ROW()-11)*4,3,1,1,"Internet"))," "))</f>
        <v xml:space="preserve"> </v>
      </c>
      <c r="S45" s="149">
        <f ca="1">IF(N(O45)=0,9999,VLOOKUP(O45,Hraci!$A$1:$I$1000,8,0))</f>
        <v>9999</v>
      </c>
      <c r="T45" s="150">
        <f ca="1">IF(N(O45)=0,0,VLOOKUP(O45,Hraci!$A$1:$I$1000,9,0))</f>
        <v>0</v>
      </c>
      <c r="U45" s="147" t="str">
        <f t="shared" ca="1" si="25"/>
        <v/>
      </c>
      <c r="V45" s="148" t="str">
        <f ca="1">IF(N(U45)&gt;0,VLOOKUP(U45,Hraci!$A$1:$I$1000,2,0),IF(TYPE(INDIRECT(ADDRESS(ROW() + $A$9-7 + (ROW()-11)*4,2,1,1,"Internet")))&gt;1,INDIRECT(ADDRESS(ROW() + $A$9-7 + (ROW()-11)*4,2,1,1,"Internet"))," "))</f>
        <v xml:space="preserve"> </v>
      </c>
      <c r="W45" s="149" t="str">
        <f ca="1">IF(N(U45)&gt;0,VLOOKUP(U45,Hraci!$A$1:$I$1000,3,0)," ")</f>
        <v xml:space="preserve"> </v>
      </c>
      <c r="X45" s="149" t="str">
        <f ca="1">IF(N(U45)&gt;0,VLOOKUP(U45,Hraci!$A$1:$I$1000,5,0),IF(TYPE(INDIRECT(ADDRESS(ROW() + $A$9-7 + (ROW()-11)*4,3,1,1,"Internet")))&gt;1,INDIRECT(ADDRESS(ROW() + $A$9-7 + (ROW()-11)*4,3,1,1,"Internet"))," "))</f>
        <v xml:space="preserve"> </v>
      </c>
      <c r="Y45" s="149">
        <f ca="1">IF(N(U45)=0,9999,VLOOKUP(U45,Hraci!$A$1:$I$1000,8,0))</f>
        <v>9999</v>
      </c>
      <c r="Z45" s="150">
        <f ca="1">IF(N(U45)=0,0,VLOOKUP(U45,Hraci!$A$1:$I$1000,9,0))</f>
        <v>0</v>
      </c>
      <c r="AA45" s="147" t="str">
        <f t="shared" ca="1" si="26"/>
        <v/>
      </c>
      <c r="AB45" s="148" t="str">
        <f ca="1">IF(N(AA45)&gt;0,VLOOKUP(AA45,Hraci!$A$1:$I$1000,2,0)," ")</f>
        <v xml:space="preserve"> </v>
      </c>
      <c r="AC45" s="149" t="str">
        <f ca="1">IF(N(AA45)&gt;0,VLOOKUP(AA45,Hraci!$A$1:$I$1000,3,0)," ")</f>
        <v xml:space="preserve"> </v>
      </c>
      <c r="AD45" s="149" t="str">
        <f ca="1">IF(N(AA45)&gt;0,VLOOKUP(AA45,Hraci!$A$1:$I$1000,5,0)," ")</f>
        <v xml:space="preserve"> </v>
      </c>
      <c r="AE45" s="149">
        <f ca="1">IF(N(AA45)=0,9999,VLOOKUP(AA45,Hraci!$A$1:$I$1000,8,0))</f>
        <v>9999</v>
      </c>
      <c r="AF45" s="150">
        <f ca="1">IF(N(AA45)=0,0,VLOOKUP(AA45,Hraci!$A$1:$I$1000,9,0))</f>
        <v>0</v>
      </c>
      <c r="AG45" s="147"/>
      <c r="AH45" s="151">
        <f ca="1">IF(TYPE(VLOOKUP(H45,Nasazení!$A$3:$E$130,5,0))&lt;4,VLOOKUP(H45,Nasazení!$A$3:$E$130,5,0),0)</f>
        <v>0</v>
      </c>
      <c r="AI45" s="152" t="str">
        <f ca="1">IF(N($AH45)&gt;0,VLOOKUP($AH45,Body!$A$4:$F$259,5,0),"")</f>
        <v/>
      </c>
      <c r="AJ45" s="153" t="str">
        <f ca="1">IF(N($AH45)&gt;0,VLOOKUP($AH45,Body!$A$4:$F$259,6,0),"")</f>
        <v/>
      </c>
      <c r="AK45" s="152" t="str">
        <f ca="1">IF(N($AH45)&gt;0,VLOOKUP($AH45,Body!$A$4:$F$259,2,0),"")</f>
        <v/>
      </c>
      <c r="AL45" s="154" t="str">
        <f t="shared" ca="1" si="27"/>
        <v/>
      </c>
      <c r="AM45" s="155">
        <f t="shared" ca="1" si="28"/>
        <v>0</v>
      </c>
      <c r="AN45" s="72">
        <f ca="1">IF(OR(TYPE(I45)&gt;1,TYPE(MATCH(I45,I46:I$203,0))&gt;1),0,MATCH(I45,I46:I$203,0))+IF(OR(TYPE(I45)&gt;1,TYPE(MATCH(I45,O$11:O$203,0))&gt;1),0,MATCH(I45,O$11:O$203,0))+IF(OR(TYPE(I45)&gt;1,TYPE(MATCH(I45,U$11:U$203,0))&gt;1),0,MATCH(I45,U$11:U$203,0))+IF(OR(TYPE(I45)&gt;1,TYPE(MATCH(I45,AA$11:AA$203,0))&gt;1),0,MATCH(I45,AA$11:AA$203,0))</f>
        <v>0</v>
      </c>
      <c r="AO45" s="72">
        <f ca="1">IF(OR(TYPE(O45)&gt;1,TYPE(MATCH(O45,I$11:I$203,0))&gt;1),0,MATCH(O45,I$11:I$203,0))+IF(OR(TYPE(O45)&gt;1,TYPE(MATCH(O45,O46:O$203,0))&gt;1),0,MATCH(O45,O46:O$203,0))+IF(OR(TYPE(O45)&gt;1,TYPE(MATCH(O45,U$11:U$203,0))&gt;1),0,MATCH(O45,U$11:U$203,0))+IF(OR(TYPE(O45)&gt;1,TYPE(MATCH(O45,AA$11:AA$203,0))&gt;1),0,MATCH(O45,AA$11:AA$203,0))</f>
        <v>0</v>
      </c>
      <c r="AP45" s="72">
        <f ca="1">IF(OR(TYPE(U45)&gt;1,TYPE(MATCH(U45,I$11:I$203,0))&gt;1),0,MATCH(U45,I$11:I$203,0))+IF(OR(TYPE(U45)&gt;1,TYPE(MATCH(U45,O$11:O$203,0))&gt;1),0,MATCH(U45,O$11:O$203,0))+IF(OR(TYPE(U45)&gt;1,TYPE(MATCH(U45,U46:U$203,0))&gt;1),0,MATCH(U45,U46:U$203,0))+IF(OR(TYPE(U45)&gt;1,TYPE(MATCH(U45,AA$11:AA$203,0))&gt;1),0,MATCH(U45,AA$11:AA$203,0))</f>
        <v>0</v>
      </c>
      <c r="AQ45" s="72">
        <f ca="1">IF(OR(TYPE(AA45)&gt;1,TYPE(MATCH(AA45,I$11:I$203,0))&gt;1),0,MATCH(AA45,I$11:I$203,0))+IF(OR(TYPE(AA45)&gt;1,TYPE(MATCH(AA45,O$11:O$203,0))&gt;1),0,MATCH(AA45,O$11:O$203,0))+IF(OR(TYPE(AA45)&gt;1,TYPE(MATCH(AA45,U$11:U$203,0))&gt;1),0,MATCH(U45,U$11:U$203,0))+IF(OR(TYPE(AA45)&gt;1,TYPE(MATCH(AA45,AA46:AA$203,0))&gt;1),0,MATCH(AA45,AA46:AA$203,0))</f>
        <v>0</v>
      </c>
      <c r="AR45" s="72">
        <f t="shared" ca="1" si="29"/>
        <v>0</v>
      </c>
    </row>
    <row r="46" spans="1:44" ht="14.25">
      <c r="A46" s="103">
        <f t="shared" ca="1" si="15"/>
        <v>0</v>
      </c>
      <c r="B46" s="103">
        <f t="shared" ca="1" si="16"/>
        <v>0</v>
      </c>
      <c r="C46" s="156">
        <f t="shared" ca="1" si="17"/>
        <v>0</v>
      </c>
      <c r="D46" s="103">
        <f t="shared" ca="1" si="18"/>
        <v>99999</v>
      </c>
      <c r="E46" s="103">
        <f t="shared" ca="1" si="19"/>
        <v>9999</v>
      </c>
      <c r="F46" s="104" t="str">
        <f t="shared" ca="1" si="20"/>
        <v>00000000000000000000557685</v>
      </c>
      <c r="G46" s="145">
        <f t="shared" ca="1" si="21"/>
        <v>1</v>
      </c>
      <c r="H46" s="146">
        <f t="shared" si="22"/>
        <v>36</v>
      </c>
      <c r="I46" s="147" t="str">
        <f t="shared" ca="1" si="23"/>
        <v/>
      </c>
      <c r="J46" s="148" t="str">
        <f ca="1">IF(N(I46)&gt;0,VLOOKUP(I46,Hraci!$A$1:$I$1000,2,0),IF(TYPE(INDIRECT(ADDRESS(ROW() + $A$9-9 + (ROW()-11)*4,2,1,1,"Internet")))&gt;1,INDIRECT(ADDRESS(ROW() + $A$9-9 + (ROW()-11)*4,2,1,1,"Internet"))," "))</f>
        <v xml:space="preserve"> </v>
      </c>
      <c r="K46" s="149" t="str">
        <f ca="1">IF(N(I46)&gt;0,VLOOKUP(I46,Hraci!$A$1:$I$1000,3,0)," ")</f>
        <v xml:space="preserve"> </v>
      </c>
      <c r="L46" s="149" t="str">
        <f ca="1">IF(N(I46)&gt;0,VLOOKUP(I46,Hraci!$A$1:$I$1000,5,0),IF(TYPE(INDIRECT(ADDRESS(ROW() + $A$9-9 + (ROW()-11)*4,3,1,1,"Internet")))&gt;1,INDIRECT(ADDRESS(ROW() + $A$9-9 + (ROW()-11)*4,3,1,1,"Internet"))," "))</f>
        <v xml:space="preserve"> </v>
      </c>
      <c r="M46" s="149">
        <f ca="1">IF(N(I46)=0,9999,VLOOKUP(I46,Hraci!$A$1:$I$1000,8,0))</f>
        <v>9999</v>
      </c>
      <c r="N46" s="150">
        <f ca="1">IF(N(I46)=0,0,VLOOKUP(I46,Hraci!$A$1:$I$1000,9,0))</f>
        <v>0</v>
      </c>
      <c r="O46" s="147" t="str">
        <f t="shared" ca="1" si="24"/>
        <v/>
      </c>
      <c r="P46" s="148" t="str">
        <f ca="1">IF(N(O46)&gt;0,VLOOKUP(O46,Hraci!$A$1:$I$1000,2,0),IF(TYPE(INDIRECT(ADDRESS(ROW() + $A$9-8 + (ROW()-11)*4,2,1,1,"Internet")))&gt;1,INDIRECT(ADDRESS(ROW() + $A$9-8 + (ROW()-11)*4,2,1,1,"Internet"))," "))</f>
        <v xml:space="preserve"> </v>
      </c>
      <c r="Q46" s="149" t="str">
        <f ca="1">IF(N(O46)&gt;0,VLOOKUP(O46,Hraci!$A$1:$I$1000,3,0)," ")</f>
        <v xml:space="preserve"> </v>
      </c>
      <c r="R46" s="149" t="str">
        <f ca="1">IF(N(O46)&gt;0,VLOOKUP(O46,Hraci!$A$1:$I$1000,5,0),IF(TYPE(INDIRECT(ADDRESS(ROW() + $A$9-8 + (ROW()-11)*4,3,1,1,"Internet")))&gt;1,INDIRECT(ADDRESS(ROW() + $A$9-8 + (ROW()-11)*4,3,1,1,"Internet"))," "))</f>
        <v xml:space="preserve"> </v>
      </c>
      <c r="S46" s="149">
        <f ca="1">IF(N(O46)=0,9999,VLOOKUP(O46,Hraci!$A$1:$I$1000,8,0))</f>
        <v>9999</v>
      </c>
      <c r="T46" s="150">
        <f ca="1">IF(N(O46)=0,0,VLOOKUP(O46,Hraci!$A$1:$I$1000,9,0))</f>
        <v>0</v>
      </c>
      <c r="U46" s="147" t="str">
        <f t="shared" ca="1" si="25"/>
        <v/>
      </c>
      <c r="V46" s="148" t="str">
        <f ca="1">IF(N(U46)&gt;0,VLOOKUP(U46,Hraci!$A$1:$I$1000,2,0),IF(TYPE(INDIRECT(ADDRESS(ROW() + $A$9-7 + (ROW()-11)*4,2,1,1,"Internet")))&gt;1,INDIRECT(ADDRESS(ROW() + $A$9-7 + (ROW()-11)*4,2,1,1,"Internet"))," "))</f>
        <v xml:space="preserve"> </v>
      </c>
      <c r="W46" s="149" t="str">
        <f ca="1">IF(N(U46)&gt;0,VLOOKUP(U46,Hraci!$A$1:$I$1000,3,0)," ")</f>
        <v xml:space="preserve"> </v>
      </c>
      <c r="X46" s="149" t="str">
        <f ca="1">IF(N(U46)&gt;0,VLOOKUP(U46,Hraci!$A$1:$I$1000,5,0),IF(TYPE(INDIRECT(ADDRESS(ROW() + $A$9-7 + (ROW()-11)*4,3,1,1,"Internet")))&gt;1,INDIRECT(ADDRESS(ROW() + $A$9-7 + (ROW()-11)*4,3,1,1,"Internet"))," "))</f>
        <v xml:space="preserve"> </v>
      </c>
      <c r="Y46" s="149">
        <f ca="1">IF(N(U46)=0,9999,VLOOKUP(U46,Hraci!$A$1:$I$1000,8,0))</f>
        <v>9999</v>
      </c>
      <c r="Z46" s="150">
        <f ca="1">IF(N(U46)=0,0,VLOOKUP(U46,Hraci!$A$1:$I$1000,9,0))</f>
        <v>0</v>
      </c>
      <c r="AA46" s="147" t="str">
        <f t="shared" ca="1" si="26"/>
        <v/>
      </c>
      <c r="AB46" s="148" t="str">
        <f ca="1">IF(N(AA46)&gt;0,VLOOKUP(AA46,Hraci!$A$1:$I$1000,2,0)," ")</f>
        <v xml:space="preserve"> </v>
      </c>
      <c r="AC46" s="149" t="str">
        <f ca="1">IF(N(AA46)&gt;0,VLOOKUP(AA46,Hraci!$A$1:$I$1000,3,0)," ")</f>
        <v xml:space="preserve"> </v>
      </c>
      <c r="AD46" s="149" t="str">
        <f ca="1">IF(N(AA46)&gt;0,VLOOKUP(AA46,Hraci!$A$1:$I$1000,5,0)," ")</f>
        <v xml:space="preserve"> </v>
      </c>
      <c r="AE46" s="149">
        <f ca="1">IF(N(AA46)=0,9999,VLOOKUP(AA46,Hraci!$A$1:$I$1000,8,0))</f>
        <v>9999</v>
      </c>
      <c r="AF46" s="150">
        <f ca="1">IF(N(AA46)=0,0,VLOOKUP(AA46,Hraci!$A$1:$I$1000,9,0))</f>
        <v>0</v>
      </c>
      <c r="AG46" s="147"/>
      <c r="AH46" s="151">
        <f ca="1">IF(TYPE(VLOOKUP(H46,Nasazení!$A$3:$E$130,5,0))&lt;4,VLOOKUP(H46,Nasazení!$A$3:$E$130,5,0),0)</f>
        <v>0</v>
      </c>
      <c r="AI46" s="152" t="str">
        <f ca="1">IF(N($AH46)&gt;0,VLOOKUP($AH46,Body!$A$4:$F$259,5,0),"")</f>
        <v/>
      </c>
      <c r="AJ46" s="153" t="str">
        <f ca="1">IF(N($AH46)&gt;0,VLOOKUP($AH46,Body!$A$4:$F$259,6,0),"")</f>
        <v/>
      </c>
      <c r="AK46" s="152" t="str">
        <f ca="1">IF(N($AH46)&gt;0,VLOOKUP($AH46,Body!$A$4:$F$259,2,0),"")</f>
        <v/>
      </c>
      <c r="AL46" s="154" t="str">
        <f t="shared" ca="1" si="27"/>
        <v/>
      </c>
      <c r="AM46" s="155">
        <f t="shared" ca="1" si="28"/>
        <v>0</v>
      </c>
      <c r="AN46" s="72">
        <f ca="1">IF(OR(TYPE(I46)&gt;1,TYPE(MATCH(I46,I47:I$203,0))&gt;1),0,MATCH(I46,I47:I$203,0))+IF(OR(TYPE(I46)&gt;1,TYPE(MATCH(I46,O$11:O$203,0))&gt;1),0,MATCH(I46,O$11:O$203,0))+IF(OR(TYPE(I46)&gt;1,TYPE(MATCH(I46,U$11:U$203,0))&gt;1),0,MATCH(I46,U$11:U$203,0))+IF(OR(TYPE(I46)&gt;1,TYPE(MATCH(I46,AA$11:AA$203,0))&gt;1),0,MATCH(I46,AA$11:AA$203,0))</f>
        <v>0</v>
      </c>
      <c r="AO46" s="72">
        <f ca="1">IF(OR(TYPE(O46)&gt;1,TYPE(MATCH(O46,I$11:I$203,0))&gt;1),0,MATCH(O46,I$11:I$203,0))+IF(OR(TYPE(O46)&gt;1,TYPE(MATCH(O46,O47:O$203,0))&gt;1),0,MATCH(O46,O47:O$203,0))+IF(OR(TYPE(O46)&gt;1,TYPE(MATCH(O46,U$11:U$203,0))&gt;1),0,MATCH(O46,U$11:U$203,0))+IF(OR(TYPE(O46)&gt;1,TYPE(MATCH(O46,AA$11:AA$203,0))&gt;1),0,MATCH(O46,AA$11:AA$203,0))</f>
        <v>0</v>
      </c>
      <c r="AP46" s="72">
        <f ca="1">IF(OR(TYPE(U46)&gt;1,TYPE(MATCH(U46,I$11:I$203,0))&gt;1),0,MATCH(U46,I$11:I$203,0))+IF(OR(TYPE(U46)&gt;1,TYPE(MATCH(U46,O$11:O$203,0))&gt;1),0,MATCH(U46,O$11:O$203,0))+IF(OR(TYPE(U46)&gt;1,TYPE(MATCH(U46,U47:U$203,0))&gt;1),0,MATCH(U46,U47:U$203,0))+IF(OR(TYPE(U46)&gt;1,TYPE(MATCH(U46,AA$11:AA$203,0))&gt;1),0,MATCH(U46,AA$11:AA$203,0))</f>
        <v>0</v>
      </c>
      <c r="AQ46" s="72">
        <f ca="1">IF(OR(TYPE(AA46)&gt;1,TYPE(MATCH(AA46,I$11:I$203,0))&gt;1),0,MATCH(AA46,I$11:I$203,0))+IF(OR(TYPE(AA46)&gt;1,TYPE(MATCH(AA46,O$11:O$203,0))&gt;1),0,MATCH(AA46,O$11:O$203,0))+IF(OR(TYPE(AA46)&gt;1,TYPE(MATCH(AA46,U$11:U$203,0))&gt;1),0,MATCH(U46,U$11:U$203,0))+IF(OR(TYPE(AA46)&gt;1,TYPE(MATCH(AA46,AA47:AA$203,0))&gt;1),0,MATCH(AA46,AA47:AA$203,0))</f>
        <v>0</v>
      </c>
      <c r="AR46" s="72">
        <f t="shared" ca="1" si="29"/>
        <v>0</v>
      </c>
    </row>
    <row r="47" spans="1:44" ht="14.25">
      <c r="A47" s="103">
        <f t="shared" ca="1" si="15"/>
        <v>0</v>
      </c>
      <c r="B47" s="103">
        <f t="shared" ca="1" si="16"/>
        <v>0</v>
      </c>
      <c r="C47" s="156">
        <f t="shared" ca="1" si="17"/>
        <v>0</v>
      </c>
      <c r="D47" s="103">
        <f t="shared" ca="1" si="18"/>
        <v>99999</v>
      </c>
      <c r="E47" s="103">
        <f t="shared" ca="1" si="19"/>
        <v>9999</v>
      </c>
      <c r="F47" s="104" t="str">
        <f t="shared" ca="1" si="20"/>
        <v>00000000000000000000366798</v>
      </c>
      <c r="G47" s="145">
        <f t="shared" ca="1" si="21"/>
        <v>1</v>
      </c>
      <c r="H47" s="146">
        <f t="shared" si="22"/>
        <v>37</v>
      </c>
      <c r="I47" s="147" t="str">
        <f t="shared" ca="1" si="23"/>
        <v/>
      </c>
      <c r="J47" s="148" t="str">
        <f ca="1">IF(N(I47)&gt;0,VLOOKUP(I47,Hraci!$A$1:$I$1000,2,0),IF(TYPE(INDIRECT(ADDRESS(ROW() + $A$9-9 + (ROW()-11)*4,2,1,1,"Internet")))&gt;1,INDIRECT(ADDRESS(ROW() + $A$9-9 + (ROW()-11)*4,2,1,1,"Internet"))," "))</f>
        <v xml:space="preserve"> </v>
      </c>
      <c r="K47" s="149" t="str">
        <f ca="1">IF(N(I47)&gt;0,VLOOKUP(I47,Hraci!$A$1:$I$1000,3,0)," ")</f>
        <v xml:space="preserve"> </v>
      </c>
      <c r="L47" s="149" t="str">
        <f ca="1">IF(N(I47)&gt;0,VLOOKUP(I47,Hraci!$A$1:$I$1000,5,0),IF(TYPE(INDIRECT(ADDRESS(ROW() + $A$9-9 + (ROW()-11)*4,3,1,1,"Internet")))&gt;1,INDIRECT(ADDRESS(ROW() + $A$9-9 + (ROW()-11)*4,3,1,1,"Internet"))," "))</f>
        <v xml:space="preserve"> </v>
      </c>
      <c r="M47" s="149">
        <f ca="1">IF(N(I47)=0,9999,VLOOKUP(I47,Hraci!$A$1:$I$1000,8,0))</f>
        <v>9999</v>
      </c>
      <c r="N47" s="150">
        <f ca="1">IF(N(I47)=0,0,VLOOKUP(I47,Hraci!$A$1:$I$1000,9,0))</f>
        <v>0</v>
      </c>
      <c r="O47" s="147" t="str">
        <f t="shared" ca="1" si="24"/>
        <v/>
      </c>
      <c r="P47" s="148" t="str">
        <f ca="1">IF(N(O47)&gt;0,VLOOKUP(O47,Hraci!$A$1:$I$1000,2,0),IF(TYPE(INDIRECT(ADDRESS(ROW() + $A$9-8 + (ROW()-11)*4,2,1,1,"Internet")))&gt;1,INDIRECT(ADDRESS(ROW() + $A$9-8 + (ROW()-11)*4,2,1,1,"Internet"))," "))</f>
        <v xml:space="preserve"> </v>
      </c>
      <c r="Q47" s="149" t="str">
        <f ca="1">IF(N(O47)&gt;0,VLOOKUP(O47,Hraci!$A$1:$I$1000,3,0)," ")</f>
        <v xml:space="preserve"> </v>
      </c>
      <c r="R47" s="149" t="str">
        <f ca="1">IF(N(O47)&gt;0,VLOOKUP(O47,Hraci!$A$1:$I$1000,5,0),IF(TYPE(INDIRECT(ADDRESS(ROW() + $A$9-8 + (ROW()-11)*4,3,1,1,"Internet")))&gt;1,INDIRECT(ADDRESS(ROW() + $A$9-8 + (ROW()-11)*4,3,1,1,"Internet"))," "))</f>
        <v xml:space="preserve"> </v>
      </c>
      <c r="S47" s="149">
        <f ca="1">IF(N(O47)=0,9999,VLOOKUP(O47,Hraci!$A$1:$I$1000,8,0))</f>
        <v>9999</v>
      </c>
      <c r="T47" s="150">
        <f ca="1">IF(N(O47)=0,0,VLOOKUP(O47,Hraci!$A$1:$I$1000,9,0))</f>
        <v>0</v>
      </c>
      <c r="U47" s="147" t="str">
        <f t="shared" ca="1" si="25"/>
        <v/>
      </c>
      <c r="V47" s="148" t="str">
        <f ca="1">IF(N(U47)&gt;0,VLOOKUP(U47,Hraci!$A$1:$I$1000,2,0),IF(TYPE(INDIRECT(ADDRESS(ROW() + $A$9-7 + (ROW()-11)*4,2,1,1,"Internet")))&gt;1,INDIRECT(ADDRESS(ROW() + $A$9-7 + (ROW()-11)*4,2,1,1,"Internet"))," "))</f>
        <v xml:space="preserve"> </v>
      </c>
      <c r="W47" s="149" t="str">
        <f ca="1">IF(N(U47)&gt;0,VLOOKUP(U47,Hraci!$A$1:$I$1000,3,0)," ")</f>
        <v xml:space="preserve"> </v>
      </c>
      <c r="X47" s="149" t="str">
        <f ca="1">IF(N(U47)&gt;0,VLOOKUP(U47,Hraci!$A$1:$I$1000,5,0),IF(TYPE(INDIRECT(ADDRESS(ROW() + $A$9-7 + (ROW()-11)*4,3,1,1,"Internet")))&gt;1,INDIRECT(ADDRESS(ROW() + $A$9-7 + (ROW()-11)*4,3,1,1,"Internet"))," "))</f>
        <v xml:space="preserve"> </v>
      </c>
      <c r="Y47" s="149">
        <f ca="1">IF(N(U47)=0,9999,VLOOKUP(U47,Hraci!$A$1:$I$1000,8,0))</f>
        <v>9999</v>
      </c>
      <c r="Z47" s="150">
        <f ca="1">IF(N(U47)=0,0,VLOOKUP(U47,Hraci!$A$1:$I$1000,9,0))</f>
        <v>0</v>
      </c>
      <c r="AA47" s="147" t="str">
        <f t="shared" ca="1" si="26"/>
        <v/>
      </c>
      <c r="AB47" s="148" t="str">
        <f ca="1">IF(N(AA47)&gt;0,VLOOKUP(AA47,Hraci!$A$1:$I$1000,2,0)," ")</f>
        <v xml:space="preserve"> </v>
      </c>
      <c r="AC47" s="149" t="str">
        <f ca="1">IF(N(AA47)&gt;0,VLOOKUP(AA47,Hraci!$A$1:$I$1000,3,0)," ")</f>
        <v xml:space="preserve"> </v>
      </c>
      <c r="AD47" s="149" t="str">
        <f ca="1">IF(N(AA47)&gt;0,VLOOKUP(AA47,Hraci!$A$1:$I$1000,5,0)," ")</f>
        <v xml:space="preserve"> </v>
      </c>
      <c r="AE47" s="149">
        <f ca="1">IF(N(AA47)=0,9999,VLOOKUP(AA47,Hraci!$A$1:$I$1000,8,0))</f>
        <v>9999</v>
      </c>
      <c r="AF47" s="150">
        <f ca="1">IF(N(AA47)=0,0,VLOOKUP(AA47,Hraci!$A$1:$I$1000,9,0))</f>
        <v>0</v>
      </c>
      <c r="AG47" s="147"/>
      <c r="AH47" s="151">
        <f ca="1">IF(TYPE(VLOOKUP(H47,Nasazení!$A$3:$E$130,5,0))&lt;4,VLOOKUP(H47,Nasazení!$A$3:$E$130,5,0),0)</f>
        <v>0</v>
      </c>
      <c r="AI47" s="152" t="str">
        <f ca="1">IF(N($AH47)&gt;0,VLOOKUP($AH47,Body!$A$4:$F$259,5,0),"")</f>
        <v/>
      </c>
      <c r="AJ47" s="153" t="str">
        <f ca="1">IF(N($AH47)&gt;0,VLOOKUP($AH47,Body!$A$4:$F$259,6,0),"")</f>
        <v/>
      </c>
      <c r="AK47" s="152" t="str">
        <f ca="1">IF(N($AH47)&gt;0,VLOOKUP($AH47,Body!$A$4:$F$259,2,0),"")</f>
        <v/>
      </c>
      <c r="AL47" s="154" t="str">
        <f t="shared" ca="1" si="27"/>
        <v/>
      </c>
      <c r="AM47" s="155">
        <f t="shared" ca="1" si="28"/>
        <v>0</v>
      </c>
      <c r="AN47" s="72">
        <f ca="1">IF(OR(TYPE(I47)&gt;1,TYPE(MATCH(I47,I48:I$203,0))&gt;1),0,MATCH(I47,I48:I$203,0))+IF(OR(TYPE(I47)&gt;1,TYPE(MATCH(I47,O$11:O$203,0))&gt;1),0,MATCH(I47,O$11:O$203,0))+IF(OR(TYPE(I47)&gt;1,TYPE(MATCH(I47,U$11:U$203,0))&gt;1),0,MATCH(I47,U$11:U$203,0))+IF(OR(TYPE(I47)&gt;1,TYPE(MATCH(I47,AA$11:AA$203,0))&gt;1),0,MATCH(I47,AA$11:AA$203,0))</f>
        <v>0</v>
      </c>
      <c r="AO47" s="72">
        <f ca="1">IF(OR(TYPE(O47)&gt;1,TYPE(MATCH(O47,I$11:I$203,0))&gt;1),0,MATCH(O47,I$11:I$203,0))+IF(OR(TYPE(O47)&gt;1,TYPE(MATCH(O47,O48:O$203,0))&gt;1),0,MATCH(O47,O48:O$203,0))+IF(OR(TYPE(O47)&gt;1,TYPE(MATCH(O47,U$11:U$203,0))&gt;1),0,MATCH(O47,U$11:U$203,0))+IF(OR(TYPE(O47)&gt;1,TYPE(MATCH(O47,AA$11:AA$203,0))&gt;1),0,MATCH(O47,AA$11:AA$203,0))</f>
        <v>0</v>
      </c>
      <c r="AP47" s="72">
        <f ca="1">IF(OR(TYPE(U47)&gt;1,TYPE(MATCH(U47,I$11:I$203,0))&gt;1),0,MATCH(U47,I$11:I$203,0))+IF(OR(TYPE(U47)&gt;1,TYPE(MATCH(U47,O$11:O$203,0))&gt;1),0,MATCH(U47,O$11:O$203,0))+IF(OR(TYPE(U47)&gt;1,TYPE(MATCH(U47,U48:U$203,0))&gt;1),0,MATCH(U47,U48:U$203,0))+IF(OR(TYPE(U47)&gt;1,TYPE(MATCH(U47,AA$11:AA$203,0))&gt;1),0,MATCH(U47,AA$11:AA$203,0))</f>
        <v>0</v>
      </c>
      <c r="AQ47" s="72">
        <f ca="1">IF(OR(TYPE(AA47)&gt;1,TYPE(MATCH(AA47,I$11:I$203,0))&gt;1),0,MATCH(AA47,I$11:I$203,0))+IF(OR(TYPE(AA47)&gt;1,TYPE(MATCH(AA47,O$11:O$203,0))&gt;1),0,MATCH(AA47,O$11:O$203,0))+IF(OR(TYPE(AA47)&gt;1,TYPE(MATCH(AA47,U$11:U$203,0))&gt;1),0,MATCH(U47,U$11:U$203,0))+IF(OR(TYPE(AA47)&gt;1,TYPE(MATCH(AA47,AA48:AA$203,0))&gt;1),0,MATCH(AA47,AA48:AA$203,0))</f>
        <v>0</v>
      </c>
      <c r="AR47" s="72">
        <f t="shared" ca="1" si="29"/>
        <v>0</v>
      </c>
    </row>
    <row r="48" spans="1:44" ht="14.25">
      <c r="A48" s="103">
        <f t="shared" ca="1" si="15"/>
        <v>0</v>
      </c>
      <c r="B48" s="103">
        <f t="shared" ca="1" si="16"/>
        <v>0</v>
      </c>
      <c r="C48" s="156">
        <f t="shared" ca="1" si="17"/>
        <v>0</v>
      </c>
      <c r="D48" s="103">
        <f t="shared" ca="1" si="18"/>
        <v>99999</v>
      </c>
      <c r="E48" s="103">
        <f t="shared" ca="1" si="19"/>
        <v>9999</v>
      </c>
      <c r="F48" s="104" t="str">
        <f t="shared" ca="1" si="20"/>
        <v>00000000000000000000038432</v>
      </c>
      <c r="G48" s="145">
        <f t="shared" ca="1" si="21"/>
        <v>1</v>
      </c>
      <c r="H48" s="146">
        <f t="shared" si="22"/>
        <v>38</v>
      </c>
      <c r="I48" s="147" t="str">
        <f t="shared" ca="1" si="23"/>
        <v/>
      </c>
      <c r="J48" s="148" t="str">
        <f ca="1">IF(N(I48)&gt;0,VLOOKUP(I48,Hraci!$A$1:$I$1000,2,0),IF(TYPE(INDIRECT(ADDRESS(ROW() + $A$9-9 + (ROW()-11)*4,2,1,1,"Internet")))&gt;1,INDIRECT(ADDRESS(ROW() + $A$9-9 + (ROW()-11)*4,2,1,1,"Internet"))," "))</f>
        <v xml:space="preserve"> </v>
      </c>
      <c r="K48" s="149" t="str">
        <f ca="1">IF(N(I48)&gt;0,VLOOKUP(I48,Hraci!$A$1:$I$1000,3,0)," ")</f>
        <v xml:space="preserve"> </v>
      </c>
      <c r="L48" s="149" t="str">
        <f ca="1">IF(N(I48)&gt;0,VLOOKUP(I48,Hraci!$A$1:$I$1000,5,0),IF(TYPE(INDIRECT(ADDRESS(ROW() + $A$9-9 + (ROW()-11)*4,3,1,1,"Internet")))&gt;1,INDIRECT(ADDRESS(ROW() + $A$9-9 + (ROW()-11)*4,3,1,1,"Internet"))," "))</f>
        <v xml:space="preserve"> </v>
      </c>
      <c r="M48" s="149">
        <f ca="1">IF(N(I48)=0,9999,VLOOKUP(I48,Hraci!$A$1:$I$1000,8,0))</f>
        <v>9999</v>
      </c>
      <c r="N48" s="150">
        <f ca="1">IF(N(I48)=0,0,VLOOKUP(I48,Hraci!$A$1:$I$1000,9,0))</f>
        <v>0</v>
      </c>
      <c r="O48" s="147" t="str">
        <f t="shared" ca="1" si="24"/>
        <v/>
      </c>
      <c r="P48" s="148" t="str">
        <f ca="1">IF(N(O48)&gt;0,VLOOKUP(O48,Hraci!$A$1:$I$1000,2,0),IF(TYPE(INDIRECT(ADDRESS(ROW() + $A$9-8 + (ROW()-11)*4,2,1,1,"Internet")))&gt;1,INDIRECT(ADDRESS(ROW() + $A$9-8 + (ROW()-11)*4,2,1,1,"Internet"))," "))</f>
        <v xml:space="preserve"> </v>
      </c>
      <c r="Q48" s="149" t="str">
        <f ca="1">IF(N(O48)&gt;0,VLOOKUP(O48,Hraci!$A$1:$I$1000,3,0)," ")</f>
        <v xml:space="preserve"> </v>
      </c>
      <c r="R48" s="149" t="str">
        <f ca="1">IF(N(O48)&gt;0,VLOOKUP(O48,Hraci!$A$1:$I$1000,5,0),IF(TYPE(INDIRECT(ADDRESS(ROW() + $A$9-8 + (ROW()-11)*4,3,1,1,"Internet")))&gt;1,INDIRECT(ADDRESS(ROW() + $A$9-8 + (ROW()-11)*4,3,1,1,"Internet"))," "))</f>
        <v xml:space="preserve"> </v>
      </c>
      <c r="S48" s="149">
        <f ca="1">IF(N(O48)=0,9999,VLOOKUP(O48,Hraci!$A$1:$I$1000,8,0))</f>
        <v>9999</v>
      </c>
      <c r="T48" s="150">
        <f ca="1">IF(N(O48)=0,0,VLOOKUP(O48,Hraci!$A$1:$I$1000,9,0))</f>
        <v>0</v>
      </c>
      <c r="U48" s="147" t="str">
        <f t="shared" ca="1" si="25"/>
        <v/>
      </c>
      <c r="V48" s="148" t="str">
        <f ca="1">IF(N(U48)&gt;0,VLOOKUP(U48,Hraci!$A$1:$I$1000,2,0),IF(TYPE(INDIRECT(ADDRESS(ROW() + $A$9-7 + (ROW()-11)*4,2,1,1,"Internet")))&gt;1,INDIRECT(ADDRESS(ROW() + $A$9-7 + (ROW()-11)*4,2,1,1,"Internet"))," "))</f>
        <v xml:space="preserve"> </v>
      </c>
      <c r="W48" s="149" t="str">
        <f ca="1">IF(N(U48)&gt;0,VLOOKUP(U48,Hraci!$A$1:$I$1000,3,0)," ")</f>
        <v xml:space="preserve"> </v>
      </c>
      <c r="X48" s="149" t="str">
        <f ca="1">IF(N(U48)&gt;0,VLOOKUP(U48,Hraci!$A$1:$I$1000,5,0),IF(TYPE(INDIRECT(ADDRESS(ROW() + $A$9-7 + (ROW()-11)*4,3,1,1,"Internet")))&gt;1,INDIRECT(ADDRESS(ROW() + $A$9-7 + (ROW()-11)*4,3,1,1,"Internet"))," "))</f>
        <v xml:space="preserve"> </v>
      </c>
      <c r="Y48" s="149">
        <f ca="1">IF(N(U48)=0,9999,VLOOKUP(U48,Hraci!$A$1:$I$1000,8,0))</f>
        <v>9999</v>
      </c>
      <c r="Z48" s="150">
        <f ca="1">IF(N(U48)=0,0,VLOOKUP(U48,Hraci!$A$1:$I$1000,9,0))</f>
        <v>0</v>
      </c>
      <c r="AA48" s="147" t="str">
        <f t="shared" ca="1" si="26"/>
        <v/>
      </c>
      <c r="AB48" s="148" t="str">
        <f ca="1">IF(N(AA48)&gt;0,VLOOKUP(AA48,Hraci!$A$1:$I$1000,2,0)," ")</f>
        <v xml:space="preserve"> </v>
      </c>
      <c r="AC48" s="149" t="str">
        <f ca="1">IF(N(AA48)&gt;0,VLOOKUP(AA48,Hraci!$A$1:$I$1000,3,0)," ")</f>
        <v xml:space="preserve"> </v>
      </c>
      <c r="AD48" s="149" t="str">
        <f ca="1">IF(N(AA48)&gt;0,VLOOKUP(AA48,Hraci!$A$1:$I$1000,5,0)," ")</f>
        <v xml:space="preserve"> </v>
      </c>
      <c r="AE48" s="149">
        <f ca="1">IF(N(AA48)=0,9999,VLOOKUP(AA48,Hraci!$A$1:$I$1000,8,0))</f>
        <v>9999</v>
      </c>
      <c r="AF48" s="150">
        <f ca="1">IF(N(AA48)=0,0,VLOOKUP(AA48,Hraci!$A$1:$I$1000,9,0))</f>
        <v>0</v>
      </c>
      <c r="AG48" s="147"/>
      <c r="AH48" s="151">
        <f ca="1">IF(TYPE(VLOOKUP(H48,Nasazení!$A$3:$E$130,5,0))&lt;4,VLOOKUP(H48,Nasazení!$A$3:$E$130,5,0),0)</f>
        <v>0</v>
      </c>
      <c r="AI48" s="152" t="str">
        <f ca="1">IF(N($AH48)&gt;0,VLOOKUP($AH48,Body!$A$4:$F$259,5,0),"")</f>
        <v/>
      </c>
      <c r="AJ48" s="153" t="str">
        <f ca="1">IF(N($AH48)&gt;0,VLOOKUP($AH48,Body!$A$4:$F$259,6,0),"")</f>
        <v/>
      </c>
      <c r="AK48" s="152" t="str">
        <f ca="1">IF(N($AH48)&gt;0,VLOOKUP($AH48,Body!$A$4:$F$259,2,0),"")</f>
        <v/>
      </c>
      <c r="AL48" s="154" t="str">
        <f t="shared" ca="1" si="27"/>
        <v/>
      </c>
      <c r="AM48" s="155">
        <f t="shared" ca="1" si="28"/>
        <v>0</v>
      </c>
      <c r="AN48" s="72">
        <f ca="1">IF(OR(TYPE(I48)&gt;1,TYPE(MATCH(I48,I49:I$203,0))&gt;1),0,MATCH(I48,I49:I$203,0))+IF(OR(TYPE(I48)&gt;1,TYPE(MATCH(I48,O$11:O$203,0))&gt;1),0,MATCH(I48,O$11:O$203,0))+IF(OR(TYPE(I48)&gt;1,TYPE(MATCH(I48,U$11:U$203,0))&gt;1),0,MATCH(I48,U$11:U$203,0))+IF(OR(TYPE(I48)&gt;1,TYPE(MATCH(I48,AA$11:AA$203,0))&gt;1),0,MATCH(I48,AA$11:AA$203,0))</f>
        <v>0</v>
      </c>
      <c r="AO48" s="72">
        <f ca="1">IF(OR(TYPE(O48)&gt;1,TYPE(MATCH(O48,I$11:I$203,0))&gt;1),0,MATCH(O48,I$11:I$203,0))+IF(OR(TYPE(O48)&gt;1,TYPE(MATCH(O48,O49:O$203,0))&gt;1),0,MATCH(O48,O49:O$203,0))+IF(OR(TYPE(O48)&gt;1,TYPE(MATCH(O48,U$11:U$203,0))&gt;1),0,MATCH(O48,U$11:U$203,0))+IF(OR(TYPE(O48)&gt;1,TYPE(MATCH(O48,AA$11:AA$203,0))&gt;1),0,MATCH(O48,AA$11:AA$203,0))</f>
        <v>0</v>
      </c>
      <c r="AP48" s="72">
        <f ca="1">IF(OR(TYPE(U48)&gt;1,TYPE(MATCH(U48,I$11:I$203,0))&gt;1),0,MATCH(U48,I$11:I$203,0))+IF(OR(TYPE(U48)&gt;1,TYPE(MATCH(U48,O$11:O$203,0))&gt;1),0,MATCH(U48,O$11:O$203,0))+IF(OR(TYPE(U48)&gt;1,TYPE(MATCH(U48,U49:U$203,0))&gt;1),0,MATCH(U48,U49:U$203,0))+IF(OR(TYPE(U48)&gt;1,TYPE(MATCH(U48,AA$11:AA$203,0))&gt;1),0,MATCH(U48,AA$11:AA$203,0))</f>
        <v>0</v>
      </c>
      <c r="AQ48" s="72">
        <f ca="1">IF(OR(TYPE(AA48)&gt;1,TYPE(MATCH(AA48,I$11:I$203,0))&gt;1),0,MATCH(AA48,I$11:I$203,0))+IF(OR(TYPE(AA48)&gt;1,TYPE(MATCH(AA48,O$11:O$203,0))&gt;1),0,MATCH(AA48,O$11:O$203,0))+IF(OR(TYPE(AA48)&gt;1,TYPE(MATCH(AA48,U$11:U$203,0))&gt;1),0,MATCH(U48,U$11:U$203,0))+IF(OR(TYPE(AA48)&gt;1,TYPE(MATCH(AA48,AA49:AA$203,0))&gt;1),0,MATCH(AA48,AA49:AA$203,0))</f>
        <v>0</v>
      </c>
      <c r="AR48" s="72">
        <f t="shared" ca="1" si="29"/>
        <v>0</v>
      </c>
    </row>
    <row r="49" spans="1:44" ht="14.25">
      <c r="A49" s="103">
        <f t="shared" ca="1" si="15"/>
        <v>0</v>
      </c>
      <c r="B49" s="103">
        <f t="shared" ca="1" si="16"/>
        <v>0</v>
      </c>
      <c r="C49" s="156">
        <f t="shared" ca="1" si="17"/>
        <v>0</v>
      </c>
      <c r="D49" s="103">
        <f t="shared" ca="1" si="18"/>
        <v>99999</v>
      </c>
      <c r="E49" s="73">
        <f t="shared" ca="1" si="19"/>
        <v>9999</v>
      </c>
      <c r="F49" s="104" t="str">
        <f t="shared" ca="1" si="20"/>
        <v>00000000000000000000961408</v>
      </c>
      <c r="G49" s="145">
        <f t="shared" ca="1" si="21"/>
        <v>1</v>
      </c>
      <c r="H49" s="146">
        <f t="shared" si="22"/>
        <v>39</v>
      </c>
      <c r="I49" s="147" t="str">
        <f t="shared" ca="1" si="23"/>
        <v/>
      </c>
      <c r="J49" s="148" t="str">
        <f ca="1">IF(N(I49)&gt;0,VLOOKUP(I49,Hraci!$A$1:$I$1000,2,0),IF(TYPE(INDIRECT(ADDRESS(ROW() + $A$9-9 + (ROW()-11)*4,2,1,1,"Internet")))&gt;1,INDIRECT(ADDRESS(ROW() + $A$9-9 + (ROW()-11)*4,2,1,1,"Internet"))," "))</f>
        <v xml:space="preserve"> </v>
      </c>
      <c r="K49" s="149" t="str">
        <f ca="1">IF(N(I49)&gt;0,VLOOKUP(I49,Hraci!$A$1:$I$1000,3,0)," ")</f>
        <v xml:space="preserve"> </v>
      </c>
      <c r="L49" s="149" t="str">
        <f ca="1">IF(N(I49)&gt;0,VLOOKUP(I49,Hraci!$A$1:$I$1000,5,0),IF(TYPE(INDIRECT(ADDRESS(ROW() + $A$9-9 + (ROW()-11)*4,3,1,1,"Internet")))&gt;1,INDIRECT(ADDRESS(ROW() + $A$9-9 + (ROW()-11)*4,3,1,1,"Internet"))," "))</f>
        <v xml:space="preserve"> </v>
      </c>
      <c r="M49" s="149">
        <f ca="1">IF(N(I49)=0,9999,VLOOKUP(I49,Hraci!$A$1:$I$1000,8,0))</f>
        <v>9999</v>
      </c>
      <c r="N49" s="150">
        <f ca="1">IF(N(I49)=0,0,VLOOKUP(I49,Hraci!$A$1:$I$1000,9,0))</f>
        <v>0</v>
      </c>
      <c r="O49" s="147" t="str">
        <f t="shared" ca="1" si="24"/>
        <v/>
      </c>
      <c r="P49" s="148" t="str">
        <f ca="1">IF(N(O49)&gt;0,VLOOKUP(O49,Hraci!$A$1:$I$1000,2,0),IF(TYPE(INDIRECT(ADDRESS(ROW() + $A$9-8 + (ROW()-11)*4,2,1,1,"Internet")))&gt;1,INDIRECT(ADDRESS(ROW() + $A$9-8 + (ROW()-11)*4,2,1,1,"Internet"))," "))</f>
        <v xml:space="preserve"> </v>
      </c>
      <c r="Q49" s="149" t="str">
        <f ca="1">IF(N(O49)&gt;0,VLOOKUP(O49,Hraci!$A$1:$I$1000,3,0)," ")</f>
        <v xml:space="preserve"> </v>
      </c>
      <c r="R49" s="149" t="str">
        <f ca="1">IF(N(O49)&gt;0,VLOOKUP(O49,Hraci!$A$1:$I$1000,5,0),IF(TYPE(INDIRECT(ADDRESS(ROW() + $A$9-8 + (ROW()-11)*4,3,1,1,"Internet")))&gt;1,INDIRECT(ADDRESS(ROW() + $A$9-8 + (ROW()-11)*4,3,1,1,"Internet"))," "))</f>
        <v xml:space="preserve"> </v>
      </c>
      <c r="S49" s="149">
        <f ca="1">IF(N(O49)=0,9999,VLOOKUP(O49,Hraci!$A$1:$I$1000,8,0))</f>
        <v>9999</v>
      </c>
      <c r="T49" s="150">
        <f ca="1">IF(N(O49)=0,0,VLOOKUP(O49,Hraci!$A$1:$I$1000,9,0))</f>
        <v>0</v>
      </c>
      <c r="U49" s="147" t="str">
        <f t="shared" ca="1" si="25"/>
        <v/>
      </c>
      <c r="V49" s="148" t="str">
        <f ca="1">IF(N(U49)&gt;0,VLOOKUP(U49,Hraci!$A$1:$I$1000,2,0),IF(TYPE(INDIRECT(ADDRESS(ROW() + $A$9-7 + (ROW()-11)*4,2,1,1,"Internet")))&gt;1,INDIRECT(ADDRESS(ROW() + $A$9-7 + (ROW()-11)*4,2,1,1,"Internet"))," "))</f>
        <v xml:space="preserve"> </v>
      </c>
      <c r="W49" s="149" t="str">
        <f ca="1">IF(N(U49)&gt;0,VLOOKUP(U49,Hraci!$A$1:$I$1000,3,0)," ")</f>
        <v xml:space="preserve"> </v>
      </c>
      <c r="X49" s="149" t="str">
        <f ca="1">IF(N(U49)&gt;0,VLOOKUP(U49,Hraci!$A$1:$I$1000,5,0),IF(TYPE(INDIRECT(ADDRESS(ROW() + $A$9-7 + (ROW()-11)*4,3,1,1,"Internet")))&gt;1,INDIRECT(ADDRESS(ROW() + $A$9-7 + (ROW()-11)*4,3,1,1,"Internet"))," "))</f>
        <v xml:space="preserve"> </v>
      </c>
      <c r="Y49" s="149">
        <f ca="1">IF(N(U49)=0,9999,VLOOKUP(U49,Hraci!$A$1:$I$1000,8,0))</f>
        <v>9999</v>
      </c>
      <c r="Z49" s="150">
        <f ca="1">IF(N(U49)=0,0,VLOOKUP(U49,Hraci!$A$1:$I$1000,9,0))</f>
        <v>0</v>
      </c>
      <c r="AA49" s="147" t="str">
        <f t="shared" ca="1" si="26"/>
        <v/>
      </c>
      <c r="AB49" s="148" t="str">
        <f ca="1">IF(N(AA49)&gt;0,VLOOKUP(AA49,Hraci!$A$1:$I$1000,2,0)," ")</f>
        <v xml:space="preserve"> </v>
      </c>
      <c r="AC49" s="149" t="str">
        <f ca="1">IF(N(AA49)&gt;0,VLOOKUP(AA49,Hraci!$A$1:$I$1000,3,0)," ")</f>
        <v xml:space="preserve"> </v>
      </c>
      <c r="AD49" s="149" t="str">
        <f ca="1">IF(N(AA49)&gt;0,VLOOKUP(AA49,Hraci!$A$1:$I$1000,5,0)," ")</f>
        <v xml:space="preserve"> </v>
      </c>
      <c r="AE49" s="149">
        <f ca="1">IF(N(AA49)=0,9999,VLOOKUP(AA49,Hraci!$A$1:$I$1000,8,0))</f>
        <v>9999</v>
      </c>
      <c r="AF49" s="150">
        <f ca="1">IF(N(AA49)=0,0,VLOOKUP(AA49,Hraci!$A$1:$I$1000,9,0))</f>
        <v>0</v>
      </c>
      <c r="AG49" s="147"/>
      <c r="AH49" s="151">
        <f ca="1">IF(TYPE(VLOOKUP(H49,Nasazení!$A$3:$E$130,5,0))&lt;4,VLOOKUP(H49,Nasazení!$A$3:$E$130,5,0),0)</f>
        <v>0</v>
      </c>
      <c r="AI49" s="152" t="str">
        <f ca="1">IF(N($AH49)&gt;0,VLOOKUP($AH49,Body!$A$4:$F$259,5,0),"")</f>
        <v/>
      </c>
      <c r="AJ49" s="153" t="str">
        <f ca="1">IF(N($AH49)&gt;0,VLOOKUP($AH49,Body!$A$4:$F$259,6,0),"")</f>
        <v/>
      </c>
      <c r="AK49" s="152" t="str">
        <f ca="1">IF(N($AH49)&gt;0,VLOOKUP($AH49,Body!$A$4:$F$259,2,0),"")</f>
        <v/>
      </c>
      <c r="AL49" s="154" t="str">
        <f t="shared" ca="1" si="27"/>
        <v/>
      </c>
      <c r="AM49" s="155">
        <f t="shared" ca="1" si="28"/>
        <v>0</v>
      </c>
      <c r="AN49" s="72">
        <f ca="1">IF(OR(TYPE(I49)&gt;1,TYPE(MATCH(I49,I50:I$203,0))&gt;1),0,MATCH(I49,I50:I$203,0))+IF(OR(TYPE(I49)&gt;1,TYPE(MATCH(I49,O$11:O$203,0))&gt;1),0,MATCH(I49,O$11:O$203,0))+IF(OR(TYPE(I49)&gt;1,TYPE(MATCH(I49,U$11:U$203,0))&gt;1),0,MATCH(I49,U$11:U$203,0))+IF(OR(TYPE(I49)&gt;1,TYPE(MATCH(I49,AA$11:AA$203,0))&gt;1),0,MATCH(I49,AA$11:AA$203,0))</f>
        <v>0</v>
      </c>
      <c r="AO49" s="72">
        <f ca="1">IF(OR(TYPE(O49)&gt;1,TYPE(MATCH(O49,I$11:I$203,0))&gt;1),0,MATCH(O49,I$11:I$203,0))+IF(OR(TYPE(O49)&gt;1,TYPE(MATCH(O49,O50:O$203,0))&gt;1),0,MATCH(O49,O50:O$203,0))+IF(OR(TYPE(O49)&gt;1,TYPE(MATCH(O49,U$11:U$203,0))&gt;1),0,MATCH(O49,U$11:U$203,0))+IF(OR(TYPE(O49)&gt;1,TYPE(MATCH(O49,AA$11:AA$203,0))&gt;1),0,MATCH(O49,AA$11:AA$203,0))</f>
        <v>0</v>
      </c>
      <c r="AP49" s="72">
        <f ca="1">IF(OR(TYPE(U49)&gt;1,TYPE(MATCH(U49,I$11:I$203,0))&gt;1),0,MATCH(U49,I$11:I$203,0))+IF(OR(TYPE(U49)&gt;1,TYPE(MATCH(U49,O$11:O$203,0))&gt;1),0,MATCH(U49,O$11:O$203,0))+IF(OR(TYPE(U49)&gt;1,TYPE(MATCH(U49,U50:U$203,0))&gt;1),0,MATCH(U49,U50:U$203,0))+IF(OR(TYPE(U49)&gt;1,TYPE(MATCH(U49,AA$11:AA$203,0))&gt;1),0,MATCH(U49,AA$11:AA$203,0))</f>
        <v>0</v>
      </c>
      <c r="AQ49" s="72">
        <f ca="1">IF(OR(TYPE(AA49)&gt;1,TYPE(MATCH(AA49,I$11:I$203,0))&gt;1),0,MATCH(AA49,I$11:I$203,0))+IF(OR(TYPE(AA49)&gt;1,TYPE(MATCH(AA49,O$11:O$203,0))&gt;1),0,MATCH(AA49,O$11:O$203,0))+IF(OR(TYPE(AA49)&gt;1,TYPE(MATCH(AA49,U$11:U$203,0))&gt;1),0,MATCH(U49,U$11:U$203,0))+IF(OR(TYPE(AA49)&gt;1,TYPE(MATCH(AA49,AA50:AA$203,0))&gt;1),0,MATCH(AA49,AA50:AA$203,0))</f>
        <v>0</v>
      </c>
      <c r="AR49" s="72">
        <f t="shared" ca="1" si="29"/>
        <v>0</v>
      </c>
    </row>
    <row r="50" spans="1:44" ht="14.25">
      <c r="A50" s="103">
        <f t="shared" ca="1" si="15"/>
        <v>0</v>
      </c>
      <c r="B50" s="103">
        <f t="shared" ca="1" si="16"/>
        <v>0</v>
      </c>
      <c r="C50" s="156">
        <f t="shared" ca="1" si="17"/>
        <v>0</v>
      </c>
      <c r="D50" s="103">
        <f t="shared" ca="1" si="18"/>
        <v>99999</v>
      </c>
      <c r="E50" s="103">
        <f t="shared" ca="1" si="19"/>
        <v>9999</v>
      </c>
      <c r="F50" s="104" t="str">
        <f t="shared" ca="1" si="20"/>
        <v>00000000000000000000817928</v>
      </c>
      <c r="G50" s="145">
        <f t="shared" ca="1" si="21"/>
        <v>1</v>
      </c>
      <c r="H50" s="146">
        <f t="shared" si="22"/>
        <v>40</v>
      </c>
      <c r="I50" s="147" t="str">
        <f t="shared" ca="1" si="23"/>
        <v/>
      </c>
      <c r="J50" s="148" t="str">
        <f ca="1">IF(N(I50)&gt;0,VLOOKUP(I50,Hraci!$A$1:$I$1000,2,0),IF(TYPE(INDIRECT(ADDRESS(ROW() + $A$9-9 + (ROW()-11)*4,2,1,1,"Internet")))&gt;1,INDIRECT(ADDRESS(ROW() + $A$9-9 + (ROW()-11)*4,2,1,1,"Internet"))," "))</f>
        <v xml:space="preserve"> </v>
      </c>
      <c r="K50" s="149" t="str">
        <f ca="1">IF(N(I50)&gt;0,VLOOKUP(I50,Hraci!$A$1:$I$1000,3,0)," ")</f>
        <v xml:space="preserve"> </v>
      </c>
      <c r="L50" s="149" t="str">
        <f ca="1">IF(N(I50)&gt;0,VLOOKUP(I50,Hraci!$A$1:$I$1000,5,0),IF(TYPE(INDIRECT(ADDRESS(ROW() + $A$9-9 + (ROW()-11)*4,3,1,1,"Internet")))&gt;1,INDIRECT(ADDRESS(ROW() + $A$9-9 + (ROW()-11)*4,3,1,1,"Internet"))," "))</f>
        <v xml:space="preserve"> </v>
      </c>
      <c r="M50" s="149">
        <f ca="1">IF(N(I50)=0,9999,VLOOKUP(I50,Hraci!$A$1:$I$1000,8,0))</f>
        <v>9999</v>
      </c>
      <c r="N50" s="150">
        <f ca="1">IF(N(I50)=0,0,VLOOKUP(I50,Hraci!$A$1:$I$1000,9,0))</f>
        <v>0</v>
      </c>
      <c r="O50" s="147" t="str">
        <f t="shared" ca="1" si="24"/>
        <v/>
      </c>
      <c r="P50" s="148" t="str">
        <f ca="1">IF(N(O50)&gt;0,VLOOKUP(O50,Hraci!$A$1:$I$1000,2,0),IF(TYPE(INDIRECT(ADDRESS(ROW() + $A$9-8 + (ROW()-11)*4,2,1,1,"Internet")))&gt;1,INDIRECT(ADDRESS(ROW() + $A$9-8 + (ROW()-11)*4,2,1,1,"Internet"))," "))</f>
        <v xml:space="preserve"> </v>
      </c>
      <c r="Q50" s="149" t="str">
        <f ca="1">IF(N(O50)&gt;0,VLOOKUP(O50,Hraci!$A$1:$I$1000,3,0)," ")</f>
        <v xml:space="preserve"> </v>
      </c>
      <c r="R50" s="149" t="str">
        <f ca="1">IF(N(O50)&gt;0,VLOOKUP(O50,Hraci!$A$1:$I$1000,5,0),IF(TYPE(INDIRECT(ADDRESS(ROW() + $A$9-8 + (ROW()-11)*4,3,1,1,"Internet")))&gt;1,INDIRECT(ADDRESS(ROW() + $A$9-8 + (ROW()-11)*4,3,1,1,"Internet"))," "))</f>
        <v xml:space="preserve"> </v>
      </c>
      <c r="S50" s="149">
        <f ca="1">IF(N(O50)=0,9999,VLOOKUP(O50,Hraci!$A$1:$I$1000,8,0))</f>
        <v>9999</v>
      </c>
      <c r="T50" s="150">
        <f ca="1">IF(N(O50)=0,0,VLOOKUP(O50,Hraci!$A$1:$I$1000,9,0))</f>
        <v>0</v>
      </c>
      <c r="U50" s="147" t="str">
        <f t="shared" ca="1" si="25"/>
        <v/>
      </c>
      <c r="V50" s="148" t="str">
        <f ca="1">IF(N(U50)&gt;0,VLOOKUP(U50,Hraci!$A$1:$I$1000,2,0),IF(TYPE(INDIRECT(ADDRESS(ROW() + $A$9-7 + (ROW()-11)*4,2,1,1,"Internet")))&gt;1,INDIRECT(ADDRESS(ROW() + $A$9-7 + (ROW()-11)*4,2,1,1,"Internet"))," "))</f>
        <v xml:space="preserve"> </v>
      </c>
      <c r="W50" s="149" t="str">
        <f ca="1">IF(N(U50)&gt;0,VLOOKUP(U50,Hraci!$A$1:$I$1000,3,0)," ")</f>
        <v xml:space="preserve"> </v>
      </c>
      <c r="X50" s="149" t="str">
        <f ca="1">IF(N(U50)&gt;0,VLOOKUP(U50,Hraci!$A$1:$I$1000,5,0),IF(TYPE(INDIRECT(ADDRESS(ROW() + $A$9-7 + (ROW()-11)*4,3,1,1,"Internet")))&gt;1,INDIRECT(ADDRESS(ROW() + $A$9-7 + (ROW()-11)*4,3,1,1,"Internet"))," "))</f>
        <v xml:space="preserve"> </v>
      </c>
      <c r="Y50" s="149">
        <f ca="1">IF(N(U50)=0,9999,VLOOKUP(U50,Hraci!$A$1:$I$1000,8,0))</f>
        <v>9999</v>
      </c>
      <c r="Z50" s="150">
        <f ca="1">IF(N(U50)=0,0,VLOOKUP(U50,Hraci!$A$1:$I$1000,9,0))</f>
        <v>0</v>
      </c>
      <c r="AA50" s="147" t="str">
        <f t="shared" ca="1" si="26"/>
        <v/>
      </c>
      <c r="AB50" s="148" t="str">
        <f ca="1">IF(N(AA50)&gt;0,VLOOKUP(AA50,Hraci!$A$1:$I$1000,2,0)," ")</f>
        <v xml:space="preserve"> </v>
      </c>
      <c r="AC50" s="149" t="str">
        <f ca="1">IF(N(AA50)&gt;0,VLOOKUP(AA50,Hraci!$A$1:$I$1000,3,0)," ")</f>
        <v xml:space="preserve"> </v>
      </c>
      <c r="AD50" s="149" t="str">
        <f ca="1">IF(N(AA50)&gt;0,VLOOKUP(AA50,Hraci!$A$1:$I$1000,5,0)," ")</f>
        <v xml:space="preserve"> </v>
      </c>
      <c r="AE50" s="149">
        <f ca="1">IF(N(AA50)=0,9999,VLOOKUP(AA50,Hraci!$A$1:$I$1000,8,0))</f>
        <v>9999</v>
      </c>
      <c r="AF50" s="150">
        <f ca="1">IF(N(AA50)=0,0,VLOOKUP(AA50,Hraci!$A$1:$I$1000,9,0))</f>
        <v>0</v>
      </c>
      <c r="AG50" s="147"/>
      <c r="AH50" s="151">
        <f ca="1">IF(TYPE(VLOOKUP(H50,Nasazení!$A$3:$E$130,5,0))&lt;4,VLOOKUP(H50,Nasazení!$A$3:$E$130,5,0),0)</f>
        <v>0</v>
      </c>
      <c r="AI50" s="152" t="str">
        <f ca="1">IF(N($AH50)&gt;0,VLOOKUP($AH50,Body!$A$4:$F$259,5,0),"")</f>
        <v/>
      </c>
      <c r="AJ50" s="153" t="str">
        <f ca="1">IF(N($AH50)&gt;0,VLOOKUP($AH50,Body!$A$4:$F$259,6,0),"")</f>
        <v/>
      </c>
      <c r="AK50" s="152" t="str">
        <f ca="1">IF(N($AH50)&gt;0,VLOOKUP($AH50,Body!$A$4:$F$259,2,0),"")</f>
        <v/>
      </c>
      <c r="AL50" s="154" t="str">
        <f t="shared" ca="1" si="27"/>
        <v/>
      </c>
      <c r="AM50" s="155">
        <f t="shared" ca="1" si="28"/>
        <v>0</v>
      </c>
      <c r="AN50" s="72">
        <f ca="1">IF(OR(TYPE(I50)&gt;1,TYPE(MATCH(I50,I51:I$203,0))&gt;1),0,MATCH(I50,I51:I$203,0))+IF(OR(TYPE(I50)&gt;1,TYPE(MATCH(I50,O$11:O$203,0))&gt;1),0,MATCH(I50,O$11:O$203,0))+IF(OR(TYPE(I50)&gt;1,TYPE(MATCH(I50,U$11:U$203,0))&gt;1),0,MATCH(I50,U$11:U$203,0))+IF(OR(TYPE(I50)&gt;1,TYPE(MATCH(I50,AA$11:AA$203,0))&gt;1),0,MATCH(I50,AA$11:AA$203,0))</f>
        <v>0</v>
      </c>
      <c r="AO50" s="72">
        <f ca="1">IF(OR(TYPE(O50)&gt;1,TYPE(MATCH(O50,I$11:I$203,0))&gt;1),0,MATCH(O50,I$11:I$203,0))+IF(OR(TYPE(O50)&gt;1,TYPE(MATCH(O50,O51:O$203,0))&gt;1),0,MATCH(O50,O51:O$203,0))+IF(OR(TYPE(O50)&gt;1,TYPE(MATCH(O50,U$11:U$203,0))&gt;1),0,MATCH(O50,U$11:U$203,0))+IF(OR(TYPE(O50)&gt;1,TYPE(MATCH(O50,AA$11:AA$203,0))&gt;1),0,MATCH(O50,AA$11:AA$203,0))</f>
        <v>0</v>
      </c>
      <c r="AP50" s="72">
        <f ca="1">IF(OR(TYPE(U50)&gt;1,TYPE(MATCH(U50,I$11:I$203,0))&gt;1),0,MATCH(U50,I$11:I$203,0))+IF(OR(TYPE(U50)&gt;1,TYPE(MATCH(U50,O$11:O$203,0))&gt;1),0,MATCH(U50,O$11:O$203,0))+IF(OR(TYPE(U50)&gt;1,TYPE(MATCH(U50,U51:U$203,0))&gt;1),0,MATCH(U50,U51:U$203,0))+IF(OR(TYPE(U50)&gt;1,TYPE(MATCH(U50,AA$11:AA$203,0))&gt;1),0,MATCH(U50,AA$11:AA$203,0))</f>
        <v>0</v>
      </c>
      <c r="AQ50" s="72">
        <f ca="1">IF(OR(TYPE(AA50)&gt;1,TYPE(MATCH(AA50,I$11:I$203,0))&gt;1),0,MATCH(AA50,I$11:I$203,0))+IF(OR(TYPE(AA50)&gt;1,TYPE(MATCH(AA50,O$11:O$203,0))&gt;1),0,MATCH(AA50,O$11:O$203,0))+IF(OR(TYPE(AA50)&gt;1,TYPE(MATCH(AA50,U$11:U$203,0))&gt;1),0,MATCH(U50,U$11:U$203,0))+IF(OR(TYPE(AA50)&gt;1,TYPE(MATCH(AA50,AA51:AA$203,0))&gt;1),0,MATCH(AA50,AA51:AA$203,0))</f>
        <v>0</v>
      </c>
      <c r="AR50" s="72">
        <f t="shared" ca="1" si="29"/>
        <v>0</v>
      </c>
    </row>
    <row r="51" spans="1:44" ht="14.25">
      <c r="A51" s="73">
        <f t="shared" ca="1" si="15"/>
        <v>0</v>
      </c>
      <c r="B51" s="73">
        <f t="shared" ca="1" si="16"/>
        <v>0</v>
      </c>
      <c r="C51" s="157">
        <f t="shared" ca="1" si="17"/>
        <v>0</v>
      </c>
      <c r="D51" s="73">
        <f t="shared" ca="1" si="18"/>
        <v>99999</v>
      </c>
      <c r="E51" s="103">
        <f t="shared" ca="1" si="19"/>
        <v>9999</v>
      </c>
      <c r="F51" s="104" t="str">
        <f t="shared" ca="1" si="20"/>
        <v>00000000000000000000157750</v>
      </c>
      <c r="G51" s="145">
        <f t="shared" ca="1" si="21"/>
        <v>1</v>
      </c>
      <c r="H51" s="146">
        <f t="shared" si="22"/>
        <v>41</v>
      </c>
      <c r="I51" s="147" t="str">
        <f t="shared" ca="1" si="23"/>
        <v/>
      </c>
      <c r="J51" s="148" t="str">
        <f ca="1">IF(N(I51)&gt;0,VLOOKUP(I51,Hraci!$A$1:$I$1000,2,0),IF(TYPE(INDIRECT(ADDRESS(ROW() + $A$9-9 + (ROW()-11)*4,2,1,1,"Internet")))&gt;1,INDIRECT(ADDRESS(ROW() + $A$9-9 + (ROW()-11)*4,2,1,1,"Internet"))," "))</f>
        <v xml:space="preserve"> </v>
      </c>
      <c r="K51" s="149" t="str">
        <f ca="1">IF(N(I51)&gt;0,VLOOKUP(I51,Hraci!$A$1:$I$1000,3,0)," ")</f>
        <v xml:space="preserve"> </v>
      </c>
      <c r="L51" s="149" t="str">
        <f ca="1">IF(N(I51)&gt;0,VLOOKUP(I51,Hraci!$A$1:$I$1000,5,0),IF(TYPE(INDIRECT(ADDRESS(ROW() + $A$9-9 + (ROW()-11)*4,3,1,1,"Internet")))&gt;1,INDIRECT(ADDRESS(ROW() + $A$9-9 + (ROW()-11)*4,3,1,1,"Internet"))," "))</f>
        <v xml:space="preserve"> </v>
      </c>
      <c r="M51" s="149">
        <f ca="1">IF(N(I51)=0,9999,VLOOKUP(I51,Hraci!$A$1:$I$1000,8,0))</f>
        <v>9999</v>
      </c>
      <c r="N51" s="150">
        <f ca="1">IF(N(I51)=0,0,VLOOKUP(I51,Hraci!$A$1:$I$1000,9,0))</f>
        <v>0</v>
      </c>
      <c r="O51" s="147" t="str">
        <f t="shared" ca="1" si="24"/>
        <v/>
      </c>
      <c r="P51" s="148" t="str">
        <f ca="1">IF(N(O51)&gt;0,VLOOKUP(O51,Hraci!$A$1:$I$1000,2,0),IF(TYPE(INDIRECT(ADDRESS(ROW() + $A$9-8 + (ROW()-11)*4,2,1,1,"Internet")))&gt;1,INDIRECT(ADDRESS(ROW() + $A$9-8 + (ROW()-11)*4,2,1,1,"Internet"))," "))</f>
        <v xml:space="preserve"> </v>
      </c>
      <c r="Q51" s="149" t="str">
        <f ca="1">IF(N(O51)&gt;0,VLOOKUP(O51,Hraci!$A$1:$I$1000,3,0)," ")</f>
        <v xml:space="preserve"> </v>
      </c>
      <c r="R51" s="149" t="str">
        <f ca="1">IF(N(O51)&gt;0,VLOOKUP(O51,Hraci!$A$1:$I$1000,5,0),IF(TYPE(INDIRECT(ADDRESS(ROW() + $A$9-8 + (ROW()-11)*4,3,1,1,"Internet")))&gt;1,INDIRECT(ADDRESS(ROW() + $A$9-8 + (ROW()-11)*4,3,1,1,"Internet"))," "))</f>
        <v xml:space="preserve"> </v>
      </c>
      <c r="S51" s="149">
        <f ca="1">IF(N(O51)=0,9999,VLOOKUP(O51,Hraci!$A$1:$I$1000,8,0))</f>
        <v>9999</v>
      </c>
      <c r="T51" s="150">
        <f ca="1">IF(N(O51)=0,0,VLOOKUP(O51,Hraci!$A$1:$I$1000,9,0))</f>
        <v>0</v>
      </c>
      <c r="U51" s="147" t="str">
        <f t="shared" ca="1" si="25"/>
        <v/>
      </c>
      <c r="V51" s="148" t="str">
        <f ca="1">IF(N(U51)&gt;0,VLOOKUP(U51,Hraci!$A$1:$I$1000,2,0),IF(TYPE(INDIRECT(ADDRESS(ROW() + $A$9-7 + (ROW()-11)*4,2,1,1,"Internet")))&gt;1,INDIRECT(ADDRESS(ROW() + $A$9-7 + (ROW()-11)*4,2,1,1,"Internet"))," "))</f>
        <v xml:space="preserve"> </v>
      </c>
      <c r="W51" s="149" t="str">
        <f ca="1">IF(N(U51)&gt;0,VLOOKUP(U51,Hraci!$A$1:$I$1000,3,0)," ")</f>
        <v xml:space="preserve"> </v>
      </c>
      <c r="X51" s="149" t="str">
        <f ca="1">IF(N(U51)&gt;0,VLOOKUP(U51,Hraci!$A$1:$I$1000,5,0),IF(TYPE(INDIRECT(ADDRESS(ROW() + $A$9-7 + (ROW()-11)*4,3,1,1,"Internet")))&gt;1,INDIRECT(ADDRESS(ROW() + $A$9-7 + (ROW()-11)*4,3,1,1,"Internet"))," "))</f>
        <v xml:space="preserve"> </v>
      </c>
      <c r="Y51" s="149">
        <f ca="1">IF(N(U51)=0,9999,VLOOKUP(U51,Hraci!$A$1:$I$1000,8,0))</f>
        <v>9999</v>
      </c>
      <c r="Z51" s="150">
        <f ca="1">IF(N(U51)=0,0,VLOOKUP(U51,Hraci!$A$1:$I$1000,9,0))</f>
        <v>0</v>
      </c>
      <c r="AA51" s="147" t="str">
        <f t="shared" ca="1" si="26"/>
        <v/>
      </c>
      <c r="AB51" s="148" t="str">
        <f ca="1">IF(N(AA51)&gt;0,VLOOKUP(AA51,Hraci!$A$1:$I$1000,2,0)," ")</f>
        <v xml:space="preserve"> </v>
      </c>
      <c r="AC51" s="149" t="str">
        <f ca="1">IF(N(AA51)&gt;0,VLOOKUP(AA51,Hraci!$A$1:$I$1000,3,0)," ")</f>
        <v xml:space="preserve"> </v>
      </c>
      <c r="AD51" s="149" t="str">
        <f ca="1">IF(N(AA51)&gt;0,VLOOKUP(AA51,Hraci!$A$1:$I$1000,5,0)," ")</f>
        <v xml:space="preserve"> </v>
      </c>
      <c r="AE51" s="149">
        <f ca="1">IF(N(AA51)=0,9999,VLOOKUP(AA51,Hraci!$A$1:$I$1000,8,0))</f>
        <v>9999</v>
      </c>
      <c r="AF51" s="150">
        <f ca="1">IF(N(AA51)=0,0,VLOOKUP(AA51,Hraci!$A$1:$I$1000,9,0))</f>
        <v>0</v>
      </c>
      <c r="AG51" s="147"/>
      <c r="AH51" s="151">
        <f ca="1">IF(TYPE(VLOOKUP(H51,Nasazení!$A$3:$E$130,5,0))&lt;4,VLOOKUP(H51,Nasazení!$A$3:$E$130,5,0),0)</f>
        <v>0</v>
      </c>
      <c r="AI51" s="152" t="str">
        <f ca="1">IF(N($AH51)&gt;0,VLOOKUP($AH51,Body!$A$4:$F$259,5,0),"")</f>
        <v/>
      </c>
      <c r="AJ51" s="153" t="str">
        <f ca="1">IF(N($AH51)&gt;0,VLOOKUP($AH51,Body!$A$4:$F$259,6,0),"")</f>
        <v/>
      </c>
      <c r="AK51" s="152" t="str">
        <f ca="1">IF(N($AH51)&gt;0,VLOOKUP($AH51,Body!$A$4:$F$259,2,0),"")</f>
        <v/>
      </c>
      <c r="AL51" s="154" t="str">
        <f t="shared" ca="1" si="27"/>
        <v/>
      </c>
      <c r="AM51" s="155">
        <f t="shared" ca="1" si="28"/>
        <v>0</v>
      </c>
      <c r="AN51" s="72">
        <f ca="1">IF(OR(TYPE(I51)&gt;1,TYPE(MATCH(I51,I52:I$203,0))&gt;1),0,MATCH(I51,I52:I$203,0))+IF(OR(TYPE(I51)&gt;1,TYPE(MATCH(I51,O$11:O$203,0))&gt;1),0,MATCH(I51,O$11:O$203,0))+IF(OR(TYPE(I51)&gt;1,TYPE(MATCH(I51,U$11:U$203,0))&gt;1),0,MATCH(I51,U$11:U$203,0))+IF(OR(TYPE(I51)&gt;1,TYPE(MATCH(I51,AA$11:AA$203,0))&gt;1),0,MATCH(I51,AA$11:AA$203,0))</f>
        <v>0</v>
      </c>
      <c r="AO51" s="72">
        <f ca="1">IF(OR(TYPE(O51)&gt;1,TYPE(MATCH(O51,I$11:I$203,0))&gt;1),0,MATCH(O51,I$11:I$203,0))+IF(OR(TYPE(O51)&gt;1,TYPE(MATCH(O51,O52:O$203,0))&gt;1),0,MATCH(O51,O52:O$203,0))+IF(OR(TYPE(O51)&gt;1,TYPE(MATCH(O51,U$11:U$203,0))&gt;1),0,MATCH(O51,U$11:U$203,0))+IF(OR(TYPE(O51)&gt;1,TYPE(MATCH(O51,AA$11:AA$203,0))&gt;1),0,MATCH(O51,AA$11:AA$203,0))</f>
        <v>0</v>
      </c>
      <c r="AP51" s="72">
        <f ca="1">IF(OR(TYPE(U51)&gt;1,TYPE(MATCH(U51,I$11:I$203,0))&gt;1),0,MATCH(U51,I$11:I$203,0))+IF(OR(TYPE(U51)&gt;1,TYPE(MATCH(U51,O$11:O$203,0))&gt;1),0,MATCH(U51,O$11:O$203,0))+IF(OR(TYPE(U51)&gt;1,TYPE(MATCH(U51,U52:U$203,0))&gt;1),0,MATCH(U51,U52:U$203,0))+IF(OR(TYPE(U51)&gt;1,TYPE(MATCH(U51,AA$11:AA$203,0))&gt;1),0,MATCH(U51,AA$11:AA$203,0))</f>
        <v>0</v>
      </c>
      <c r="AQ51" s="72">
        <f ca="1">IF(OR(TYPE(AA51)&gt;1,TYPE(MATCH(AA51,I$11:I$203,0))&gt;1),0,MATCH(AA51,I$11:I$203,0))+IF(OR(TYPE(AA51)&gt;1,TYPE(MATCH(AA51,O$11:O$203,0))&gt;1),0,MATCH(AA51,O$11:O$203,0))+IF(OR(TYPE(AA51)&gt;1,TYPE(MATCH(AA51,U$11:U$203,0))&gt;1),0,MATCH(U51,U$11:U$203,0))+IF(OR(TYPE(AA51)&gt;1,TYPE(MATCH(AA51,AA52:AA$203,0))&gt;1),0,MATCH(AA51,AA52:AA$203,0))</f>
        <v>0</v>
      </c>
      <c r="AR51" s="72">
        <f t="shared" ca="1" si="29"/>
        <v>0</v>
      </c>
    </row>
    <row r="52" spans="1:44" ht="14.25">
      <c r="A52" s="103">
        <f t="shared" ca="1" si="15"/>
        <v>0</v>
      </c>
      <c r="B52" s="103">
        <f t="shared" ca="1" si="16"/>
        <v>0</v>
      </c>
      <c r="C52" s="156">
        <f t="shared" ca="1" si="17"/>
        <v>0</v>
      </c>
      <c r="D52" s="103">
        <f t="shared" ca="1" si="18"/>
        <v>99999</v>
      </c>
      <c r="E52" s="103">
        <f t="shared" ca="1" si="19"/>
        <v>9999</v>
      </c>
      <c r="F52" s="104" t="str">
        <f t="shared" ca="1" si="20"/>
        <v>00000000000000000000191013</v>
      </c>
      <c r="G52" s="145">
        <f t="shared" ca="1" si="21"/>
        <v>1</v>
      </c>
      <c r="H52" s="146">
        <f t="shared" si="22"/>
        <v>42</v>
      </c>
      <c r="I52" s="147" t="str">
        <f t="shared" ca="1" si="23"/>
        <v/>
      </c>
      <c r="J52" s="148" t="str">
        <f ca="1">IF(N(I52)&gt;0,VLOOKUP(I52,Hraci!$A$1:$I$1000,2,0),IF(TYPE(INDIRECT(ADDRESS(ROW() + $A$9-9 + (ROW()-11)*4,2,1,1,"Internet")))&gt;1,INDIRECT(ADDRESS(ROW() + $A$9-9 + (ROW()-11)*4,2,1,1,"Internet"))," "))</f>
        <v xml:space="preserve"> </v>
      </c>
      <c r="K52" s="149" t="str">
        <f ca="1">IF(N(I52)&gt;0,VLOOKUP(I52,Hraci!$A$1:$I$1000,3,0)," ")</f>
        <v xml:space="preserve"> </v>
      </c>
      <c r="L52" s="149" t="str">
        <f ca="1">IF(N(I52)&gt;0,VLOOKUP(I52,Hraci!$A$1:$I$1000,5,0),IF(TYPE(INDIRECT(ADDRESS(ROW() + $A$9-9 + (ROW()-11)*4,3,1,1,"Internet")))&gt;1,INDIRECT(ADDRESS(ROW() + $A$9-9 + (ROW()-11)*4,3,1,1,"Internet"))," "))</f>
        <v xml:space="preserve"> </v>
      </c>
      <c r="M52" s="149">
        <f ca="1">IF(N(I52)=0,9999,VLOOKUP(I52,Hraci!$A$1:$I$1000,8,0))</f>
        <v>9999</v>
      </c>
      <c r="N52" s="150">
        <f ca="1">IF(N(I52)=0,0,VLOOKUP(I52,Hraci!$A$1:$I$1000,9,0))</f>
        <v>0</v>
      </c>
      <c r="O52" s="147" t="str">
        <f t="shared" ca="1" si="24"/>
        <v/>
      </c>
      <c r="P52" s="148" t="str">
        <f ca="1">IF(N(O52)&gt;0,VLOOKUP(O52,Hraci!$A$1:$I$1000,2,0),IF(TYPE(INDIRECT(ADDRESS(ROW() + $A$9-8 + (ROW()-11)*4,2,1,1,"Internet")))&gt;1,INDIRECT(ADDRESS(ROW() + $A$9-8 + (ROW()-11)*4,2,1,1,"Internet"))," "))</f>
        <v xml:space="preserve"> </v>
      </c>
      <c r="Q52" s="149" t="str">
        <f ca="1">IF(N(O52)&gt;0,VLOOKUP(O52,Hraci!$A$1:$I$1000,3,0)," ")</f>
        <v xml:space="preserve"> </v>
      </c>
      <c r="R52" s="149" t="str">
        <f ca="1">IF(N(O52)&gt;0,VLOOKUP(O52,Hraci!$A$1:$I$1000,5,0),IF(TYPE(INDIRECT(ADDRESS(ROW() + $A$9-8 + (ROW()-11)*4,3,1,1,"Internet")))&gt;1,INDIRECT(ADDRESS(ROW() + $A$9-8 + (ROW()-11)*4,3,1,1,"Internet"))," "))</f>
        <v xml:space="preserve"> </v>
      </c>
      <c r="S52" s="149">
        <f ca="1">IF(N(O52)=0,9999,VLOOKUP(O52,Hraci!$A$1:$I$1000,8,0))</f>
        <v>9999</v>
      </c>
      <c r="T52" s="150">
        <f ca="1">IF(N(O52)=0,0,VLOOKUP(O52,Hraci!$A$1:$I$1000,9,0))</f>
        <v>0</v>
      </c>
      <c r="U52" s="147" t="str">
        <f t="shared" ca="1" si="25"/>
        <v/>
      </c>
      <c r="V52" s="148" t="str">
        <f ca="1">IF(N(U52)&gt;0,VLOOKUP(U52,Hraci!$A$1:$I$1000,2,0),IF(TYPE(INDIRECT(ADDRESS(ROW() + $A$9-7 + (ROW()-11)*4,2,1,1,"Internet")))&gt;1,INDIRECT(ADDRESS(ROW() + $A$9-7 + (ROW()-11)*4,2,1,1,"Internet"))," "))</f>
        <v xml:space="preserve"> </v>
      </c>
      <c r="W52" s="149" t="str">
        <f ca="1">IF(N(U52)&gt;0,VLOOKUP(U52,Hraci!$A$1:$I$1000,3,0)," ")</f>
        <v xml:space="preserve"> </v>
      </c>
      <c r="X52" s="149" t="str">
        <f ca="1">IF(N(U52)&gt;0,VLOOKUP(U52,Hraci!$A$1:$I$1000,5,0),IF(TYPE(INDIRECT(ADDRESS(ROW() + $A$9-7 + (ROW()-11)*4,3,1,1,"Internet")))&gt;1,INDIRECT(ADDRESS(ROW() + $A$9-7 + (ROW()-11)*4,3,1,1,"Internet"))," "))</f>
        <v xml:space="preserve"> </v>
      </c>
      <c r="Y52" s="149">
        <f ca="1">IF(N(U52)=0,9999,VLOOKUP(U52,Hraci!$A$1:$I$1000,8,0))</f>
        <v>9999</v>
      </c>
      <c r="Z52" s="150">
        <f ca="1">IF(N(U52)=0,0,VLOOKUP(U52,Hraci!$A$1:$I$1000,9,0))</f>
        <v>0</v>
      </c>
      <c r="AA52" s="147" t="str">
        <f t="shared" ca="1" si="26"/>
        <v/>
      </c>
      <c r="AB52" s="148" t="str">
        <f ca="1">IF(N(AA52)&gt;0,VLOOKUP(AA52,Hraci!$A$1:$I$1000,2,0)," ")</f>
        <v xml:space="preserve"> </v>
      </c>
      <c r="AC52" s="149" t="str">
        <f ca="1">IF(N(AA52)&gt;0,VLOOKUP(AA52,Hraci!$A$1:$I$1000,3,0)," ")</f>
        <v xml:space="preserve"> </v>
      </c>
      <c r="AD52" s="149" t="str">
        <f ca="1">IF(N(AA52)&gt;0,VLOOKUP(AA52,Hraci!$A$1:$I$1000,5,0)," ")</f>
        <v xml:space="preserve"> </v>
      </c>
      <c r="AE52" s="149">
        <f ca="1">IF(N(AA52)=0,9999,VLOOKUP(AA52,Hraci!$A$1:$I$1000,8,0))</f>
        <v>9999</v>
      </c>
      <c r="AF52" s="150">
        <f ca="1">IF(N(AA52)=0,0,VLOOKUP(AA52,Hraci!$A$1:$I$1000,9,0))</f>
        <v>0</v>
      </c>
      <c r="AG52" s="147"/>
      <c r="AH52" s="151">
        <f ca="1">IF(TYPE(VLOOKUP(H52,Nasazení!$A$3:$E$130,5,0))&lt;4,VLOOKUP(H52,Nasazení!$A$3:$E$130,5,0),0)</f>
        <v>0</v>
      </c>
      <c r="AI52" s="152" t="str">
        <f ca="1">IF(N($AH52)&gt;0,VLOOKUP($AH52,Body!$A$4:$F$259,5,0),"")</f>
        <v/>
      </c>
      <c r="AJ52" s="153" t="str">
        <f ca="1">IF(N($AH52)&gt;0,VLOOKUP($AH52,Body!$A$4:$F$259,6,0),"")</f>
        <v/>
      </c>
      <c r="AK52" s="152" t="str">
        <f ca="1">IF(N($AH52)&gt;0,VLOOKUP($AH52,Body!$A$4:$F$259,2,0),"")</f>
        <v/>
      </c>
      <c r="AL52" s="154" t="str">
        <f t="shared" ca="1" si="27"/>
        <v/>
      </c>
      <c r="AM52" s="155">
        <f t="shared" ca="1" si="28"/>
        <v>0</v>
      </c>
      <c r="AN52" s="72">
        <f ca="1">IF(OR(TYPE(I52)&gt;1,TYPE(MATCH(I52,I53:I$203,0))&gt;1),0,MATCH(I52,I53:I$203,0))+IF(OR(TYPE(I52)&gt;1,TYPE(MATCH(I52,O$11:O$203,0))&gt;1),0,MATCH(I52,O$11:O$203,0))+IF(OR(TYPE(I52)&gt;1,TYPE(MATCH(I52,U$11:U$203,0))&gt;1),0,MATCH(I52,U$11:U$203,0))+IF(OR(TYPE(I52)&gt;1,TYPE(MATCH(I52,AA$11:AA$203,0))&gt;1),0,MATCH(I52,AA$11:AA$203,0))</f>
        <v>0</v>
      </c>
      <c r="AO52" s="72">
        <f ca="1">IF(OR(TYPE(O52)&gt;1,TYPE(MATCH(O52,I$11:I$203,0))&gt;1),0,MATCH(O52,I$11:I$203,0))+IF(OR(TYPE(O52)&gt;1,TYPE(MATCH(O52,O53:O$203,0))&gt;1),0,MATCH(O52,O53:O$203,0))+IF(OR(TYPE(O52)&gt;1,TYPE(MATCH(O52,U$11:U$203,0))&gt;1),0,MATCH(O52,U$11:U$203,0))+IF(OR(TYPE(O52)&gt;1,TYPE(MATCH(O52,AA$11:AA$203,0))&gt;1),0,MATCH(O52,AA$11:AA$203,0))</f>
        <v>0</v>
      </c>
      <c r="AP52" s="72">
        <f ca="1">IF(OR(TYPE(U52)&gt;1,TYPE(MATCH(U52,I$11:I$203,0))&gt;1),0,MATCH(U52,I$11:I$203,0))+IF(OR(TYPE(U52)&gt;1,TYPE(MATCH(U52,O$11:O$203,0))&gt;1),0,MATCH(U52,O$11:O$203,0))+IF(OR(TYPE(U52)&gt;1,TYPE(MATCH(U52,U53:U$203,0))&gt;1),0,MATCH(U52,U53:U$203,0))+IF(OR(TYPE(U52)&gt;1,TYPE(MATCH(U52,AA$11:AA$203,0))&gt;1),0,MATCH(U52,AA$11:AA$203,0))</f>
        <v>0</v>
      </c>
      <c r="AQ52" s="72">
        <f ca="1">IF(OR(TYPE(AA52)&gt;1,TYPE(MATCH(AA52,I$11:I$203,0))&gt;1),0,MATCH(AA52,I$11:I$203,0))+IF(OR(TYPE(AA52)&gt;1,TYPE(MATCH(AA52,O$11:O$203,0))&gt;1),0,MATCH(AA52,O$11:O$203,0))+IF(OR(TYPE(AA52)&gt;1,TYPE(MATCH(AA52,U$11:U$203,0))&gt;1),0,MATCH(U52,U$11:U$203,0))+IF(OR(TYPE(AA52)&gt;1,TYPE(MATCH(AA52,AA53:AA$203,0))&gt;1),0,MATCH(AA52,AA53:AA$203,0))</f>
        <v>0</v>
      </c>
      <c r="AR52" s="72">
        <f t="shared" ca="1" si="29"/>
        <v>0</v>
      </c>
    </row>
    <row r="53" spans="1:44" ht="14.25">
      <c r="A53" s="103">
        <f t="shared" ca="1" si="15"/>
        <v>0</v>
      </c>
      <c r="B53" s="103">
        <f t="shared" ca="1" si="16"/>
        <v>0</v>
      </c>
      <c r="C53" s="156">
        <f t="shared" ca="1" si="17"/>
        <v>0</v>
      </c>
      <c r="D53" s="103">
        <f t="shared" ca="1" si="18"/>
        <v>99999</v>
      </c>
      <c r="E53" s="103">
        <f t="shared" ca="1" si="19"/>
        <v>9999</v>
      </c>
      <c r="F53" s="104" t="str">
        <f t="shared" ca="1" si="20"/>
        <v>00000000000000000000455265</v>
      </c>
      <c r="G53" s="145">
        <f t="shared" ca="1" si="21"/>
        <v>1</v>
      </c>
      <c r="H53" s="146">
        <f t="shared" si="22"/>
        <v>43</v>
      </c>
      <c r="I53" s="147" t="str">
        <f t="shared" ca="1" si="23"/>
        <v/>
      </c>
      <c r="J53" s="148" t="str">
        <f ca="1">IF(N(I53)&gt;0,VLOOKUP(I53,Hraci!$A$1:$I$1000,2,0),IF(TYPE(INDIRECT(ADDRESS(ROW() + $A$9-9 + (ROW()-11)*4,2,1,1,"Internet")))&gt;1,INDIRECT(ADDRESS(ROW() + $A$9-9 + (ROW()-11)*4,2,1,1,"Internet"))," "))</f>
        <v xml:space="preserve"> </v>
      </c>
      <c r="K53" s="149" t="str">
        <f ca="1">IF(N(I53)&gt;0,VLOOKUP(I53,Hraci!$A$1:$I$1000,3,0)," ")</f>
        <v xml:space="preserve"> </v>
      </c>
      <c r="L53" s="149" t="str">
        <f ca="1">IF(N(I53)&gt;0,VLOOKUP(I53,Hraci!$A$1:$I$1000,5,0),IF(TYPE(INDIRECT(ADDRESS(ROW() + $A$9-9 + (ROW()-11)*4,3,1,1,"Internet")))&gt;1,INDIRECT(ADDRESS(ROW() + $A$9-9 + (ROW()-11)*4,3,1,1,"Internet"))," "))</f>
        <v xml:space="preserve"> </v>
      </c>
      <c r="M53" s="149">
        <f ca="1">IF(N(I53)=0,9999,VLOOKUP(I53,Hraci!$A$1:$I$1000,8,0))</f>
        <v>9999</v>
      </c>
      <c r="N53" s="150">
        <f ca="1">IF(N(I53)=0,0,VLOOKUP(I53,Hraci!$A$1:$I$1000,9,0))</f>
        <v>0</v>
      </c>
      <c r="O53" s="147" t="str">
        <f t="shared" ca="1" si="24"/>
        <v/>
      </c>
      <c r="P53" s="148" t="str">
        <f ca="1">IF(N(O53)&gt;0,VLOOKUP(O53,Hraci!$A$1:$I$1000,2,0),IF(TYPE(INDIRECT(ADDRESS(ROW() + $A$9-8 + (ROW()-11)*4,2,1,1,"Internet")))&gt;1,INDIRECT(ADDRESS(ROW() + $A$9-8 + (ROW()-11)*4,2,1,1,"Internet"))," "))</f>
        <v xml:space="preserve"> </v>
      </c>
      <c r="Q53" s="149" t="str">
        <f ca="1">IF(N(O53)&gt;0,VLOOKUP(O53,Hraci!$A$1:$I$1000,3,0)," ")</f>
        <v xml:space="preserve"> </v>
      </c>
      <c r="R53" s="149" t="str">
        <f ca="1">IF(N(O53)&gt;0,VLOOKUP(O53,Hraci!$A$1:$I$1000,5,0),IF(TYPE(INDIRECT(ADDRESS(ROW() + $A$9-8 + (ROW()-11)*4,3,1,1,"Internet")))&gt;1,INDIRECT(ADDRESS(ROW() + $A$9-8 + (ROW()-11)*4,3,1,1,"Internet"))," "))</f>
        <v xml:space="preserve"> </v>
      </c>
      <c r="S53" s="149">
        <f ca="1">IF(N(O53)=0,9999,VLOOKUP(O53,Hraci!$A$1:$I$1000,8,0))</f>
        <v>9999</v>
      </c>
      <c r="T53" s="150">
        <f ca="1">IF(N(O53)=0,0,VLOOKUP(O53,Hraci!$A$1:$I$1000,9,0))</f>
        <v>0</v>
      </c>
      <c r="U53" s="147" t="str">
        <f t="shared" ca="1" si="25"/>
        <v/>
      </c>
      <c r="V53" s="148" t="str">
        <f ca="1">IF(N(U53)&gt;0,VLOOKUP(U53,Hraci!$A$1:$I$1000,2,0),IF(TYPE(INDIRECT(ADDRESS(ROW() + $A$9-7 + (ROW()-11)*4,2,1,1,"Internet")))&gt;1,INDIRECT(ADDRESS(ROW() + $A$9-7 + (ROW()-11)*4,2,1,1,"Internet"))," "))</f>
        <v xml:space="preserve"> </v>
      </c>
      <c r="W53" s="149" t="str">
        <f ca="1">IF(N(U53)&gt;0,VLOOKUP(U53,Hraci!$A$1:$I$1000,3,0)," ")</f>
        <v xml:space="preserve"> </v>
      </c>
      <c r="X53" s="149" t="str">
        <f ca="1">IF(N(U53)&gt;0,VLOOKUP(U53,Hraci!$A$1:$I$1000,5,0),IF(TYPE(INDIRECT(ADDRESS(ROW() + $A$9-7 + (ROW()-11)*4,3,1,1,"Internet")))&gt;1,INDIRECT(ADDRESS(ROW() + $A$9-7 + (ROW()-11)*4,3,1,1,"Internet"))," "))</f>
        <v xml:space="preserve"> </v>
      </c>
      <c r="Y53" s="149">
        <f ca="1">IF(N(U53)=0,9999,VLOOKUP(U53,Hraci!$A$1:$I$1000,8,0))</f>
        <v>9999</v>
      </c>
      <c r="Z53" s="150">
        <f ca="1">IF(N(U53)=0,0,VLOOKUP(U53,Hraci!$A$1:$I$1000,9,0))</f>
        <v>0</v>
      </c>
      <c r="AA53" s="147" t="str">
        <f t="shared" ca="1" si="26"/>
        <v/>
      </c>
      <c r="AB53" s="148" t="str">
        <f ca="1">IF(N(AA53)&gt;0,VLOOKUP(AA53,Hraci!$A$1:$I$1000,2,0)," ")</f>
        <v xml:space="preserve"> </v>
      </c>
      <c r="AC53" s="149" t="str">
        <f ca="1">IF(N(AA53)&gt;0,VLOOKUP(AA53,Hraci!$A$1:$I$1000,3,0)," ")</f>
        <v xml:space="preserve"> </v>
      </c>
      <c r="AD53" s="149" t="str">
        <f ca="1">IF(N(AA53)&gt;0,VLOOKUP(AA53,Hraci!$A$1:$I$1000,5,0)," ")</f>
        <v xml:space="preserve"> </v>
      </c>
      <c r="AE53" s="149">
        <f ca="1">IF(N(AA53)=0,9999,VLOOKUP(AA53,Hraci!$A$1:$I$1000,8,0))</f>
        <v>9999</v>
      </c>
      <c r="AF53" s="150">
        <f ca="1">IF(N(AA53)=0,0,VLOOKUP(AA53,Hraci!$A$1:$I$1000,9,0))</f>
        <v>0</v>
      </c>
      <c r="AG53" s="147"/>
      <c r="AH53" s="151">
        <f ca="1">IF(TYPE(VLOOKUP(H53,Nasazení!$A$3:$E$130,5,0))&lt;4,VLOOKUP(H53,Nasazení!$A$3:$E$130,5,0),0)</f>
        <v>0</v>
      </c>
      <c r="AI53" s="152" t="str">
        <f ca="1">IF(N($AH53)&gt;0,VLOOKUP($AH53,Body!$A$4:$F$259,5,0),"")</f>
        <v/>
      </c>
      <c r="AJ53" s="153" t="str">
        <f ca="1">IF(N($AH53)&gt;0,VLOOKUP($AH53,Body!$A$4:$F$259,6,0),"")</f>
        <v/>
      </c>
      <c r="AK53" s="152" t="str">
        <f ca="1">IF(N($AH53)&gt;0,VLOOKUP($AH53,Body!$A$4:$F$259,2,0),"")</f>
        <v/>
      </c>
      <c r="AL53" s="154" t="str">
        <f t="shared" ca="1" si="27"/>
        <v/>
      </c>
      <c r="AM53" s="155">
        <f t="shared" ca="1" si="28"/>
        <v>0</v>
      </c>
      <c r="AN53" s="72">
        <f ca="1">IF(OR(TYPE(I53)&gt;1,TYPE(MATCH(I53,I54:I$203,0))&gt;1),0,MATCH(I53,I54:I$203,0))+IF(OR(TYPE(I53)&gt;1,TYPE(MATCH(I53,O$11:O$203,0))&gt;1),0,MATCH(I53,O$11:O$203,0))+IF(OR(TYPE(I53)&gt;1,TYPE(MATCH(I53,U$11:U$203,0))&gt;1),0,MATCH(I53,U$11:U$203,0))+IF(OR(TYPE(I53)&gt;1,TYPE(MATCH(I53,AA$11:AA$203,0))&gt;1),0,MATCH(I53,AA$11:AA$203,0))</f>
        <v>0</v>
      </c>
      <c r="AO53" s="72">
        <f ca="1">IF(OR(TYPE(O53)&gt;1,TYPE(MATCH(O53,I$11:I$203,0))&gt;1),0,MATCH(O53,I$11:I$203,0))+IF(OR(TYPE(O53)&gt;1,TYPE(MATCH(O53,O54:O$203,0))&gt;1),0,MATCH(O53,O54:O$203,0))+IF(OR(TYPE(O53)&gt;1,TYPE(MATCH(O53,U$11:U$203,0))&gt;1),0,MATCH(O53,U$11:U$203,0))+IF(OR(TYPE(O53)&gt;1,TYPE(MATCH(O53,AA$11:AA$203,0))&gt;1),0,MATCH(O53,AA$11:AA$203,0))</f>
        <v>0</v>
      </c>
      <c r="AP53" s="72">
        <f ca="1">IF(OR(TYPE(U53)&gt;1,TYPE(MATCH(U53,I$11:I$203,0))&gt;1),0,MATCH(U53,I$11:I$203,0))+IF(OR(TYPE(U53)&gt;1,TYPE(MATCH(U53,O$11:O$203,0))&gt;1),0,MATCH(U53,O$11:O$203,0))+IF(OR(TYPE(U53)&gt;1,TYPE(MATCH(U53,U54:U$203,0))&gt;1),0,MATCH(U53,U54:U$203,0))+IF(OR(TYPE(U53)&gt;1,TYPE(MATCH(U53,AA$11:AA$203,0))&gt;1),0,MATCH(U53,AA$11:AA$203,0))</f>
        <v>0</v>
      </c>
      <c r="AQ53" s="72">
        <f ca="1">IF(OR(TYPE(AA53)&gt;1,TYPE(MATCH(AA53,I$11:I$203,0))&gt;1),0,MATCH(AA53,I$11:I$203,0))+IF(OR(TYPE(AA53)&gt;1,TYPE(MATCH(AA53,O$11:O$203,0))&gt;1),0,MATCH(AA53,O$11:O$203,0))+IF(OR(TYPE(AA53)&gt;1,TYPE(MATCH(AA53,U$11:U$203,0))&gt;1),0,MATCH(U53,U$11:U$203,0))+IF(OR(TYPE(AA53)&gt;1,TYPE(MATCH(AA53,AA54:AA$203,0))&gt;1),0,MATCH(AA53,AA54:AA$203,0))</f>
        <v>0</v>
      </c>
      <c r="AR53" s="72">
        <f t="shared" ca="1" si="29"/>
        <v>0</v>
      </c>
    </row>
    <row r="54" spans="1:44" ht="14.25">
      <c r="A54" s="103">
        <f t="shared" ca="1" si="15"/>
        <v>0</v>
      </c>
      <c r="B54" s="103">
        <f t="shared" ca="1" si="16"/>
        <v>0</v>
      </c>
      <c r="C54" s="156">
        <f t="shared" ca="1" si="17"/>
        <v>0</v>
      </c>
      <c r="D54" s="103">
        <f t="shared" ca="1" si="18"/>
        <v>99999</v>
      </c>
      <c r="E54" s="103">
        <f t="shared" ca="1" si="19"/>
        <v>9999</v>
      </c>
      <c r="F54" s="104" t="str">
        <f t="shared" ca="1" si="20"/>
        <v>00000000000000000000517533</v>
      </c>
      <c r="G54" s="145">
        <f t="shared" ca="1" si="21"/>
        <v>1</v>
      </c>
      <c r="H54" s="146">
        <f t="shared" si="22"/>
        <v>44</v>
      </c>
      <c r="I54" s="147" t="str">
        <f t="shared" ca="1" si="23"/>
        <v/>
      </c>
      <c r="J54" s="148" t="str">
        <f ca="1">IF(N(I54)&gt;0,VLOOKUP(I54,Hraci!$A$1:$I$1000,2,0),IF(TYPE(INDIRECT(ADDRESS(ROW() + $A$9-9 + (ROW()-11)*4,2,1,1,"Internet")))&gt;1,INDIRECT(ADDRESS(ROW() + $A$9-9 + (ROW()-11)*4,2,1,1,"Internet"))," "))</f>
        <v xml:space="preserve"> </v>
      </c>
      <c r="K54" s="149" t="str">
        <f ca="1">IF(N(I54)&gt;0,VLOOKUP(I54,Hraci!$A$1:$I$1000,3,0)," ")</f>
        <v xml:space="preserve"> </v>
      </c>
      <c r="L54" s="149" t="str">
        <f ca="1">IF(N(I54)&gt;0,VLOOKUP(I54,Hraci!$A$1:$I$1000,5,0),IF(TYPE(INDIRECT(ADDRESS(ROW() + $A$9-9 + (ROW()-11)*4,3,1,1,"Internet")))&gt;1,INDIRECT(ADDRESS(ROW() + $A$9-9 + (ROW()-11)*4,3,1,1,"Internet"))," "))</f>
        <v xml:space="preserve"> </v>
      </c>
      <c r="M54" s="149">
        <f ca="1">IF(N(I54)=0,9999,VLOOKUP(I54,Hraci!$A$1:$I$1000,8,0))</f>
        <v>9999</v>
      </c>
      <c r="N54" s="150">
        <f ca="1">IF(N(I54)=0,0,VLOOKUP(I54,Hraci!$A$1:$I$1000,9,0))</f>
        <v>0</v>
      </c>
      <c r="O54" s="147" t="str">
        <f t="shared" ca="1" si="24"/>
        <v/>
      </c>
      <c r="P54" s="148" t="str">
        <f ca="1">IF(N(O54)&gt;0,VLOOKUP(O54,Hraci!$A$1:$I$1000,2,0),IF(TYPE(INDIRECT(ADDRESS(ROW() + $A$9-8 + (ROW()-11)*4,2,1,1,"Internet")))&gt;1,INDIRECT(ADDRESS(ROW() + $A$9-8 + (ROW()-11)*4,2,1,1,"Internet"))," "))</f>
        <v xml:space="preserve"> </v>
      </c>
      <c r="Q54" s="149" t="str">
        <f ca="1">IF(N(O54)&gt;0,VLOOKUP(O54,Hraci!$A$1:$I$1000,3,0)," ")</f>
        <v xml:space="preserve"> </v>
      </c>
      <c r="R54" s="149" t="str">
        <f ca="1">IF(N(O54)&gt;0,VLOOKUP(O54,Hraci!$A$1:$I$1000,5,0),IF(TYPE(INDIRECT(ADDRESS(ROW() + $A$9-8 + (ROW()-11)*4,3,1,1,"Internet")))&gt;1,INDIRECT(ADDRESS(ROW() + $A$9-8 + (ROW()-11)*4,3,1,1,"Internet"))," "))</f>
        <v xml:space="preserve"> </v>
      </c>
      <c r="S54" s="149">
        <f ca="1">IF(N(O54)=0,9999,VLOOKUP(O54,Hraci!$A$1:$I$1000,8,0))</f>
        <v>9999</v>
      </c>
      <c r="T54" s="150">
        <f ca="1">IF(N(O54)=0,0,VLOOKUP(O54,Hraci!$A$1:$I$1000,9,0))</f>
        <v>0</v>
      </c>
      <c r="U54" s="147" t="str">
        <f t="shared" ca="1" si="25"/>
        <v/>
      </c>
      <c r="V54" s="148" t="str">
        <f ca="1">IF(N(U54)&gt;0,VLOOKUP(U54,Hraci!$A$1:$I$1000,2,0),IF(TYPE(INDIRECT(ADDRESS(ROW() + $A$9-7 + (ROW()-11)*4,2,1,1,"Internet")))&gt;1,INDIRECT(ADDRESS(ROW() + $A$9-7 + (ROW()-11)*4,2,1,1,"Internet"))," "))</f>
        <v xml:space="preserve"> </v>
      </c>
      <c r="W54" s="149" t="str">
        <f ca="1">IF(N(U54)&gt;0,VLOOKUP(U54,Hraci!$A$1:$I$1000,3,0)," ")</f>
        <v xml:space="preserve"> </v>
      </c>
      <c r="X54" s="149" t="str">
        <f ca="1">IF(N(U54)&gt;0,VLOOKUP(U54,Hraci!$A$1:$I$1000,5,0),IF(TYPE(INDIRECT(ADDRESS(ROW() + $A$9-7 + (ROW()-11)*4,3,1,1,"Internet")))&gt;1,INDIRECT(ADDRESS(ROW() + $A$9-7 + (ROW()-11)*4,3,1,1,"Internet"))," "))</f>
        <v xml:space="preserve"> </v>
      </c>
      <c r="Y54" s="149">
        <f ca="1">IF(N(U54)=0,9999,VLOOKUP(U54,Hraci!$A$1:$I$1000,8,0))</f>
        <v>9999</v>
      </c>
      <c r="Z54" s="150">
        <f ca="1">IF(N(U54)=0,0,VLOOKUP(U54,Hraci!$A$1:$I$1000,9,0))</f>
        <v>0</v>
      </c>
      <c r="AA54" s="147" t="str">
        <f t="shared" ca="1" si="26"/>
        <v/>
      </c>
      <c r="AB54" s="148" t="str">
        <f ca="1">IF(N(AA54)&gt;0,VLOOKUP(AA54,Hraci!$A$1:$I$1000,2,0)," ")</f>
        <v xml:space="preserve"> </v>
      </c>
      <c r="AC54" s="149" t="str">
        <f ca="1">IF(N(AA54)&gt;0,VLOOKUP(AA54,Hraci!$A$1:$I$1000,3,0)," ")</f>
        <v xml:space="preserve"> </v>
      </c>
      <c r="AD54" s="149" t="str">
        <f ca="1">IF(N(AA54)&gt;0,VLOOKUP(AA54,Hraci!$A$1:$I$1000,5,0)," ")</f>
        <v xml:space="preserve"> </v>
      </c>
      <c r="AE54" s="149">
        <f ca="1">IF(N(AA54)=0,9999,VLOOKUP(AA54,Hraci!$A$1:$I$1000,8,0))</f>
        <v>9999</v>
      </c>
      <c r="AF54" s="150">
        <f ca="1">IF(N(AA54)=0,0,VLOOKUP(AA54,Hraci!$A$1:$I$1000,9,0))</f>
        <v>0</v>
      </c>
      <c r="AG54" s="147"/>
      <c r="AH54" s="151">
        <f ca="1">IF(TYPE(VLOOKUP(H54,Nasazení!$A$3:$E$130,5,0))&lt;4,VLOOKUP(H54,Nasazení!$A$3:$E$130,5,0),0)</f>
        <v>0</v>
      </c>
      <c r="AI54" s="152" t="str">
        <f ca="1">IF(N($AH54)&gt;0,VLOOKUP($AH54,Body!$A$4:$F$259,5,0),"")</f>
        <v/>
      </c>
      <c r="AJ54" s="153" t="str">
        <f ca="1">IF(N($AH54)&gt;0,VLOOKUP($AH54,Body!$A$4:$F$259,6,0),"")</f>
        <v/>
      </c>
      <c r="AK54" s="152" t="str">
        <f ca="1">IF(N($AH54)&gt;0,VLOOKUP($AH54,Body!$A$4:$F$259,2,0),"")</f>
        <v/>
      </c>
      <c r="AL54" s="154" t="str">
        <f t="shared" ca="1" si="27"/>
        <v/>
      </c>
      <c r="AM54" s="155">
        <f t="shared" ca="1" si="28"/>
        <v>0</v>
      </c>
      <c r="AN54" s="72">
        <f ca="1">IF(OR(TYPE(I54)&gt;1,TYPE(MATCH(I54,I55:I$203,0))&gt;1),0,MATCH(I54,I55:I$203,0))+IF(OR(TYPE(I54)&gt;1,TYPE(MATCH(I54,O$11:O$203,0))&gt;1),0,MATCH(I54,O$11:O$203,0))+IF(OR(TYPE(I54)&gt;1,TYPE(MATCH(I54,U$11:U$203,0))&gt;1),0,MATCH(I54,U$11:U$203,0))+IF(OR(TYPE(I54)&gt;1,TYPE(MATCH(I54,AA$11:AA$203,0))&gt;1),0,MATCH(I54,AA$11:AA$203,0))</f>
        <v>0</v>
      </c>
      <c r="AO54" s="72">
        <f ca="1">IF(OR(TYPE(O54)&gt;1,TYPE(MATCH(O54,I$11:I$203,0))&gt;1),0,MATCH(O54,I$11:I$203,0))+IF(OR(TYPE(O54)&gt;1,TYPE(MATCH(O54,O55:O$203,0))&gt;1),0,MATCH(O54,O55:O$203,0))+IF(OR(TYPE(O54)&gt;1,TYPE(MATCH(O54,U$11:U$203,0))&gt;1),0,MATCH(O54,U$11:U$203,0))+IF(OR(TYPE(O54)&gt;1,TYPE(MATCH(O54,AA$11:AA$203,0))&gt;1),0,MATCH(O54,AA$11:AA$203,0))</f>
        <v>0</v>
      </c>
      <c r="AP54" s="72">
        <f ca="1">IF(OR(TYPE(U54)&gt;1,TYPE(MATCH(U54,I$11:I$203,0))&gt;1),0,MATCH(U54,I$11:I$203,0))+IF(OR(TYPE(U54)&gt;1,TYPE(MATCH(U54,O$11:O$203,0))&gt;1),0,MATCH(U54,O$11:O$203,0))+IF(OR(TYPE(U54)&gt;1,TYPE(MATCH(U54,U55:U$203,0))&gt;1),0,MATCH(U54,U55:U$203,0))+IF(OR(TYPE(U54)&gt;1,TYPE(MATCH(U54,AA$11:AA$203,0))&gt;1),0,MATCH(U54,AA$11:AA$203,0))</f>
        <v>0</v>
      </c>
      <c r="AQ54" s="72">
        <f ca="1">IF(OR(TYPE(AA54)&gt;1,TYPE(MATCH(AA54,I$11:I$203,0))&gt;1),0,MATCH(AA54,I$11:I$203,0))+IF(OR(TYPE(AA54)&gt;1,TYPE(MATCH(AA54,O$11:O$203,0))&gt;1),0,MATCH(AA54,O$11:O$203,0))+IF(OR(TYPE(AA54)&gt;1,TYPE(MATCH(AA54,U$11:U$203,0))&gt;1),0,MATCH(U54,U$11:U$203,0))+IF(OR(TYPE(AA54)&gt;1,TYPE(MATCH(AA54,AA55:AA$203,0))&gt;1),0,MATCH(AA54,AA55:AA$203,0))</f>
        <v>0</v>
      </c>
      <c r="AR54" s="72">
        <f t="shared" ca="1" si="29"/>
        <v>0</v>
      </c>
    </row>
    <row r="55" spans="1:44" ht="14.25">
      <c r="A55" s="103">
        <f t="shared" ca="1" si="15"/>
        <v>0</v>
      </c>
      <c r="B55" s="103">
        <f t="shared" ca="1" si="16"/>
        <v>0</v>
      </c>
      <c r="C55" s="156">
        <f t="shared" ca="1" si="17"/>
        <v>0</v>
      </c>
      <c r="D55" s="103">
        <f t="shared" ca="1" si="18"/>
        <v>99999</v>
      </c>
      <c r="E55" s="103">
        <f t="shared" ca="1" si="19"/>
        <v>9999</v>
      </c>
      <c r="F55" s="104" t="str">
        <f t="shared" ca="1" si="20"/>
        <v>00000000000000000000529316</v>
      </c>
      <c r="G55" s="145">
        <f t="shared" ca="1" si="21"/>
        <v>1</v>
      </c>
      <c r="H55" s="146">
        <f t="shared" si="22"/>
        <v>45</v>
      </c>
      <c r="I55" s="147" t="str">
        <f t="shared" ca="1" si="23"/>
        <v/>
      </c>
      <c r="J55" s="148" t="str">
        <f ca="1">IF(N(I55)&gt;0,VLOOKUP(I55,Hraci!$A$1:$I$1000,2,0),IF(TYPE(INDIRECT(ADDRESS(ROW() + $A$9-9 + (ROW()-11)*4,2,1,1,"Internet")))&gt;1,INDIRECT(ADDRESS(ROW() + $A$9-9 + (ROW()-11)*4,2,1,1,"Internet"))," "))</f>
        <v xml:space="preserve"> </v>
      </c>
      <c r="K55" s="149" t="str">
        <f ca="1">IF(N(I55)&gt;0,VLOOKUP(I55,Hraci!$A$1:$I$1000,3,0)," ")</f>
        <v xml:space="preserve"> </v>
      </c>
      <c r="L55" s="149" t="str">
        <f ca="1">IF(N(I55)&gt;0,VLOOKUP(I55,Hraci!$A$1:$I$1000,5,0),IF(TYPE(INDIRECT(ADDRESS(ROW() + $A$9-9 + (ROW()-11)*4,3,1,1,"Internet")))&gt;1,INDIRECT(ADDRESS(ROW() + $A$9-9 + (ROW()-11)*4,3,1,1,"Internet"))," "))</f>
        <v xml:space="preserve"> </v>
      </c>
      <c r="M55" s="149">
        <f ca="1">IF(N(I55)=0,9999,VLOOKUP(I55,Hraci!$A$1:$I$1000,8,0))</f>
        <v>9999</v>
      </c>
      <c r="N55" s="150">
        <f ca="1">IF(N(I55)=0,0,VLOOKUP(I55,Hraci!$A$1:$I$1000,9,0))</f>
        <v>0</v>
      </c>
      <c r="O55" s="147" t="str">
        <f t="shared" ca="1" si="24"/>
        <v/>
      </c>
      <c r="P55" s="148" t="str">
        <f ca="1">IF(N(O55)&gt;0,VLOOKUP(O55,Hraci!$A$1:$I$1000,2,0),IF(TYPE(INDIRECT(ADDRESS(ROW() + $A$9-8 + (ROW()-11)*4,2,1,1,"Internet")))&gt;1,INDIRECT(ADDRESS(ROW() + $A$9-8 + (ROW()-11)*4,2,1,1,"Internet"))," "))</f>
        <v xml:space="preserve"> </v>
      </c>
      <c r="Q55" s="149" t="str">
        <f ca="1">IF(N(O55)&gt;0,VLOOKUP(O55,Hraci!$A$1:$I$1000,3,0)," ")</f>
        <v xml:space="preserve"> </v>
      </c>
      <c r="R55" s="149" t="str">
        <f ca="1">IF(N(O55)&gt;0,VLOOKUP(O55,Hraci!$A$1:$I$1000,5,0),IF(TYPE(INDIRECT(ADDRESS(ROW() + $A$9-8 + (ROW()-11)*4,3,1,1,"Internet")))&gt;1,INDIRECT(ADDRESS(ROW() + $A$9-8 + (ROW()-11)*4,3,1,1,"Internet"))," "))</f>
        <v xml:space="preserve"> </v>
      </c>
      <c r="S55" s="149">
        <f ca="1">IF(N(O55)=0,9999,VLOOKUP(O55,Hraci!$A$1:$I$1000,8,0))</f>
        <v>9999</v>
      </c>
      <c r="T55" s="150">
        <f ca="1">IF(N(O55)=0,0,VLOOKUP(O55,Hraci!$A$1:$I$1000,9,0))</f>
        <v>0</v>
      </c>
      <c r="U55" s="147" t="str">
        <f t="shared" ca="1" si="25"/>
        <v/>
      </c>
      <c r="V55" s="148" t="str">
        <f ca="1">IF(N(U55)&gt;0,VLOOKUP(U55,Hraci!$A$1:$I$1000,2,0),IF(TYPE(INDIRECT(ADDRESS(ROW() + $A$9-7 + (ROW()-11)*4,2,1,1,"Internet")))&gt;1,INDIRECT(ADDRESS(ROW() + $A$9-7 + (ROW()-11)*4,2,1,1,"Internet"))," "))</f>
        <v xml:space="preserve"> </v>
      </c>
      <c r="W55" s="149" t="str">
        <f ca="1">IF(N(U55)&gt;0,VLOOKUP(U55,Hraci!$A$1:$I$1000,3,0)," ")</f>
        <v xml:space="preserve"> </v>
      </c>
      <c r="X55" s="149" t="str">
        <f ca="1">IF(N(U55)&gt;0,VLOOKUP(U55,Hraci!$A$1:$I$1000,5,0),IF(TYPE(INDIRECT(ADDRESS(ROW() + $A$9-7 + (ROW()-11)*4,3,1,1,"Internet")))&gt;1,INDIRECT(ADDRESS(ROW() + $A$9-7 + (ROW()-11)*4,3,1,1,"Internet"))," "))</f>
        <v xml:space="preserve"> </v>
      </c>
      <c r="Y55" s="149">
        <f ca="1">IF(N(U55)=0,9999,VLOOKUP(U55,Hraci!$A$1:$I$1000,8,0))</f>
        <v>9999</v>
      </c>
      <c r="Z55" s="150">
        <f ca="1">IF(N(U55)=0,0,VLOOKUP(U55,Hraci!$A$1:$I$1000,9,0))</f>
        <v>0</v>
      </c>
      <c r="AA55" s="147" t="str">
        <f t="shared" ca="1" si="26"/>
        <v/>
      </c>
      <c r="AB55" s="148" t="str">
        <f ca="1">IF(N(AA55)&gt;0,VLOOKUP(AA55,Hraci!$A$1:$I$1000,2,0)," ")</f>
        <v xml:space="preserve"> </v>
      </c>
      <c r="AC55" s="149" t="str">
        <f ca="1">IF(N(AA55)&gt;0,VLOOKUP(AA55,Hraci!$A$1:$I$1000,3,0)," ")</f>
        <v xml:space="preserve"> </v>
      </c>
      <c r="AD55" s="149" t="str">
        <f ca="1">IF(N(AA55)&gt;0,VLOOKUP(AA55,Hraci!$A$1:$I$1000,5,0)," ")</f>
        <v xml:space="preserve"> </v>
      </c>
      <c r="AE55" s="149">
        <f ca="1">IF(N(AA55)=0,9999,VLOOKUP(AA55,Hraci!$A$1:$I$1000,8,0))</f>
        <v>9999</v>
      </c>
      <c r="AF55" s="150">
        <f ca="1">IF(N(AA55)=0,0,VLOOKUP(AA55,Hraci!$A$1:$I$1000,9,0))</f>
        <v>0</v>
      </c>
      <c r="AG55" s="147"/>
      <c r="AH55" s="151">
        <f ca="1">IF(TYPE(VLOOKUP(H55,Nasazení!$A$3:$E$130,5,0))&lt;4,VLOOKUP(H55,Nasazení!$A$3:$E$130,5,0),0)</f>
        <v>0</v>
      </c>
      <c r="AI55" s="152" t="str">
        <f ca="1">IF(N($AH55)&gt;0,VLOOKUP($AH55,Body!$A$4:$F$259,5,0),"")</f>
        <v/>
      </c>
      <c r="AJ55" s="153" t="str">
        <f ca="1">IF(N($AH55)&gt;0,VLOOKUP($AH55,Body!$A$4:$F$259,6,0),"")</f>
        <v/>
      </c>
      <c r="AK55" s="152" t="str">
        <f ca="1">IF(N($AH55)&gt;0,VLOOKUP($AH55,Body!$A$4:$F$259,2,0),"")</f>
        <v/>
      </c>
      <c r="AL55" s="154" t="str">
        <f t="shared" ca="1" si="27"/>
        <v/>
      </c>
      <c r="AM55" s="155">
        <f t="shared" ca="1" si="28"/>
        <v>0</v>
      </c>
      <c r="AN55" s="72">
        <f ca="1">IF(OR(TYPE(I55)&gt;1,TYPE(MATCH(I55,I56:I$203,0))&gt;1),0,MATCH(I55,I56:I$203,0))+IF(OR(TYPE(I55)&gt;1,TYPE(MATCH(I55,O$11:O$203,0))&gt;1),0,MATCH(I55,O$11:O$203,0))+IF(OR(TYPE(I55)&gt;1,TYPE(MATCH(I55,U$11:U$203,0))&gt;1),0,MATCH(I55,U$11:U$203,0))+IF(OR(TYPE(I55)&gt;1,TYPE(MATCH(I55,AA$11:AA$203,0))&gt;1),0,MATCH(I55,AA$11:AA$203,0))</f>
        <v>0</v>
      </c>
      <c r="AO55" s="72">
        <f ca="1">IF(OR(TYPE(O55)&gt;1,TYPE(MATCH(O55,I$11:I$203,0))&gt;1),0,MATCH(O55,I$11:I$203,0))+IF(OR(TYPE(O55)&gt;1,TYPE(MATCH(O55,O56:O$203,0))&gt;1),0,MATCH(O55,O56:O$203,0))+IF(OR(TYPE(O55)&gt;1,TYPE(MATCH(O55,U$11:U$203,0))&gt;1),0,MATCH(O55,U$11:U$203,0))+IF(OR(TYPE(O55)&gt;1,TYPE(MATCH(O55,AA$11:AA$203,0))&gt;1),0,MATCH(O55,AA$11:AA$203,0))</f>
        <v>0</v>
      </c>
      <c r="AP55" s="72">
        <f ca="1">IF(OR(TYPE(U55)&gt;1,TYPE(MATCH(U55,I$11:I$203,0))&gt;1),0,MATCH(U55,I$11:I$203,0))+IF(OR(TYPE(U55)&gt;1,TYPE(MATCH(U55,O$11:O$203,0))&gt;1),0,MATCH(U55,O$11:O$203,0))+IF(OR(TYPE(U55)&gt;1,TYPE(MATCH(U55,U56:U$203,0))&gt;1),0,MATCH(U55,U56:U$203,0))+IF(OR(TYPE(U55)&gt;1,TYPE(MATCH(U55,AA$11:AA$203,0))&gt;1),0,MATCH(U55,AA$11:AA$203,0))</f>
        <v>0</v>
      </c>
      <c r="AQ55" s="72">
        <f ca="1">IF(OR(TYPE(AA55)&gt;1,TYPE(MATCH(AA55,I$11:I$203,0))&gt;1),0,MATCH(AA55,I$11:I$203,0))+IF(OR(TYPE(AA55)&gt;1,TYPE(MATCH(AA55,O$11:O$203,0))&gt;1),0,MATCH(AA55,O$11:O$203,0))+IF(OR(TYPE(AA55)&gt;1,TYPE(MATCH(AA55,U$11:U$203,0))&gt;1),0,MATCH(U55,U$11:U$203,0))+IF(OR(TYPE(AA55)&gt;1,TYPE(MATCH(AA55,AA56:AA$203,0))&gt;1),0,MATCH(AA55,AA56:AA$203,0))</f>
        <v>0</v>
      </c>
      <c r="AR55" s="72">
        <f t="shared" ca="1" si="29"/>
        <v>0</v>
      </c>
    </row>
    <row r="56" spans="1:44" ht="14.25">
      <c r="A56" s="103">
        <f t="shared" ca="1" si="15"/>
        <v>0</v>
      </c>
      <c r="B56" s="103">
        <f t="shared" ca="1" si="16"/>
        <v>0</v>
      </c>
      <c r="C56" s="156">
        <f t="shared" ca="1" si="17"/>
        <v>0</v>
      </c>
      <c r="D56" s="103">
        <f t="shared" ca="1" si="18"/>
        <v>99999</v>
      </c>
      <c r="E56" s="103">
        <f t="shared" ca="1" si="19"/>
        <v>9999</v>
      </c>
      <c r="F56" s="104" t="str">
        <f t="shared" ca="1" si="20"/>
        <v>00000000000000000000620410</v>
      </c>
      <c r="G56" s="145">
        <f t="shared" ca="1" si="21"/>
        <v>1</v>
      </c>
      <c r="H56" s="146">
        <f t="shared" si="22"/>
        <v>46</v>
      </c>
      <c r="I56" s="147" t="str">
        <f t="shared" ca="1" si="23"/>
        <v/>
      </c>
      <c r="J56" s="148" t="str">
        <f ca="1">IF(N(I56)&gt;0,VLOOKUP(I56,Hraci!$A$1:$I$1000,2,0),IF(TYPE(INDIRECT(ADDRESS(ROW() + $A$9-9 + (ROW()-11)*4,2,1,1,"Internet")))&gt;1,INDIRECT(ADDRESS(ROW() + $A$9-9 + (ROW()-11)*4,2,1,1,"Internet"))," "))</f>
        <v xml:space="preserve"> </v>
      </c>
      <c r="K56" s="149" t="str">
        <f ca="1">IF(N(I56)&gt;0,VLOOKUP(I56,Hraci!$A$1:$I$1000,3,0)," ")</f>
        <v xml:space="preserve"> </v>
      </c>
      <c r="L56" s="149" t="str">
        <f ca="1">IF(N(I56)&gt;0,VLOOKUP(I56,Hraci!$A$1:$I$1000,5,0),IF(TYPE(INDIRECT(ADDRESS(ROW() + $A$9-9 + (ROW()-11)*4,3,1,1,"Internet")))&gt;1,INDIRECT(ADDRESS(ROW() + $A$9-9 + (ROW()-11)*4,3,1,1,"Internet"))," "))</f>
        <v xml:space="preserve"> </v>
      </c>
      <c r="M56" s="149">
        <f ca="1">IF(N(I56)=0,9999,VLOOKUP(I56,Hraci!$A$1:$I$1000,8,0))</f>
        <v>9999</v>
      </c>
      <c r="N56" s="150">
        <f ca="1">IF(N(I56)=0,0,VLOOKUP(I56,Hraci!$A$1:$I$1000,9,0))</f>
        <v>0</v>
      </c>
      <c r="O56" s="147" t="str">
        <f t="shared" ca="1" si="24"/>
        <v/>
      </c>
      <c r="P56" s="148" t="str">
        <f ca="1">IF(N(O56)&gt;0,VLOOKUP(O56,Hraci!$A$1:$I$1000,2,0),IF(TYPE(INDIRECT(ADDRESS(ROW() + $A$9-8 + (ROW()-11)*4,2,1,1,"Internet")))&gt;1,INDIRECT(ADDRESS(ROW() + $A$9-8 + (ROW()-11)*4,2,1,1,"Internet"))," "))</f>
        <v xml:space="preserve"> </v>
      </c>
      <c r="Q56" s="149" t="str">
        <f ca="1">IF(N(O56)&gt;0,VLOOKUP(O56,Hraci!$A$1:$I$1000,3,0)," ")</f>
        <v xml:space="preserve"> </v>
      </c>
      <c r="R56" s="149" t="str">
        <f ca="1">IF(N(O56)&gt;0,VLOOKUP(O56,Hraci!$A$1:$I$1000,5,0),IF(TYPE(INDIRECT(ADDRESS(ROW() + $A$9-8 + (ROW()-11)*4,3,1,1,"Internet")))&gt;1,INDIRECT(ADDRESS(ROW() + $A$9-8 + (ROW()-11)*4,3,1,1,"Internet"))," "))</f>
        <v xml:space="preserve"> </v>
      </c>
      <c r="S56" s="149">
        <f ca="1">IF(N(O56)=0,9999,VLOOKUP(O56,Hraci!$A$1:$I$1000,8,0))</f>
        <v>9999</v>
      </c>
      <c r="T56" s="150">
        <f ca="1">IF(N(O56)=0,0,VLOOKUP(O56,Hraci!$A$1:$I$1000,9,0))</f>
        <v>0</v>
      </c>
      <c r="U56" s="147" t="str">
        <f t="shared" ca="1" si="25"/>
        <v/>
      </c>
      <c r="V56" s="148" t="str">
        <f ca="1">IF(N(U56)&gt;0,VLOOKUP(U56,Hraci!$A$1:$I$1000,2,0),IF(TYPE(INDIRECT(ADDRESS(ROW() + $A$9-7 + (ROW()-11)*4,2,1,1,"Internet")))&gt;1,INDIRECT(ADDRESS(ROW() + $A$9-7 + (ROW()-11)*4,2,1,1,"Internet"))," "))</f>
        <v xml:space="preserve"> </v>
      </c>
      <c r="W56" s="149" t="str">
        <f ca="1">IF(N(U56)&gt;0,VLOOKUP(U56,Hraci!$A$1:$I$1000,3,0)," ")</f>
        <v xml:space="preserve"> </v>
      </c>
      <c r="X56" s="149" t="str">
        <f ca="1">IF(N(U56)&gt;0,VLOOKUP(U56,Hraci!$A$1:$I$1000,5,0),IF(TYPE(INDIRECT(ADDRESS(ROW() + $A$9-7 + (ROW()-11)*4,3,1,1,"Internet")))&gt;1,INDIRECT(ADDRESS(ROW() + $A$9-7 + (ROW()-11)*4,3,1,1,"Internet"))," "))</f>
        <v xml:space="preserve"> </v>
      </c>
      <c r="Y56" s="149">
        <f ca="1">IF(N(U56)=0,9999,VLOOKUP(U56,Hraci!$A$1:$I$1000,8,0))</f>
        <v>9999</v>
      </c>
      <c r="Z56" s="150">
        <f ca="1">IF(N(U56)=0,0,VLOOKUP(U56,Hraci!$A$1:$I$1000,9,0))</f>
        <v>0</v>
      </c>
      <c r="AA56" s="147" t="str">
        <f t="shared" ca="1" si="26"/>
        <v/>
      </c>
      <c r="AB56" s="148" t="str">
        <f ca="1">IF(N(AA56)&gt;0,VLOOKUP(AA56,Hraci!$A$1:$I$1000,2,0)," ")</f>
        <v xml:space="preserve"> </v>
      </c>
      <c r="AC56" s="149" t="str">
        <f ca="1">IF(N(AA56)&gt;0,VLOOKUP(AA56,Hraci!$A$1:$I$1000,3,0)," ")</f>
        <v xml:space="preserve"> </v>
      </c>
      <c r="AD56" s="149" t="str">
        <f ca="1">IF(N(AA56)&gt;0,VLOOKUP(AA56,Hraci!$A$1:$I$1000,5,0)," ")</f>
        <v xml:space="preserve"> </v>
      </c>
      <c r="AE56" s="149">
        <f ca="1">IF(N(AA56)=0,9999,VLOOKUP(AA56,Hraci!$A$1:$I$1000,8,0))</f>
        <v>9999</v>
      </c>
      <c r="AF56" s="150">
        <f ca="1">IF(N(AA56)=0,0,VLOOKUP(AA56,Hraci!$A$1:$I$1000,9,0))</f>
        <v>0</v>
      </c>
      <c r="AG56" s="147"/>
      <c r="AH56" s="151">
        <f ca="1">IF(TYPE(VLOOKUP(H56,Nasazení!$A$3:$E$130,5,0))&lt;4,VLOOKUP(H56,Nasazení!$A$3:$E$130,5,0),0)</f>
        <v>0</v>
      </c>
      <c r="AI56" s="152" t="str">
        <f ca="1">IF(N($AH56)&gt;0,VLOOKUP($AH56,Body!$A$4:$F$259,5,0),"")</f>
        <v/>
      </c>
      <c r="AJ56" s="153" t="str">
        <f ca="1">IF(N($AH56)&gt;0,VLOOKUP($AH56,Body!$A$4:$F$259,6,0),"")</f>
        <v/>
      </c>
      <c r="AK56" s="152" t="str">
        <f ca="1">IF(N($AH56)&gt;0,VLOOKUP($AH56,Body!$A$4:$F$259,2,0),"")</f>
        <v/>
      </c>
      <c r="AL56" s="154" t="str">
        <f t="shared" ca="1" si="27"/>
        <v/>
      </c>
      <c r="AM56" s="155">
        <f t="shared" ca="1" si="28"/>
        <v>0</v>
      </c>
      <c r="AN56" s="72">
        <f ca="1">IF(OR(TYPE(I56)&gt;1,TYPE(MATCH(I56,I57:I$203,0))&gt;1),0,MATCH(I56,I57:I$203,0))+IF(OR(TYPE(I56)&gt;1,TYPE(MATCH(I56,O$11:O$203,0))&gt;1),0,MATCH(I56,O$11:O$203,0))+IF(OR(TYPE(I56)&gt;1,TYPE(MATCH(I56,U$11:U$203,0))&gt;1),0,MATCH(I56,U$11:U$203,0))+IF(OR(TYPE(I56)&gt;1,TYPE(MATCH(I56,AA$11:AA$203,0))&gt;1),0,MATCH(I56,AA$11:AA$203,0))</f>
        <v>0</v>
      </c>
      <c r="AO56" s="72">
        <f ca="1">IF(OR(TYPE(O56)&gt;1,TYPE(MATCH(O56,I$11:I$203,0))&gt;1),0,MATCH(O56,I$11:I$203,0))+IF(OR(TYPE(O56)&gt;1,TYPE(MATCH(O56,O57:O$203,0))&gt;1),0,MATCH(O56,O57:O$203,0))+IF(OR(TYPE(O56)&gt;1,TYPE(MATCH(O56,U$11:U$203,0))&gt;1),0,MATCH(O56,U$11:U$203,0))+IF(OR(TYPE(O56)&gt;1,TYPE(MATCH(O56,AA$11:AA$203,0))&gt;1),0,MATCH(O56,AA$11:AA$203,0))</f>
        <v>0</v>
      </c>
      <c r="AP56" s="72">
        <f ca="1">IF(OR(TYPE(U56)&gt;1,TYPE(MATCH(U56,I$11:I$203,0))&gt;1),0,MATCH(U56,I$11:I$203,0))+IF(OR(TYPE(U56)&gt;1,TYPE(MATCH(U56,O$11:O$203,0))&gt;1),0,MATCH(U56,O$11:O$203,0))+IF(OR(TYPE(U56)&gt;1,TYPE(MATCH(U56,U57:U$203,0))&gt;1),0,MATCH(U56,U57:U$203,0))+IF(OR(TYPE(U56)&gt;1,TYPE(MATCH(U56,AA$11:AA$203,0))&gt;1),0,MATCH(U56,AA$11:AA$203,0))</f>
        <v>0</v>
      </c>
      <c r="AQ56" s="72">
        <f ca="1">IF(OR(TYPE(AA56)&gt;1,TYPE(MATCH(AA56,I$11:I$203,0))&gt;1),0,MATCH(AA56,I$11:I$203,0))+IF(OR(TYPE(AA56)&gt;1,TYPE(MATCH(AA56,O$11:O$203,0))&gt;1),0,MATCH(AA56,O$11:O$203,0))+IF(OR(TYPE(AA56)&gt;1,TYPE(MATCH(AA56,U$11:U$203,0))&gt;1),0,MATCH(U56,U$11:U$203,0))+IF(OR(TYPE(AA56)&gt;1,TYPE(MATCH(AA56,AA57:AA$203,0))&gt;1),0,MATCH(AA56,AA57:AA$203,0))</f>
        <v>0</v>
      </c>
      <c r="AR56" s="72">
        <f t="shared" ca="1" si="29"/>
        <v>0</v>
      </c>
    </row>
    <row r="57" spans="1:44" ht="14.25">
      <c r="A57" s="103">
        <f t="shared" ca="1" si="15"/>
        <v>0</v>
      </c>
      <c r="B57" s="103">
        <f t="shared" ca="1" si="16"/>
        <v>0</v>
      </c>
      <c r="C57" s="156">
        <f t="shared" ca="1" si="17"/>
        <v>0</v>
      </c>
      <c r="D57" s="103">
        <f t="shared" ca="1" si="18"/>
        <v>99999</v>
      </c>
      <c r="E57" s="103">
        <f t="shared" ca="1" si="19"/>
        <v>9999</v>
      </c>
      <c r="F57" s="104" t="str">
        <f t="shared" ca="1" si="20"/>
        <v>00000000000000000000730296</v>
      </c>
      <c r="G57" s="145">
        <f t="shared" ca="1" si="21"/>
        <v>1</v>
      </c>
      <c r="H57" s="146">
        <f t="shared" si="22"/>
        <v>47</v>
      </c>
      <c r="I57" s="147" t="str">
        <f t="shared" ca="1" si="23"/>
        <v/>
      </c>
      <c r="J57" s="148" t="str">
        <f ca="1">IF(N(I57)&gt;0,VLOOKUP(I57,Hraci!$A$1:$I$1000,2,0),IF(TYPE(INDIRECT(ADDRESS(ROW() + $A$9-9 + (ROW()-11)*4,2,1,1,"Internet")))&gt;1,INDIRECT(ADDRESS(ROW() + $A$9-9 + (ROW()-11)*4,2,1,1,"Internet"))," "))</f>
        <v xml:space="preserve"> </v>
      </c>
      <c r="K57" s="149" t="str">
        <f ca="1">IF(N(I57)&gt;0,VLOOKUP(I57,Hraci!$A$1:$I$1000,3,0)," ")</f>
        <v xml:space="preserve"> </v>
      </c>
      <c r="L57" s="149" t="str">
        <f ca="1">IF(N(I57)&gt;0,VLOOKUP(I57,Hraci!$A$1:$I$1000,5,0),IF(TYPE(INDIRECT(ADDRESS(ROW() + $A$9-9 + (ROW()-11)*4,3,1,1,"Internet")))&gt;1,INDIRECT(ADDRESS(ROW() + $A$9-9 + (ROW()-11)*4,3,1,1,"Internet"))," "))</f>
        <v xml:space="preserve"> </v>
      </c>
      <c r="M57" s="149">
        <f ca="1">IF(N(I57)=0,9999,VLOOKUP(I57,Hraci!$A$1:$I$1000,8,0))</f>
        <v>9999</v>
      </c>
      <c r="N57" s="150">
        <f ca="1">IF(N(I57)=0,0,VLOOKUP(I57,Hraci!$A$1:$I$1000,9,0))</f>
        <v>0</v>
      </c>
      <c r="O57" s="147" t="str">
        <f t="shared" ca="1" si="24"/>
        <v/>
      </c>
      <c r="P57" s="148" t="str">
        <f ca="1">IF(N(O57)&gt;0,VLOOKUP(O57,Hraci!$A$1:$I$1000,2,0),IF(TYPE(INDIRECT(ADDRESS(ROW() + $A$9-8 + (ROW()-11)*4,2,1,1,"Internet")))&gt;1,INDIRECT(ADDRESS(ROW() + $A$9-8 + (ROW()-11)*4,2,1,1,"Internet"))," "))</f>
        <v xml:space="preserve"> </v>
      </c>
      <c r="Q57" s="149" t="str">
        <f ca="1">IF(N(O57)&gt;0,VLOOKUP(O57,Hraci!$A$1:$I$1000,3,0)," ")</f>
        <v xml:space="preserve"> </v>
      </c>
      <c r="R57" s="149" t="str">
        <f ca="1">IF(N(O57)&gt;0,VLOOKUP(O57,Hraci!$A$1:$I$1000,5,0),IF(TYPE(INDIRECT(ADDRESS(ROW() + $A$9-8 + (ROW()-11)*4,3,1,1,"Internet")))&gt;1,INDIRECT(ADDRESS(ROW() + $A$9-8 + (ROW()-11)*4,3,1,1,"Internet"))," "))</f>
        <v xml:space="preserve"> </v>
      </c>
      <c r="S57" s="149">
        <f ca="1">IF(N(O57)=0,9999,VLOOKUP(O57,Hraci!$A$1:$I$1000,8,0))</f>
        <v>9999</v>
      </c>
      <c r="T57" s="150">
        <f ca="1">IF(N(O57)=0,0,VLOOKUP(O57,Hraci!$A$1:$I$1000,9,0))</f>
        <v>0</v>
      </c>
      <c r="U57" s="147" t="str">
        <f t="shared" ca="1" si="25"/>
        <v/>
      </c>
      <c r="V57" s="148" t="str">
        <f ca="1">IF(N(U57)&gt;0,VLOOKUP(U57,Hraci!$A$1:$I$1000,2,0),IF(TYPE(INDIRECT(ADDRESS(ROW() + $A$9-7 + (ROW()-11)*4,2,1,1,"Internet")))&gt;1,INDIRECT(ADDRESS(ROW() + $A$9-7 + (ROW()-11)*4,2,1,1,"Internet"))," "))</f>
        <v xml:space="preserve"> </v>
      </c>
      <c r="W57" s="149" t="str">
        <f ca="1">IF(N(U57)&gt;0,VLOOKUP(U57,Hraci!$A$1:$I$1000,3,0)," ")</f>
        <v xml:space="preserve"> </v>
      </c>
      <c r="X57" s="149" t="str">
        <f ca="1">IF(N(U57)&gt;0,VLOOKUP(U57,Hraci!$A$1:$I$1000,5,0),IF(TYPE(INDIRECT(ADDRESS(ROW() + $A$9-7 + (ROW()-11)*4,3,1,1,"Internet")))&gt;1,INDIRECT(ADDRESS(ROW() + $A$9-7 + (ROW()-11)*4,3,1,1,"Internet"))," "))</f>
        <v xml:space="preserve"> </v>
      </c>
      <c r="Y57" s="149">
        <f ca="1">IF(N(U57)=0,9999,VLOOKUP(U57,Hraci!$A$1:$I$1000,8,0))</f>
        <v>9999</v>
      </c>
      <c r="Z57" s="150">
        <f ca="1">IF(N(U57)=0,0,VLOOKUP(U57,Hraci!$A$1:$I$1000,9,0))</f>
        <v>0</v>
      </c>
      <c r="AA57" s="147" t="str">
        <f t="shared" ca="1" si="26"/>
        <v/>
      </c>
      <c r="AB57" s="148" t="str">
        <f ca="1">IF(N(AA57)&gt;0,VLOOKUP(AA57,Hraci!$A$1:$I$1000,2,0)," ")</f>
        <v xml:space="preserve"> </v>
      </c>
      <c r="AC57" s="149" t="str">
        <f ca="1">IF(N(AA57)&gt;0,VLOOKUP(AA57,Hraci!$A$1:$I$1000,3,0)," ")</f>
        <v xml:space="preserve"> </v>
      </c>
      <c r="AD57" s="149" t="str">
        <f ca="1">IF(N(AA57)&gt;0,VLOOKUP(AA57,Hraci!$A$1:$I$1000,5,0)," ")</f>
        <v xml:space="preserve"> </v>
      </c>
      <c r="AE57" s="149">
        <f ca="1">IF(N(AA57)=0,9999,VLOOKUP(AA57,Hraci!$A$1:$I$1000,8,0))</f>
        <v>9999</v>
      </c>
      <c r="AF57" s="150">
        <f ca="1">IF(N(AA57)=0,0,VLOOKUP(AA57,Hraci!$A$1:$I$1000,9,0))</f>
        <v>0</v>
      </c>
      <c r="AG57" s="147"/>
      <c r="AH57" s="151">
        <f ca="1">IF(TYPE(VLOOKUP(H57,Nasazení!$A$3:$E$130,5,0))&lt;4,VLOOKUP(H57,Nasazení!$A$3:$E$130,5,0),0)</f>
        <v>0</v>
      </c>
      <c r="AI57" s="152" t="str">
        <f ca="1">IF(N($AH57)&gt;0,VLOOKUP($AH57,Body!$A$4:$F$259,5,0),"")</f>
        <v/>
      </c>
      <c r="AJ57" s="153" t="str">
        <f ca="1">IF(N($AH57)&gt;0,VLOOKUP($AH57,Body!$A$4:$F$259,6,0),"")</f>
        <v/>
      </c>
      <c r="AK57" s="152" t="str">
        <f ca="1">IF(N($AH57)&gt;0,VLOOKUP($AH57,Body!$A$4:$F$259,2,0),"")</f>
        <v/>
      </c>
      <c r="AL57" s="154" t="str">
        <f t="shared" ca="1" si="27"/>
        <v/>
      </c>
      <c r="AM57" s="155">
        <f t="shared" ca="1" si="28"/>
        <v>0</v>
      </c>
      <c r="AN57" s="72">
        <f ca="1">IF(OR(TYPE(I57)&gt;1,TYPE(MATCH(I57,I58:I$203,0))&gt;1),0,MATCH(I57,I58:I$203,0))+IF(OR(TYPE(I57)&gt;1,TYPE(MATCH(I57,O$11:O$203,0))&gt;1),0,MATCH(I57,O$11:O$203,0))+IF(OR(TYPE(I57)&gt;1,TYPE(MATCH(I57,U$11:U$203,0))&gt;1),0,MATCH(I57,U$11:U$203,0))+IF(OR(TYPE(I57)&gt;1,TYPE(MATCH(I57,AA$11:AA$203,0))&gt;1),0,MATCH(I57,AA$11:AA$203,0))</f>
        <v>0</v>
      </c>
      <c r="AO57" s="72">
        <f ca="1">IF(OR(TYPE(O57)&gt;1,TYPE(MATCH(O57,I$11:I$203,0))&gt;1),0,MATCH(O57,I$11:I$203,0))+IF(OR(TYPE(O57)&gt;1,TYPE(MATCH(O57,O58:O$203,0))&gt;1),0,MATCH(O57,O58:O$203,0))+IF(OR(TYPE(O57)&gt;1,TYPE(MATCH(O57,U$11:U$203,0))&gt;1),0,MATCH(O57,U$11:U$203,0))+IF(OR(TYPE(O57)&gt;1,TYPE(MATCH(O57,AA$11:AA$203,0))&gt;1),0,MATCH(O57,AA$11:AA$203,0))</f>
        <v>0</v>
      </c>
      <c r="AP57" s="72">
        <f ca="1">IF(OR(TYPE(U57)&gt;1,TYPE(MATCH(U57,I$11:I$203,0))&gt;1),0,MATCH(U57,I$11:I$203,0))+IF(OR(TYPE(U57)&gt;1,TYPE(MATCH(U57,O$11:O$203,0))&gt;1),0,MATCH(U57,O$11:O$203,0))+IF(OR(TYPE(U57)&gt;1,TYPE(MATCH(U57,U58:U$203,0))&gt;1),0,MATCH(U57,U58:U$203,0))+IF(OR(TYPE(U57)&gt;1,TYPE(MATCH(U57,AA$11:AA$203,0))&gt;1),0,MATCH(U57,AA$11:AA$203,0))</f>
        <v>0</v>
      </c>
      <c r="AQ57" s="72">
        <f ca="1">IF(OR(TYPE(AA57)&gt;1,TYPE(MATCH(AA57,I$11:I$203,0))&gt;1),0,MATCH(AA57,I$11:I$203,0))+IF(OR(TYPE(AA57)&gt;1,TYPE(MATCH(AA57,O$11:O$203,0))&gt;1),0,MATCH(AA57,O$11:O$203,0))+IF(OR(TYPE(AA57)&gt;1,TYPE(MATCH(AA57,U$11:U$203,0))&gt;1),0,MATCH(U57,U$11:U$203,0))+IF(OR(TYPE(AA57)&gt;1,TYPE(MATCH(AA57,AA58:AA$203,0))&gt;1),0,MATCH(AA57,AA58:AA$203,0))</f>
        <v>0</v>
      </c>
      <c r="AR57" s="72">
        <f t="shared" ca="1" si="29"/>
        <v>0</v>
      </c>
    </row>
    <row r="58" spans="1:44" ht="14.25">
      <c r="A58" s="103">
        <f t="shared" ca="1" si="15"/>
        <v>0</v>
      </c>
      <c r="B58" s="103">
        <f t="shared" ca="1" si="16"/>
        <v>0</v>
      </c>
      <c r="C58" s="156">
        <f t="shared" ca="1" si="17"/>
        <v>0</v>
      </c>
      <c r="D58" s="103">
        <f t="shared" ca="1" si="18"/>
        <v>99999</v>
      </c>
      <c r="E58" s="103">
        <f t="shared" ca="1" si="19"/>
        <v>9999</v>
      </c>
      <c r="F58" s="104" t="str">
        <f t="shared" ca="1" si="20"/>
        <v>00000000000000000000415086</v>
      </c>
      <c r="G58" s="145">
        <f t="shared" ca="1" si="21"/>
        <v>1</v>
      </c>
      <c r="H58" s="146">
        <f t="shared" si="22"/>
        <v>48</v>
      </c>
      <c r="I58" s="147" t="str">
        <f t="shared" ca="1" si="23"/>
        <v/>
      </c>
      <c r="J58" s="148" t="str">
        <f ca="1">IF(N(I58)&gt;0,VLOOKUP(I58,Hraci!$A$1:$I$1000,2,0),IF(TYPE(INDIRECT(ADDRESS(ROW() + $A$9-9 + (ROW()-11)*4,2,1,1,"Internet")))&gt;1,INDIRECT(ADDRESS(ROW() + $A$9-9 + (ROW()-11)*4,2,1,1,"Internet"))," "))</f>
        <v xml:space="preserve"> </v>
      </c>
      <c r="K58" s="149" t="str">
        <f ca="1">IF(N(I58)&gt;0,VLOOKUP(I58,Hraci!$A$1:$I$1000,3,0)," ")</f>
        <v xml:space="preserve"> </v>
      </c>
      <c r="L58" s="149" t="str">
        <f ca="1">IF(N(I58)&gt;0,VLOOKUP(I58,Hraci!$A$1:$I$1000,5,0),IF(TYPE(INDIRECT(ADDRESS(ROW() + $A$9-9 + (ROW()-11)*4,3,1,1,"Internet")))&gt;1,INDIRECT(ADDRESS(ROW() + $A$9-9 + (ROW()-11)*4,3,1,1,"Internet"))," "))</f>
        <v xml:space="preserve"> </v>
      </c>
      <c r="M58" s="149">
        <f ca="1">IF(N(I58)=0,9999,VLOOKUP(I58,Hraci!$A$1:$I$1000,8,0))</f>
        <v>9999</v>
      </c>
      <c r="N58" s="150">
        <f ca="1">IF(N(I58)=0,0,VLOOKUP(I58,Hraci!$A$1:$I$1000,9,0))</f>
        <v>0</v>
      </c>
      <c r="O58" s="147" t="str">
        <f t="shared" ca="1" si="24"/>
        <v/>
      </c>
      <c r="P58" s="148" t="str">
        <f ca="1">IF(N(O58)&gt;0,VLOOKUP(O58,Hraci!$A$1:$I$1000,2,0),IF(TYPE(INDIRECT(ADDRESS(ROW() + $A$9-8 + (ROW()-11)*4,2,1,1,"Internet")))&gt;1,INDIRECT(ADDRESS(ROW() + $A$9-8 + (ROW()-11)*4,2,1,1,"Internet"))," "))</f>
        <v xml:space="preserve"> </v>
      </c>
      <c r="Q58" s="149" t="str">
        <f ca="1">IF(N(O58)&gt;0,VLOOKUP(O58,Hraci!$A$1:$I$1000,3,0)," ")</f>
        <v xml:space="preserve"> </v>
      </c>
      <c r="R58" s="149" t="str">
        <f ca="1">IF(N(O58)&gt;0,VLOOKUP(O58,Hraci!$A$1:$I$1000,5,0),IF(TYPE(INDIRECT(ADDRESS(ROW() + $A$9-8 + (ROW()-11)*4,3,1,1,"Internet")))&gt;1,INDIRECT(ADDRESS(ROW() + $A$9-8 + (ROW()-11)*4,3,1,1,"Internet"))," "))</f>
        <v xml:space="preserve"> </v>
      </c>
      <c r="S58" s="149">
        <f ca="1">IF(N(O58)=0,9999,VLOOKUP(O58,Hraci!$A$1:$I$1000,8,0))</f>
        <v>9999</v>
      </c>
      <c r="T58" s="150">
        <f ca="1">IF(N(O58)=0,0,VLOOKUP(O58,Hraci!$A$1:$I$1000,9,0))</f>
        <v>0</v>
      </c>
      <c r="U58" s="147" t="str">
        <f t="shared" ca="1" si="25"/>
        <v/>
      </c>
      <c r="V58" s="148" t="str">
        <f ca="1">IF(N(U58)&gt;0,VLOOKUP(U58,Hraci!$A$1:$I$1000,2,0),IF(TYPE(INDIRECT(ADDRESS(ROW() + $A$9-7 + (ROW()-11)*4,2,1,1,"Internet")))&gt;1,INDIRECT(ADDRESS(ROW() + $A$9-7 + (ROW()-11)*4,2,1,1,"Internet"))," "))</f>
        <v xml:space="preserve"> </v>
      </c>
      <c r="W58" s="149" t="str">
        <f ca="1">IF(N(U58)&gt;0,VLOOKUP(U58,Hraci!$A$1:$I$1000,3,0)," ")</f>
        <v xml:space="preserve"> </v>
      </c>
      <c r="X58" s="149" t="str">
        <f ca="1">IF(N(U58)&gt;0,VLOOKUP(U58,Hraci!$A$1:$I$1000,5,0),IF(TYPE(INDIRECT(ADDRESS(ROW() + $A$9-7 + (ROW()-11)*4,3,1,1,"Internet")))&gt;1,INDIRECT(ADDRESS(ROW() + $A$9-7 + (ROW()-11)*4,3,1,1,"Internet"))," "))</f>
        <v xml:space="preserve"> </v>
      </c>
      <c r="Y58" s="149">
        <f ca="1">IF(N(U58)=0,9999,VLOOKUP(U58,Hraci!$A$1:$I$1000,8,0))</f>
        <v>9999</v>
      </c>
      <c r="Z58" s="150">
        <f ca="1">IF(N(U58)=0,0,VLOOKUP(U58,Hraci!$A$1:$I$1000,9,0))</f>
        <v>0</v>
      </c>
      <c r="AA58" s="147" t="str">
        <f t="shared" ca="1" si="26"/>
        <v/>
      </c>
      <c r="AB58" s="148" t="str">
        <f ca="1">IF(N(AA58)&gt;0,VLOOKUP(AA58,Hraci!$A$1:$I$1000,2,0)," ")</f>
        <v xml:space="preserve"> </v>
      </c>
      <c r="AC58" s="149" t="str">
        <f ca="1">IF(N(AA58)&gt;0,VLOOKUP(AA58,Hraci!$A$1:$I$1000,3,0)," ")</f>
        <v xml:space="preserve"> </v>
      </c>
      <c r="AD58" s="149" t="str">
        <f ca="1">IF(N(AA58)&gt;0,VLOOKUP(AA58,Hraci!$A$1:$I$1000,5,0)," ")</f>
        <v xml:space="preserve"> </v>
      </c>
      <c r="AE58" s="149">
        <f ca="1">IF(N(AA58)=0,9999,VLOOKUP(AA58,Hraci!$A$1:$I$1000,8,0))</f>
        <v>9999</v>
      </c>
      <c r="AF58" s="150">
        <f ca="1">IF(N(AA58)=0,0,VLOOKUP(AA58,Hraci!$A$1:$I$1000,9,0))</f>
        <v>0</v>
      </c>
      <c r="AG58" s="147"/>
      <c r="AH58" s="151">
        <f ca="1">IF(TYPE(VLOOKUP(H58,Nasazení!$A$3:$E$130,5,0))&lt;4,VLOOKUP(H58,Nasazení!$A$3:$E$130,5,0),0)</f>
        <v>0</v>
      </c>
      <c r="AI58" s="152" t="str">
        <f ca="1">IF(N($AH58)&gt;0,VLOOKUP($AH58,Body!$A$4:$F$259,5,0),"")</f>
        <v/>
      </c>
      <c r="AJ58" s="153" t="str">
        <f ca="1">IF(N($AH58)&gt;0,VLOOKUP($AH58,Body!$A$4:$F$259,6,0),"")</f>
        <v/>
      </c>
      <c r="AK58" s="152" t="str">
        <f ca="1">IF(N($AH58)&gt;0,VLOOKUP($AH58,Body!$A$4:$F$259,2,0),"")</f>
        <v/>
      </c>
      <c r="AL58" s="154" t="str">
        <f t="shared" ca="1" si="27"/>
        <v/>
      </c>
      <c r="AM58" s="155">
        <f t="shared" ca="1" si="28"/>
        <v>0</v>
      </c>
      <c r="AN58" s="72">
        <f ca="1">IF(OR(TYPE(I58)&gt;1,TYPE(MATCH(I58,I59:I$203,0))&gt;1),0,MATCH(I58,I59:I$203,0))+IF(OR(TYPE(I58)&gt;1,TYPE(MATCH(I58,O$11:O$203,0))&gt;1),0,MATCH(I58,O$11:O$203,0))+IF(OR(TYPE(I58)&gt;1,TYPE(MATCH(I58,U$11:U$203,0))&gt;1),0,MATCH(I58,U$11:U$203,0))+IF(OR(TYPE(I58)&gt;1,TYPE(MATCH(I58,AA$11:AA$203,0))&gt;1),0,MATCH(I58,AA$11:AA$203,0))</f>
        <v>0</v>
      </c>
      <c r="AO58" s="72">
        <f ca="1">IF(OR(TYPE(O58)&gt;1,TYPE(MATCH(O58,I$11:I$203,0))&gt;1),0,MATCH(O58,I$11:I$203,0))+IF(OR(TYPE(O58)&gt;1,TYPE(MATCH(O58,O59:O$203,0))&gt;1),0,MATCH(O58,O59:O$203,0))+IF(OR(TYPE(O58)&gt;1,TYPE(MATCH(O58,U$11:U$203,0))&gt;1),0,MATCH(O58,U$11:U$203,0))+IF(OR(TYPE(O58)&gt;1,TYPE(MATCH(O58,AA$11:AA$203,0))&gt;1),0,MATCH(O58,AA$11:AA$203,0))</f>
        <v>0</v>
      </c>
      <c r="AP58" s="72">
        <f ca="1">IF(OR(TYPE(U58)&gt;1,TYPE(MATCH(U58,I$11:I$203,0))&gt;1),0,MATCH(U58,I$11:I$203,0))+IF(OR(TYPE(U58)&gt;1,TYPE(MATCH(U58,O$11:O$203,0))&gt;1),0,MATCH(U58,O$11:O$203,0))+IF(OR(TYPE(U58)&gt;1,TYPE(MATCH(U58,U59:U$203,0))&gt;1),0,MATCH(U58,U59:U$203,0))+IF(OR(TYPE(U58)&gt;1,TYPE(MATCH(U58,AA$11:AA$203,0))&gt;1),0,MATCH(U58,AA$11:AA$203,0))</f>
        <v>0</v>
      </c>
      <c r="AQ58" s="72">
        <f ca="1">IF(OR(TYPE(AA58)&gt;1,TYPE(MATCH(AA58,I$11:I$203,0))&gt;1),0,MATCH(AA58,I$11:I$203,0))+IF(OR(TYPE(AA58)&gt;1,TYPE(MATCH(AA58,O$11:O$203,0))&gt;1),0,MATCH(AA58,O$11:O$203,0))+IF(OR(TYPE(AA58)&gt;1,TYPE(MATCH(AA58,U$11:U$203,0))&gt;1),0,MATCH(U58,U$11:U$203,0))+IF(OR(TYPE(AA58)&gt;1,TYPE(MATCH(AA58,AA59:AA$203,0))&gt;1),0,MATCH(AA58,AA59:AA$203,0))</f>
        <v>0</v>
      </c>
      <c r="AR58" s="72">
        <f t="shared" ca="1" si="29"/>
        <v>0</v>
      </c>
    </row>
    <row r="59" spans="1:44" ht="14.25">
      <c r="A59" s="103">
        <f t="shared" ca="1" si="15"/>
        <v>0</v>
      </c>
      <c r="B59" s="103">
        <f t="shared" ca="1" si="16"/>
        <v>0</v>
      </c>
      <c r="C59" s="156">
        <f t="shared" ca="1" si="17"/>
        <v>0</v>
      </c>
      <c r="D59" s="103">
        <f t="shared" ca="1" si="18"/>
        <v>99999</v>
      </c>
      <c r="E59" s="103">
        <f t="shared" ca="1" si="19"/>
        <v>9999</v>
      </c>
      <c r="F59" s="104" t="str">
        <f t="shared" ca="1" si="20"/>
        <v>00000000000000000000637274</v>
      </c>
      <c r="G59" s="145">
        <f t="shared" ca="1" si="21"/>
        <v>1</v>
      </c>
      <c r="H59" s="146">
        <f t="shared" si="22"/>
        <v>49</v>
      </c>
      <c r="I59" s="147" t="str">
        <f t="shared" ca="1" si="23"/>
        <v/>
      </c>
      <c r="J59" s="148" t="str">
        <f ca="1">IF(N(I59)&gt;0,VLOOKUP(I59,Hraci!$A$1:$I$1000,2,0),IF(TYPE(INDIRECT(ADDRESS(ROW() + $A$9-9 + (ROW()-11)*4,2,1,1,"Internet")))&gt;1,INDIRECT(ADDRESS(ROW() + $A$9-9 + (ROW()-11)*4,2,1,1,"Internet"))," "))</f>
        <v xml:space="preserve"> </v>
      </c>
      <c r="K59" s="149" t="str">
        <f ca="1">IF(N(I59)&gt;0,VLOOKUP(I59,Hraci!$A$1:$I$1000,3,0)," ")</f>
        <v xml:space="preserve"> </v>
      </c>
      <c r="L59" s="149" t="str">
        <f ca="1">IF(N(I59)&gt;0,VLOOKUP(I59,Hraci!$A$1:$I$1000,5,0),IF(TYPE(INDIRECT(ADDRESS(ROW() + $A$9-9 + (ROW()-11)*4,3,1,1,"Internet")))&gt;1,INDIRECT(ADDRESS(ROW() + $A$9-9 + (ROW()-11)*4,3,1,1,"Internet"))," "))</f>
        <v xml:space="preserve"> </v>
      </c>
      <c r="M59" s="149">
        <f ca="1">IF(N(I59)=0,9999,VLOOKUP(I59,Hraci!$A$1:$I$1000,8,0))</f>
        <v>9999</v>
      </c>
      <c r="N59" s="150">
        <f ca="1">IF(N(I59)=0,0,VLOOKUP(I59,Hraci!$A$1:$I$1000,9,0))</f>
        <v>0</v>
      </c>
      <c r="O59" s="147" t="str">
        <f t="shared" ca="1" si="24"/>
        <v/>
      </c>
      <c r="P59" s="148" t="str">
        <f ca="1">IF(N(O59)&gt;0,VLOOKUP(O59,Hraci!$A$1:$I$1000,2,0),IF(TYPE(INDIRECT(ADDRESS(ROW() + $A$9-8 + (ROW()-11)*4,2,1,1,"Internet")))&gt;1,INDIRECT(ADDRESS(ROW() + $A$9-8 + (ROW()-11)*4,2,1,1,"Internet"))," "))</f>
        <v xml:space="preserve"> </v>
      </c>
      <c r="Q59" s="149" t="str">
        <f ca="1">IF(N(O59)&gt;0,VLOOKUP(O59,Hraci!$A$1:$I$1000,3,0)," ")</f>
        <v xml:space="preserve"> </v>
      </c>
      <c r="R59" s="149" t="str">
        <f ca="1">IF(N(O59)&gt;0,VLOOKUP(O59,Hraci!$A$1:$I$1000,5,0),IF(TYPE(INDIRECT(ADDRESS(ROW() + $A$9-8 + (ROW()-11)*4,3,1,1,"Internet")))&gt;1,INDIRECT(ADDRESS(ROW() + $A$9-8 + (ROW()-11)*4,3,1,1,"Internet"))," "))</f>
        <v xml:space="preserve"> </v>
      </c>
      <c r="S59" s="149">
        <f ca="1">IF(N(O59)=0,9999,VLOOKUP(O59,Hraci!$A$1:$I$1000,8,0))</f>
        <v>9999</v>
      </c>
      <c r="T59" s="150">
        <f ca="1">IF(N(O59)=0,0,VLOOKUP(O59,Hraci!$A$1:$I$1000,9,0))</f>
        <v>0</v>
      </c>
      <c r="U59" s="147" t="str">
        <f t="shared" ca="1" si="25"/>
        <v/>
      </c>
      <c r="V59" s="148" t="str">
        <f ca="1">IF(N(U59)&gt;0,VLOOKUP(U59,Hraci!$A$1:$I$1000,2,0),IF(TYPE(INDIRECT(ADDRESS(ROW() + $A$9-7 + (ROW()-11)*4,2,1,1,"Internet")))&gt;1,INDIRECT(ADDRESS(ROW() + $A$9-7 + (ROW()-11)*4,2,1,1,"Internet"))," "))</f>
        <v xml:space="preserve"> </v>
      </c>
      <c r="W59" s="149" t="str">
        <f ca="1">IF(N(U59)&gt;0,VLOOKUP(U59,Hraci!$A$1:$I$1000,3,0)," ")</f>
        <v xml:space="preserve"> </v>
      </c>
      <c r="X59" s="149" t="str">
        <f ca="1">IF(N(U59)&gt;0,VLOOKUP(U59,Hraci!$A$1:$I$1000,5,0),IF(TYPE(INDIRECT(ADDRESS(ROW() + $A$9-7 + (ROW()-11)*4,3,1,1,"Internet")))&gt;1,INDIRECT(ADDRESS(ROW() + $A$9-7 + (ROW()-11)*4,3,1,1,"Internet"))," "))</f>
        <v xml:space="preserve"> </v>
      </c>
      <c r="Y59" s="149">
        <f ca="1">IF(N(U59)=0,9999,VLOOKUP(U59,Hraci!$A$1:$I$1000,8,0))</f>
        <v>9999</v>
      </c>
      <c r="Z59" s="150">
        <f ca="1">IF(N(U59)=0,0,VLOOKUP(U59,Hraci!$A$1:$I$1000,9,0))</f>
        <v>0</v>
      </c>
      <c r="AA59" s="147" t="str">
        <f t="shared" ca="1" si="26"/>
        <v/>
      </c>
      <c r="AB59" s="148" t="str">
        <f ca="1">IF(N(AA59)&gt;0,VLOOKUP(AA59,Hraci!$A$1:$I$1000,2,0)," ")</f>
        <v xml:space="preserve"> </v>
      </c>
      <c r="AC59" s="149" t="str">
        <f ca="1">IF(N(AA59)&gt;0,VLOOKUP(AA59,Hraci!$A$1:$I$1000,3,0)," ")</f>
        <v xml:space="preserve"> </v>
      </c>
      <c r="AD59" s="149" t="str">
        <f ca="1">IF(N(AA59)&gt;0,VLOOKUP(AA59,Hraci!$A$1:$I$1000,5,0)," ")</f>
        <v xml:space="preserve"> </v>
      </c>
      <c r="AE59" s="149">
        <f ca="1">IF(N(AA59)=0,9999,VLOOKUP(AA59,Hraci!$A$1:$I$1000,8,0))</f>
        <v>9999</v>
      </c>
      <c r="AF59" s="150">
        <f ca="1">IF(N(AA59)=0,0,VLOOKUP(AA59,Hraci!$A$1:$I$1000,9,0))</f>
        <v>0</v>
      </c>
      <c r="AG59" s="147"/>
      <c r="AH59" s="151">
        <f ca="1">IF(TYPE(VLOOKUP(H59,Nasazení!$A$3:$E$130,5,0))&lt;4,VLOOKUP(H59,Nasazení!$A$3:$E$130,5,0),0)</f>
        <v>0</v>
      </c>
      <c r="AI59" s="152" t="str">
        <f ca="1">IF(N($AH59)&gt;0,VLOOKUP($AH59,Body!$A$4:$F$259,5,0),"")</f>
        <v/>
      </c>
      <c r="AJ59" s="153" t="str">
        <f ca="1">IF(N($AH59)&gt;0,VLOOKUP($AH59,Body!$A$4:$F$259,6,0),"")</f>
        <v/>
      </c>
      <c r="AK59" s="152" t="str">
        <f ca="1">IF(N($AH59)&gt;0,VLOOKUP($AH59,Body!$A$4:$F$259,2,0),"")</f>
        <v/>
      </c>
      <c r="AL59" s="154" t="str">
        <f t="shared" ca="1" si="27"/>
        <v/>
      </c>
      <c r="AM59" s="155">
        <f t="shared" ca="1" si="28"/>
        <v>0</v>
      </c>
      <c r="AN59" s="72">
        <f ca="1">IF(OR(TYPE(I59)&gt;1,TYPE(MATCH(I59,I60:I$203,0))&gt;1),0,MATCH(I59,I60:I$203,0))+IF(OR(TYPE(I59)&gt;1,TYPE(MATCH(I59,O$11:O$203,0))&gt;1),0,MATCH(I59,O$11:O$203,0))+IF(OR(TYPE(I59)&gt;1,TYPE(MATCH(I59,U$11:U$203,0))&gt;1),0,MATCH(I59,U$11:U$203,0))+IF(OR(TYPE(I59)&gt;1,TYPE(MATCH(I59,AA$11:AA$203,0))&gt;1),0,MATCH(I59,AA$11:AA$203,0))</f>
        <v>0</v>
      </c>
      <c r="AO59" s="72">
        <f ca="1">IF(OR(TYPE(O59)&gt;1,TYPE(MATCH(O59,I$11:I$203,0))&gt;1),0,MATCH(O59,I$11:I$203,0))+IF(OR(TYPE(O59)&gt;1,TYPE(MATCH(O59,O60:O$203,0))&gt;1),0,MATCH(O59,O60:O$203,0))+IF(OR(TYPE(O59)&gt;1,TYPE(MATCH(O59,U$11:U$203,0))&gt;1),0,MATCH(O59,U$11:U$203,0))+IF(OR(TYPE(O59)&gt;1,TYPE(MATCH(O59,AA$11:AA$203,0))&gt;1),0,MATCH(O59,AA$11:AA$203,0))</f>
        <v>0</v>
      </c>
      <c r="AP59" s="72">
        <f ca="1">IF(OR(TYPE(U59)&gt;1,TYPE(MATCH(U59,I$11:I$203,0))&gt;1),0,MATCH(U59,I$11:I$203,0))+IF(OR(TYPE(U59)&gt;1,TYPE(MATCH(U59,O$11:O$203,0))&gt;1),0,MATCH(U59,O$11:O$203,0))+IF(OR(TYPE(U59)&gt;1,TYPE(MATCH(U59,U60:U$203,0))&gt;1),0,MATCH(U59,U60:U$203,0))+IF(OR(TYPE(U59)&gt;1,TYPE(MATCH(U59,AA$11:AA$203,0))&gt;1),0,MATCH(U59,AA$11:AA$203,0))</f>
        <v>0</v>
      </c>
      <c r="AQ59" s="72">
        <f ca="1">IF(OR(TYPE(AA59)&gt;1,TYPE(MATCH(AA59,I$11:I$203,0))&gt;1),0,MATCH(AA59,I$11:I$203,0))+IF(OR(TYPE(AA59)&gt;1,TYPE(MATCH(AA59,O$11:O$203,0))&gt;1),0,MATCH(AA59,O$11:O$203,0))+IF(OR(TYPE(AA59)&gt;1,TYPE(MATCH(AA59,U$11:U$203,0))&gt;1),0,MATCH(U59,U$11:U$203,0))+IF(OR(TYPE(AA59)&gt;1,TYPE(MATCH(AA59,AA60:AA$203,0))&gt;1),0,MATCH(AA59,AA60:AA$203,0))</f>
        <v>0</v>
      </c>
      <c r="AR59" s="72">
        <f t="shared" ca="1" si="29"/>
        <v>0</v>
      </c>
    </row>
    <row r="60" spans="1:44" ht="14.25">
      <c r="A60" s="103">
        <f t="shared" ca="1" si="15"/>
        <v>0</v>
      </c>
      <c r="B60" s="103">
        <f t="shared" ca="1" si="16"/>
        <v>0</v>
      </c>
      <c r="C60" s="156">
        <f t="shared" ca="1" si="17"/>
        <v>0</v>
      </c>
      <c r="D60" s="103">
        <f t="shared" ca="1" si="18"/>
        <v>99999</v>
      </c>
      <c r="E60" s="73">
        <f t="shared" ca="1" si="19"/>
        <v>9999</v>
      </c>
      <c r="F60" s="104" t="str">
        <f t="shared" ca="1" si="20"/>
        <v>00000000000000000000459788</v>
      </c>
      <c r="G60" s="145">
        <f t="shared" ca="1" si="21"/>
        <v>1</v>
      </c>
      <c r="H60" s="146">
        <f t="shared" si="22"/>
        <v>50</v>
      </c>
      <c r="I60" s="147" t="str">
        <f t="shared" ca="1" si="23"/>
        <v/>
      </c>
      <c r="J60" s="148" t="str">
        <f ca="1">IF(N(I60)&gt;0,VLOOKUP(I60,Hraci!$A$1:$I$1000,2,0),IF(TYPE(INDIRECT(ADDRESS(ROW() + $A$9-9 + (ROW()-11)*4,2,1,1,"Internet")))&gt;1,INDIRECT(ADDRESS(ROW() + $A$9-9 + (ROW()-11)*4,2,1,1,"Internet"))," "))</f>
        <v xml:space="preserve"> </v>
      </c>
      <c r="K60" s="149" t="str">
        <f ca="1">IF(N(I60)&gt;0,VLOOKUP(I60,Hraci!$A$1:$I$1000,3,0)," ")</f>
        <v xml:space="preserve"> </v>
      </c>
      <c r="L60" s="149" t="str">
        <f ca="1">IF(N(I60)&gt;0,VLOOKUP(I60,Hraci!$A$1:$I$1000,5,0),IF(TYPE(INDIRECT(ADDRESS(ROW() + $A$9-9 + (ROW()-11)*4,3,1,1,"Internet")))&gt;1,INDIRECT(ADDRESS(ROW() + $A$9-9 + (ROW()-11)*4,3,1,1,"Internet"))," "))</f>
        <v xml:space="preserve"> </v>
      </c>
      <c r="M60" s="149">
        <f ca="1">IF(N(I60)=0,9999,VLOOKUP(I60,Hraci!$A$1:$I$1000,8,0))</f>
        <v>9999</v>
      </c>
      <c r="N60" s="150">
        <f ca="1">IF(N(I60)=0,0,VLOOKUP(I60,Hraci!$A$1:$I$1000,9,0))</f>
        <v>0</v>
      </c>
      <c r="O60" s="147" t="str">
        <f t="shared" ca="1" si="24"/>
        <v/>
      </c>
      <c r="P60" s="148" t="str">
        <f ca="1">IF(N(O60)&gt;0,VLOOKUP(O60,Hraci!$A$1:$I$1000,2,0),IF(TYPE(INDIRECT(ADDRESS(ROW() + $A$9-8 + (ROW()-11)*4,2,1,1,"Internet")))&gt;1,INDIRECT(ADDRESS(ROW() + $A$9-8 + (ROW()-11)*4,2,1,1,"Internet"))," "))</f>
        <v xml:space="preserve"> </v>
      </c>
      <c r="Q60" s="149" t="str">
        <f ca="1">IF(N(O60)&gt;0,VLOOKUP(O60,Hraci!$A$1:$I$1000,3,0)," ")</f>
        <v xml:space="preserve"> </v>
      </c>
      <c r="R60" s="149" t="str">
        <f ca="1">IF(N(O60)&gt;0,VLOOKUP(O60,Hraci!$A$1:$I$1000,5,0),IF(TYPE(INDIRECT(ADDRESS(ROW() + $A$9-8 + (ROW()-11)*4,3,1,1,"Internet")))&gt;1,INDIRECT(ADDRESS(ROW() + $A$9-8 + (ROW()-11)*4,3,1,1,"Internet"))," "))</f>
        <v xml:space="preserve"> </v>
      </c>
      <c r="S60" s="149">
        <f ca="1">IF(N(O60)=0,9999,VLOOKUP(O60,Hraci!$A$1:$I$1000,8,0))</f>
        <v>9999</v>
      </c>
      <c r="T60" s="150">
        <f ca="1">IF(N(O60)=0,0,VLOOKUP(O60,Hraci!$A$1:$I$1000,9,0))</f>
        <v>0</v>
      </c>
      <c r="U60" s="147" t="str">
        <f t="shared" ca="1" si="25"/>
        <v/>
      </c>
      <c r="V60" s="148" t="str">
        <f ca="1">IF(N(U60)&gt;0,VLOOKUP(U60,Hraci!$A$1:$I$1000,2,0),IF(TYPE(INDIRECT(ADDRESS(ROW() + $A$9-7 + (ROW()-11)*4,2,1,1,"Internet")))&gt;1,INDIRECT(ADDRESS(ROW() + $A$9-7 + (ROW()-11)*4,2,1,1,"Internet"))," "))</f>
        <v xml:space="preserve"> </v>
      </c>
      <c r="W60" s="149" t="str">
        <f ca="1">IF(N(U60)&gt;0,VLOOKUP(U60,Hraci!$A$1:$I$1000,3,0)," ")</f>
        <v xml:space="preserve"> </v>
      </c>
      <c r="X60" s="149" t="str">
        <f ca="1">IF(N(U60)&gt;0,VLOOKUP(U60,Hraci!$A$1:$I$1000,5,0),IF(TYPE(INDIRECT(ADDRESS(ROW() + $A$9-7 + (ROW()-11)*4,3,1,1,"Internet")))&gt;1,INDIRECT(ADDRESS(ROW() + $A$9-7 + (ROW()-11)*4,3,1,1,"Internet"))," "))</f>
        <v xml:space="preserve"> </v>
      </c>
      <c r="Y60" s="149">
        <f ca="1">IF(N(U60)=0,9999,VLOOKUP(U60,Hraci!$A$1:$I$1000,8,0))</f>
        <v>9999</v>
      </c>
      <c r="Z60" s="150">
        <f ca="1">IF(N(U60)=0,0,VLOOKUP(U60,Hraci!$A$1:$I$1000,9,0))</f>
        <v>0</v>
      </c>
      <c r="AA60" s="147" t="str">
        <f t="shared" ca="1" si="26"/>
        <v/>
      </c>
      <c r="AB60" s="148" t="str">
        <f ca="1">IF(N(AA60)&gt;0,VLOOKUP(AA60,Hraci!$A$1:$I$1000,2,0)," ")</f>
        <v xml:space="preserve"> </v>
      </c>
      <c r="AC60" s="149" t="str">
        <f ca="1">IF(N(AA60)&gt;0,VLOOKUP(AA60,Hraci!$A$1:$I$1000,3,0)," ")</f>
        <v xml:space="preserve"> </v>
      </c>
      <c r="AD60" s="149" t="str">
        <f ca="1">IF(N(AA60)&gt;0,VLOOKUP(AA60,Hraci!$A$1:$I$1000,5,0)," ")</f>
        <v xml:space="preserve"> </v>
      </c>
      <c r="AE60" s="149">
        <f ca="1">IF(N(AA60)=0,9999,VLOOKUP(AA60,Hraci!$A$1:$I$1000,8,0))</f>
        <v>9999</v>
      </c>
      <c r="AF60" s="150">
        <f ca="1">IF(N(AA60)=0,0,VLOOKUP(AA60,Hraci!$A$1:$I$1000,9,0))</f>
        <v>0</v>
      </c>
      <c r="AG60" s="147"/>
      <c r="AH60" s="151">
        <f ca="1">IF(TYPE(VLOOKUP(H60,Nasazení!$A$3:$E$130,5,0))&lt;4,VLOOKUP(H60,Nasazení!$A$3:$E$130,5,0),0)</f>
        <v>0</v>
      </c>
      <c r="AI60" s="152" t="str">
        <f ca="1">IF(N($AH60)&gt;0,VLOOKUP($AH60,Body!$A$4:$F$259,5,0),"")</f>
        <v/>
      </c>
      <c r="AJ60" s="153" t="str">
        <f ca="1">IF(N($AH60)&gt;0,VLOOKUP($AH60,Body!$A$4:$F$259,6,0),"")</f>
        <v/>
      </c>
      <c r="AK60" s="152" t="str">
        <f ca="1">IF(N($AH60)&gt;0,VLOOKUP($AH60,Body!$A$4:$F$259,2,0),"")</f>
        <v/>
      </c>
      <c r="AL60" s="154" t="str">
        <f t="shared" ca="1" si="27"/>
        <v/>
      </c>
      <c r="AM60" s="155">
        <f t="shared" ca="1" si="28"/>
        <v>0</v>
      </c>
      <c r="AN60" s="72">
        <f ca="1">IF(OR(TYPE(I60)&gt;1,TYPE(MATCH(I60,I61:I$203,0))&gt;1),0,MATCH(I60,I61:I$203,0))+IF(OR(TYPE(I60)&gt;1,TYPE(MATCH(I60,O$11:O$203,0))&gt;1),0,MATCH(I60,O$11:O$203,0))+IF(OR(TYPE(I60)&gt;1,TYPE(MATCH(I60,U$11:U$203,0))&gt;1),0,MATCH(I60,U$11:U$203,0))+IF(OR(TYPE(I60)&gt;1,TYPE(MATCH(I60,AA$11:AA$203,0))&gt;1),0,MATCH(I60,AA$11:AA$203,0))</f>
        <v>0</v>
      </c>
      <c r="AO60" s="72">
        <f ca="1">IF(OR(TYPE(O60)&gt;1,TYPE(MATCH(O60,I$11:I$203,0))&gt;1),0,MATCH(O60,I$11:I$203,0))+IF(OR(TYPE(O60)&gt;1,TYPE(MATCH(O60,O61:O$203,0))&gt;1),0,MATCH(O60,O61:O$203,0))+IF(OR(TYPE(O60)&gt;1,TYPE(MATCH(O60,U$11:U$203,0))&gt;1),0,MATCH(O60,U$11:U$203,0))+IF(OR(TYPE(O60)&gt;1,TYPE(MATCH(O60,AA$11:AA$203,0))&gt;1),0,MATCH(O60,AA$11:AA$203,0))</f>
        <v>0</v>
      </c>
      <c r="AP60" s="72">
        <f ca="1">IF(OR(TYPE(U60)&gt;1,TYPE(MATCH(U60,I$11:I$203,0))&gt;1),0,MATCH(U60,I$11:I$203,0))+IF(OR(TYPE(U60)&gt;1,TYPE(MATCH(U60,O$11:O$203,0))&gt;1),0,MATCH(U60,O$11:O$203,0))+IF(OR(TYPE(U60)&gt;1,TYPE(MATCH(U60,U61:U$203,0))&gt;1),0,MATCH(U60,U61:U$203,0))+IF(OR(TYPE(U60)&gt;1,TYPE(MATCH(U60,AA$11:AA$203,0))&gt;1),0,MATCH(U60,AA$11:AA$203,0))</f>
        <v>0</v>
      </c>
      <c r="AQ60" s="72">
        <f ca="1">IF(OR(TYPE(AA60)&gt;1,TYPE(MATCH(AA60,I$11:I$203,0))&gt;1),0,MATCH(AA60,I$11:I$203,0))+IF(OR(TYPE(AA60)&gt;1,TYPE(MATCH(AA60,O$11:O$203,0))&gt;1),0,MATCH(AA60,O$11:O$203,0))+IF(OR(TYPE(AA60)&gt;1,TYPE(MATCH(AA60,U$11:U$203,0))&gt;1),0,MATCH(U60,U$11:U$203,0))+IF(OR(TYPE(AA60)&gt;1,TYPE(MATCH(AA60,AA61:AA$203,0))&gt;1),0,MATCH(AA60,AA61:AA$203,0))</f>
        <v>0</v>
      </c>
      <c r="AR60" s="72">
        <f t="shared" ca="1" si="29"/>
        <v>0</v>
      </c>
    </row>
    <row r="61" spans="1:44" ht="14.25">
      <c r="A61" s="103">
        <f t="shared" ca="1" si="15"/>
        <v>0</v>
      </c>
      <c r="B61" s="103">
        <f t="shared" ca="1" si="16"/>
        <v>0</v>
      </c>
      <c r="C61" s="156">
        <f t="shared" ca="1" si="17"/>
        <v>0</v>
      </c>
      <c r="D61" s="103">
        <f t="shared" ca="1" si="18"/>
        <v>99999</v>
      </c>
      <c r="E61" s="103">
        <f t="shared" ca="1" si="19"/>
        <v>9999</v>
      </c>
      <c r="F61" s="104" t="str">
        <f t="shared" ca="1" si="20"/>
        <v>00000000000000000000596421</v>
      </c>
      <c r="G61" s="145">
        <f t="shared" ca="1" si="21"/>
        <v>1</v>
      </c>
      <c r="H61" s="146">
        <f t="shared" si="22"/>
        <v>51</v>
      </c>
      <c r="I61" s="147" t="str">
        <f t="shared" ca="1" si="23"/>
        <v/>
      </c>
      <c r="J61" s="148" t="str">
        <f ca="1">IF(N(I61)&gt;0,VLOOKUP(I61,Hraci!$A$1:$I$1000,2,0),IF(TYPE(INDIRECT(ADDRESS(ROW() + $A$9-9 + (ROW()-11)*4,2,1,1,"Internet")))&gt;1,INDIRECT(ADDRESS(ROW() + $A$9-9 + (ROW()-11)*4,2,1,1,"Internet"))," "))</f>
        <v xml:space="preserve"> </v>
      </c>
      <c r="K61" s="149" t="str">
        <f ca="1">IF(N(I61)&gt;0,VLOOKUP(I61,Hraci!$A$1:$I$1000,3,0)," ")</f>
        <v xml:space="preserve"> </v>
      </c>
      <c r="L61" s="149" t="str">
        <f ca="1">IF(N(I61)&gt;0,VLOOKUP(I61,Hraci!$A$1:$I$1000,5,0),IF(TYPE(INDIRECT(ADDRESS(ROW() + $A$9-9 + (ROW()-11)*4,3,1,1,"Internet")))&gt;1,INDIRECT(ADDRESS(ROW() + $A$9-9 + (ROW()-11)*4,3,1,1,"Internet"))," "))</f>
        <v xml:space="preserve"> </v>
      </c>
      <c r="M61" s="149">
        <f ca="1">IF(N(I61)=0,9999,VLOOKUP(I61,Hraci!$A$1:$I$1000,8,0))</f>
        <v>9999</v>
      </c>
      <c r="N61" s="150">
        <f ca="1">IF(N(I61)=0,0,VLOOKUP(I61,Hraci!$A$1:$I$1000,9,0))</f>
        <v>0</v>
      </c>
      <c r="O61" s="147" t="str">
        <f t="shared" ca="1" si="24"/>
        <v/>
      </c>
      <c r="P61" s="148" t="str">
        <f ca="1">IF(N(O61)&gt;0,VLOOKUP(O61,Hraci!$A$1:$I$1000,2,0),IF(TYPE(INDIRECT(ADDRESS(ROW() + $A$9-8 + (ROW()-11)*4,2,1,1,"Internet")))&gt;1,INDIRECT(ADDRESS(ROW() + $A$9-8 + (ROW()-11)*4,2,1,1,"Internet"))," "))</f>
        <v xml:space="preserve"> </v>
      </c>
      <c r="Q61" s="149" t="str">
        <f ca="1">IF(N(O61)&gt;0,VLOOKUP(O61,Hraci!$A$1:$I$1000,3,0)," ")</f>
        <v xml:space="preserve"> </v>
      </c>
      <c r="R61" s="149" t="str">
        <f ca="1">IF(N(O61)&gt;0,VLOOKUP(O61,Hraci!$A$1:$I$1000,5,0),IF(TYPE(INDIRECT(ADDRESS(ROW() + $A$9-8 + (ROW()-11)*4,3,1,1,"Internet")))&gt;1,INDIRECT(ADDRESS(ROW() + $A$9-8 + (ROW()-11)*4,3,1,1,"Internet"))," "))</f>
        <v xml:space="preserve"> </v>
      </c>
      <c r="S61" s="149">
        <f ca="1">IF(N(O61)=0,9999,VLOOKUP(O61,Hraci!$A$1:$I$1000,8,0))</f>
        <v>9999</v>
      </c>
      <c r="T61" s="150">
        <f ca="1">IF(N(O61)=0,0,VLOOKUP(O61,Hraci!$A$1:$I$1000,9,0))</f>
        <v>0</v>
      </c>
      <c r="U61" s="147" t="str">
        <f t="shared" ca="1" si="25"/>
        <v/>
      </c>
      <c r="V61" s="148" t="str">
        <f ca="1">IF(N(U61)&gt;0,VLOOKUP(U61,Hraci!$A$1:$I$1000,2,0),IF(TYPE(INDIRECT(ADDRESS(ROW() + $A$9-7 + (ROW()-11)*4,2,1,1,"Internet")))&gt;1,INDIRECT(ADDRESS(ROW() + $A$9-7 + (ROW()-11)*4,2,1,1,"Internet"))," "))</f>
        <v xml:space="preserve"> </v>
      </c>
      <c r="W61" s="149" t="str">
        <f ca="1">IF(N(U61)&gt;0,VLOOKUP(U61,Hraci!$A$1:$I$1000,3,0)," ")</f>
        <v xml:space="preserve"> </v>
      </c>
      <c r="X61" s="149" t="str">
        <f ca="1">IF(N(U61)&gt;0,VLOOKUP(U61,Hraci!$A$1:$I$1000,5,0),IF(TYPE(INDIRECT(ADDRESS(ROW() + $A$9-7 + (ROW()-11)*4,3,1,1,"Internet")))&gt;1,INDIRECT(ADDRESS(ROW() + $A$9-7 + (ROW()-11)*4,3,1,1,"Internet"))," "))</f>
        <v xml:space="preserve"> </v>
      </c>
      <c r="Y61" s="149">
        <f ca="1">IF(N(U61)=0,9999,VLOOKUP(U61,Hraci!$A$1:$I$1000,8,0))</f>
        <v>9999</v>
      </c>
      <c r="Z61" s="150">
        <f ca="1">IF(N(U61)=0,0,VLOOKUP(U61,Hraci!$A$1:$I$1000,9,0))</f>
        <v>0</v>
      </c>
      <c r="AA61" s="147" t="str">
        <f t="shared" ca="1" si="26"/>
        <v/>
      </c>
      <c r="AB61" s="148" t="str">
        <f ca="1">IF(N(AA61)&gt;0,VLOOKUP(AA61,Hraci!$A$1:$I$1000,2,0)," ")</f>
        <v xml:space="preserve"> </v>
      </c>
      <c r="AC61" s="149" t="str">
        <f ca="1">IF(N(AA61)&gt;0,VLOOKUP(AA61,Hraci!$A$1:$I$1000,3,0)," ")</f>
        <v xml:space="preserve"> </v>
      </c>
      <c r="AD61" s="149" t="str">
        <f ca="1">IF(N(AA61)&gt;0,VLOOKUP(AA61,Hraci!$A$1:$I$1000,5,0)," ")</f>
        <v xml:space="preserve"> </v>
      </c>
      <c r="AE61" s="149">
        <f ca="1">IF(N(AA61)=0,9999,VLOOKUP(AA61,Hraci!$A$1:$I$1000,8,0))</f>
        <v>9999</v>
      </c>
      <c r="AF61" s="150">
        <f ca="1">IF(N(AA61)=0,0,VLOOKUP(AA61,Hraci!$A$1:$I$1000,9,0))</f>
        <v>0</v>
      </c>
      <c r="AG61" s="147"/>
      <c r="AH61" s="151">
        <f ca="1">IF(TYPE(VLOOKUP(H61,Nasazení!$A$3:$E$130,5,0))&lt;4,VLOOKUP(H61,Nasazení!$A$3:$E$130,5,0),0)</f>
        <v>0</v>
      </c>
      <c r="AI61" s="152" t="str">
        <f ca="1">IF(N($AH61)&gt;0,VLOOKUP($AH61,Body!$A$4:$F$259,5,0),"")</f>
        <v/>
      </c>
      <c r="AJ61" s="153" t="str">
        <f ca="1">IF(N($AH61)&gt;0,VLOOKUP($AH61,Body!$A$4:$F$259,6,0),"")</f>
        <v/>
      </c>
      <c r="AK61" s="152" t="str">
        <f ca="1">IF(N($AH61)&gt;0,VLOOKUP($AH61,Body!$A$4:$F$259,2,0),"")</f>
        <v/>
      </c>
      <c r="AL61" s="154" t="str">
        <f t="shared" ca="1" si="27"/>
        <v/>
      </c>
      <c r="AM61" s="155">
        <f t="shared" ca="1" si="28"/>
        <v>0</v>
      </c>
      <c r="AN61" s="72">
        <f ca="1">IF(OR(TYPE(I61)&gt;1,TYPE(MATCH(I61,I62:I$203,0))&gt;1),0,MATCH(I61,I62:I$203,0))+IF(OR(TYPE(I61)&gt;1,TYPE(MATCH(I61,O$11:O$203,0))&gt;1),0,MATCH(I61,O$11:O$203,0))+IF(OR(TYPE(I61)&gt;1,TYPE(MATCH(I61,U$11:U$203,0))&gt;1),0,MATCH(I61,U$11:U$203,0))+IF(OR(TYPE(I61)&gt;1,TYPE(MATCH(I61,AA$11:AA$203,0))&gt;1),0,MATCH(I61,AA$11:AA$203,0))</f>
        <v>0</v>
      </c>
      <c r="AO61" s="72">
        <f ca="1">IF(OR(TYPE(O61)&gt;1,TYPE(MATCH(O61,I$11:I$203,0))&gt;1),0,MATCH(O61,I$11:I$203,0))+IF(OR(TYPE(O61)&gt;1,TYPE(MATCH(O61,O62:O$203,0))&gt;1),0,MATCH(O61,O62:O$203,0))+IF(OR(TYPE(O61)&gt;1,TYPE(MATCH(O61,U$11:U$203,0))&gt;1),0,MATCH(O61,U$11:U$203,0))+IF(OR(TYPE(O61)&gt;1,TYPE(MATCH(O61,AA$11:AA$203,0))&gt;1),0,MATCH(O61,AA$11:AA$203,0))</f>
        <v>0</v>
      </c>
      <c r="AP61" s="72">
        <f ca="1">IF(OR(TYPE(U61)&gt;1,TYPE(MATCH(U61,I$11:I$203,0))&gt;1),0,MATCH(U61,I$11:I$203,0))+IF(OR(TYPE(U61)&gt;1,TYPE(MATCH(U61,O$11:O$203,0))&gt;1),0,MATCH(U61,O$11:O$203,0))+IF(OR(TYPE(U61)&gt;1,TYPE(MATCH(U61,U62:U$203,0))&gt;1),0,MATCH(U61,U62:U$203,0))+IF(OR(TYPE(U61)&gt;1,TYPE(MATCH(U61,AA$11:AA$203,0))&gt;1),0,MATCH(U61,AA$11:AA$203,0))</f>
        <v>0</v>
      </c>
      <c r="AQ61" s="72">
        <f ca="1">IF(OR(TYPE(AA61)&gt;1,TYPE(MATCH(AA61,I$11:I$203,0))&gt;1),0,MATCH(AA61,I$11:I$203,0))+IF(OR(TYPE(AA61)&gt;1,TYPE(MATCH(AA61,O$11:O$203,0))&gt;1),0,MATCH(AA61,O$11:O$203,0))+IF(OR(TYPE(AA61)&gt;1,TYPE(MATCH(AA61,U$11:U$203,0))&gt;1),0,MATCH(U61,U$11:U$203,0))+IF(OR(TYPE(AA61)&gt;1,TYPE(MATCH(AA61,AA62:AA$203,0))&gt;1),0,MATCH(AA61,AA62:AA$203,0))</f>
        <v>0</v>
      </c>
      <c r="AR61" s="72">
        <f t="shared" ca="1" si="29"/>
        <v>0</v>
      </c>
    </row>
    <row r="62" spans="1:44" ht="14.25">
      <c r="A62" s="103">
        <f t="shared" ca="1" si="15"/>
        <v>0</v>
      </c>
      <c r="B62" s="103">
        <f t="shared" ca="1" si="16"/>
        <v>0</v>
      </c>
      <c r="C62" s="156">
        <f t="shared" ca="1" si="17"/>
        <v>0</v>
      </c>
      <c r="D62" s="103">
        <f t="shared" ca="1" si="18"/>
        <v>99999</v>
      </c>
      <c r="E62" s="103">
        <f t="shared" ca="1" si="19"/>
        <v>9999</v>
      </c>
      <c r="F62" s="104" t="str">
        <f t="shared" ca="1" si="20"/>
        <v>00000000000000000000598318</v>
      </c>
      <c r="G62" s="145">
        <f t="shared" ca="1" si="21"/>
        <v>1</v>
      </c>
      <c r="H62" s="146">
        <f t="shared" si="22"/>
        <v>52</v>
      </c>
      <c r="I62" s="147" t="str">
        <f t="shared" ca="1" si="23"/>
        <v/>
      </c>
      <c r="J62" s="148" t="str">
        <f ca="1">IF(N(I62)&gt;0,VLOOKUP(I62,Hraci!$A$1:$I$1000,2,0),IF(TYPE(INDIRECT(ADDRESS(ROW() + $A$9-9 + (ROW()-11)*4,2,1,1,"Internet")))&gt;1,INDIRECT(ADDRESS(ROW() + $A$9-9 + (ROW()-11)*4,2,1,1,"Internet"))," "))</f>
        <v xml:space="preserve"> </v>
      </c>
      <c r="K62" s="149" t="str">
        <f ca="1">IF(N(I62)&gt;0,VLOOKUP(I62,Hraci!$A$1:$I$1000,3,0)," ")</f>
        <v xml:space="preserve"> </v>
      </c>
      <c r="L62" s="149" t="str">
        <f ca="1">IF(N(I62)&gt;0,VLOOKUP(I62,Hraci!$A$1:$I$1000,5,0),IF(TYPE(INDIRECT(ADDRESS(ROW() + $A$9-9 + (ROW()-11)*4,3,1,1,"Internet")))&gt;1,INDIRECT(ADDRESS(ROW() + $A$9-9 + (ROW()-11)*4,3,1,1,"Internet"))," "))</f>
        <v xml:space="preserve"> </v>
      </c>
      <c r="M62" s="149">
        <f ca="1">IF(N(I62)=0,9999,VLOOKUP(I62,Hraci!$A$1:$I$1000,8,0))</f>
        <v>9999</v>
      </c>
      <c r="N62" s="150">
        <f ca="1">IF(N(I62)=0,0,VLOOKUP(I62,Hraci!$A$1:$I$1000,9,0))</f>
        <v>0</v>
      </c>
      <c r="O62" s="147" t="str">
        <f t="shared" ca="1" si="24"/>
        <v/>
      </c>
      <c r="P62" s="148" t="str">
        <f ca="1">IF(N(O62)&gt;0,VLOOKUP(O62,Hraci!$A$1:$I$1000,2,0),IF(TYPE(INDIRECT(ADDRESS(ROW() + $A$9-8 + (ROW()-11)*4,2,1,1,"Internet")))&gt;1,INDIRECT(ADDRESS(ROW() + $A$9-8 + (ROW()-11)*4,2,1,1,"Internet"))," "))</f>
        <v xml:space="preserve"> </v>
      </c>
      <c r="Q62" s="149" t="str">
        <f ca="1">IF(N(O62)&gt;0,VLOOKUP(O62,Hraci!$A$1:$I$1000,3,0)," ")</f>
        <v xml:space="preserve"> </v>
      </c>
      <c r="R62" s="149" t="str">
        <f ca="1">IF(N(O62)&gt;0,VLOOKUP(O62,Hraci!$A$1:$I$1000,5,0),IF(TYPE(INDIRECT(ADDRESS(ROW() + $A$9-8 + (ROW()-11)*4,3,1,1,"Internet")))&gt;1,INDIRECT(ADDRESS(ROW() + $A$9-8 + (ROW()-11)*4,3,1,1,"Internet"))," "))</f>
        <v xml:space="preserve"> </v>
      </c>
      <c r="S62" s="149">
        <f ca="1">IF(N(O62)=0,9999,VLOOKUP(O62,Hraci!$A$1:$I$1000,8,0))</f>
        <v>9999</v>
      </c>
      <c r="T62" s="150">
        <f ca="1">IF(N(O62)=0,0,VLOOKUP(O62,Hraci!$A$1:$I$1000,9,0))</f>
        <v>0</v>
      </c>
      <c r="U62" s="147" t="str">
        <f t="shared" ca="1" si="25"/>
        <v/>
      </c>
      <c r="V62" s="148" t="str">
        <f ca="1">IF(N(U62)&gt;0,VLOOKUP(U62,Hraci!$A$1:$I$1000,2,0),IF(TYPE(INDIRECT(ADDRESS(ROW() + $A$9-7 + (ROW()-11)*4,2,1,1,"Internet")))&gt;1,INDIRECT(ADDRESS(ROW() + $A$9-7 + (ROW()-11)*4,2,1,1,"Internet"))," "))</f>
        <v xml:space="preserve"> </v>
      </c>
      <c r="W62" s="149" t="str">
        <f ca="1">IF(N(U62)&gt;0,VLOOKUP(U62,Hraci!$A$1:$I$1000,3,0)," ")</f>
        <v xml:space="preserve"> </v>
      </c>
      <c r="X62" s="149" t="str">
        <f ca="1">IF(N(U62)&gt;0,VLOOKUP(U62,Hraci!$A$1:$I$1000,5,0),IF(TYPE(INDIRECT(ADDRESS(ROW() + $A$9-7 + (ROW()-11)*4,3,1,1,"Internet")))&gt;1,INDIRECT(ADDRESS(ROW() + $A$9-7 + (ROW()-11)*4,3,1,1,"Internet"))," "))</f>
        <v xml:space="preserve"> </v>
      </c>
      <c r="Y62" s="149">
        <f ca="1">IF(N(U62)=0,9999,VLOOKUP(U62,Hraci!$A$1:$I$1000,8,0))</f>
        <v>9999</v>
      </c>
      <c r="Z62" s="150">
        <f ca="1">IF(N(U62)=0,0,VLOOKUP(U62,Hraci!$A$1:$I$1000,9,0))</f>
        <v>0</v>
      </c>
      <c r="AA62" s="147" t="str">
        <f t="shared" ca="1" si="26"/>
        <v/>
      </c>
      <c r="AB62" s="148" t="str">
        <f ca="1">IF(N(AA62)&gt;0,VLOOKUP(AA62,Hraci!$A$1:$I$1000,2,0)," ")</f>
        <v xml:space="preserve"> </v>
      </c>
      <c r="AC62" s="149" t="str">
        <f ca="1">IF(N(AA62)&gt;0,VLOOKUP(AA62,Hraci!$A$1:$I$1000,3,0)," ")</f>
        <v xml:space="preserve"> </v>
      </c>
      <c r="AD62" s="149" t="str">
        <f ca="1">IF(N(AA62)&gt;0,VLOOKUP(AA62,Hraci!$A$1:$I$1000,5,0)," ")</f>
        <v xml:space="preserve"> </v>
      </c>
      <c r="AE62" s="149">
        <f ca="1">IF(N(AA62)=0,9999,VLOOKUP(AA62,Hraci!$A$1:$I$1000,8,0))</f>
        <v>9999</v>
      </c>
      <c r="AF62" s="150">
        <f ca="1">IF(N(AA62)=0,0,VLOOKUP(AA62,Hraci!$A$1:$I$1000,9,0))</f>
        <v>0</v>
      </c>
      <c r="AG62" s="147"/>
      <c r="AH62" s="151">
        <f ca="1">IF(TYPE(VLOOKUP(H62,Nasazení!$A$3:$E$130,5,0))&lt;4,VLOOKUP(H62,Nasazení!$A$3:$E$130,5,0),0)</f>
        <v>0</v>
      </c>
      <c r="AI62" s="152" t="str">
        <f ca="1">IF(N($AH62)&gt;0,VLOOKUP($AH62,Body!$A$4:$F$259,5,0),"")</f>
        <v/>
      </c>
      <c r="AJ62" s="153" t="str">
        <f ca="1">IF(N($AH62)&gt;0,VLOOKUP($AH62,Body!$A$4:$F$259,6,0),"")</f>
        <v/>
      </c>
      <c r="AK62" s="152" t="str">
        <f ca="1">IF(N($AH62)&gt;0,VLOOKUP($AH62,Body!$A$4:$F$259,2,0),"")</f>
        <v/>
      </c>
      <c r="AL62" s="154" t="str">
        <f t="shared" ca="1" si="27"/>
        <v/>
      </c>
      <c r="AM62" s="155">
        <f t="shared" ca="1" si="28"/>
        <v>0</v>
      </c>
      <c r="AN62" s="72">
        <f ca="1">IF(OR(TYPE(I62)&gt;1,TYPE(MATCH(I62,I63:I$203,0))&gt;1),0,MATCH(I62,I63:I$203,0))+IF(OR(TYPE(I62)&gt;1,TYPE(MATCH(I62,O$11:O$203,0))&gt;1),0,MATCH(I62,O$11:O$203,0))+IF(OR(TYPE(I62)&gt;1,TYPE(MATCH(I62,U$11:U$203,0))&gt;1),0,MATCH(I62,U$11:U$203,0))+IF(OR(TYPE(I62)&gt;1,TYPE(MATCH(I62,AA$11:AA$203,0))&gt;1),0,MATCH(I62,AA$11:AA$203,0))</f>
        <v>0</v>
      </c>
      <c r="AO62" s="72">
        <f ca="1">IF(OR(TYPE(O62)&gt;1,TYPE(MATCH(O62,I$11:I$203,0))&gt;1),0,MATCH(O62,I$11:I$203,0))+IF(OR(TYPE(O62)&gt;1,TYPE(MATCH(O62,O63:O$203,0))&gt;1),0,MATCH(O62,O63:O$203,0))+IF(OR(TYPE(O62)&gt;1,TYPE(MATCH(O62,U$11:U$203,0))&gt;1),0,MATCH(O62,U$11:U$203,0))+IF(OR(TYPE(O62)&gt;1,TYPE(MATCH(O62,AA$11:AA$203,0))&gt;1),0,MATCH(O62,AA$11:AA$203,0))</f>
        <v>0</v>
      </c>
      <c r="AP62" s="72">
        <f ca="1">IF(OR(TYPE(U62)&gt;1,TYPE(MATCH(U62,I$11:I$203,0))&gt;1),0,MATCH(U62,I$11:I$203,0))+IF(OR(TYPE(U62)&gt;1,TYPE(MATCH(U62,O$11:O$203,0))&gt;1),0,MATCH(U62,O$11:O$203,0))+IF(OR(TYPE(U62)&gt;1,TYPE(MATCH(U62,U63:U$203,0))&gt;1),0,MATCH(U62,U63:U$203,0))+IF(OR(TYPE(U62)&gt;1,TYPE(MATCH(U62,AA$11:AA$203,0))&gt;1),0,MATCH(U62,AA$11:AA$203,0))</f>
        <v>0</v>
      </c>
      <c r="AQ62" s="72">
        <f ca="1">IF(OR(TYPE(AA62)&gt;1,TYPE(MATCH(AA62,I$11:I$203,0))&gt;1),0,MATCH(AA62,I$11:I$203,0))+IF(OR(TYPE(AA62)&gt;1,TYPE(MATCH(AA62,O$11:O$203,0))&gt;1),0,MATCH(AA62,O$11:O$203,0))+IF(OR(TYPE(AA62)&gt;1,TYPE(MATCH(AA62,U$11:U$203,0))&gt;1),0,MATCH(U62,U$11:U$203,0))+IF(OR(TYPE(AA62)&gt;1,TYPE(MATCH(AA62,AA63:AA$203,0))&gt;1),0,MATCH(AA62,AA63:AA$203,0))</f>
        <v>0</v>
      </c>
      <c r="AR62" s="72">
        <f t="shared" ca="1" si="29"/>
        <v>0</v>
      </c>
    </row>
    <row r="63" spans="1:44" ht="14.25">
      <c r="A63" s="103">
        <f t="shared" ca="1" si="15"/>
        <v>0</v>
      </c>
      <c r="B63" s="103">
        <f t="shared" ca="1" si="16"/>
        <v>0</v>
      </c>
      <c r="C63" s="156">
        <f t="shared" ca="1" si="17"/>
        <v>0</v>
      </c>
      <c r="D63" s="103">
        <f t="shared" ca="1" si="18"/>
        <v>99999</v>
      </c>
      <c r="E63" s="103">
        <f t="shared" ca="1" si="19"/>
        <v>9999</v>
      </c>
      <c r="F63" s="104" t="str">
        <f t="shared" ca="1" si="20"/>
        <v>00000000000000000000128922</v>
      </c>
      <c r="G63" s="145">
        <f t="shared" ca="1" si="21"/>
        <v>1</v>
      </c>
      <c r="H63" s="146">
        <f t="shared" si="22"/>
        <v>53</v>
      </c>
      <c r="I63" s="147" t="str">
        <f t="shared" ca="1" si="23"/>
        <v/>
      </c>
      <c r="J63" s="148" t="str">
        <f ca="1">IF(N(I63)&gt;0,VLOOKUP(I63,Hraci!$A$1:$I$1000,2,0),IF(TYPE(INDIRECT(ADDRESS(ROW() + $A$9-9 + (ROW()-11)*4,2,1,1,"Internet")))&gt;1,INDIRECT(ADDRESS(ROW() + $A$9-9 + (ROW()-11)*4,2,1,1,"Internet"))," "))</f>
        <v xml:space="preserve"> </v>
      </c>
      <c r="K63" s="149" t="str">
        <f ca="1">IF(N(I63)&gt;0,VLOOKUP(I63,Hraci!$A$1:$I$1000,3,0)," ")</f>
        <v xml:space="preserve"> </v>
      </c>
      <c r="L63" s="149" t="str">
        <f ca="1">IF(N(I63)&gt;0,VLOOKUP(I63,Hraci!$A$1:$I$1000,5,0),IF(TYPE(INDIRECT(ADDRESS(ROW() + $A$9-9 + (ROW()-11)*4,3,1,1,"Internet")))&gt;1,INDIRECT(ADDRESS(ROW() + $A$9-9 + (ROW()-11)*4,3,1,1,"Internet"))," "))</f>
        <v xml:space="preserve"> </v>
      </c>
      <c r="M63" s="149">
        <f ca="1">IF(N(I63)=0,9999,VLOOKUP(I63,Hraci!$A$1:$I$1000,8,0))</f>
        <v>9999</v>
      </c>
      <c r="N63" s="150">
        <f ca="1">IF(N(I63)=0,0,VLOOKUP(I63,Hraci!$A$1:$I$1000,9,0))</f>
        <v>0</v>
      </c>
      <c r="O63" s="147" t="str">
        <f t="shared" ca="1" si="24"/>
        <v/>
      </c>
      <c r="P63" s="148" t="str">
        <f ca="1">IF(N(O63)&gt;0,VLOOKUP(O63,Hraci!$A$1:$I$1000,2,0),IF(TYPE(INDIRECT(ADDRESS(ROW() + $A$9-8 + (ROW()-11)*4,2,1,1,"Internet")))&gt;1,INDIRECT(ADDRESS(ROW() + $A$9-8 + (ROW()-11)*4,2,1,1,"Internet"))," "))</f>
        <v xml:space="preserve"> </v>
      </c>
      <c r="Q63" s="149" t="str">
        <f ca="1">IF(N(O63)&gt;0,VLOOKUP(O63,Hraci!$A$1:$I$1000,3,0)," ")</f>
        <v xml:space="preserve"> </v>
      </c>
      <c r="R63" s="149" t="str">
        <f ca="1">IF(N(O63)&gt;0,VLOOKUP(O63,Hraci!$A$1:$I$1000,5,0),IF(TYPE(INDIRECT(ADDRESS(ROW() + $A$9-8 + (ROW()-11)*4,3,1,1,"Internet")))&gt;1,INDIRECT(ADDRESS(ROW() + $A$9-8 + (ROW()-11)*4,3,1,1,"Internet"))," "))</f>
        <v xml:space="preserve"> </v>
      </c>
      <c r="S63" s="149">
        <f ca="1">IF(N(O63)=0,9999,VLOOKUP(O63,Hraci!$A$1:$I$1000,8,0))</f>
        <v>9999</v>
      </c>
      <c r="T63" s="150">
        <f ca="1">IF(N(O63)=0,0,VLOOKUP(O63,Hraci!$A$1:$I$1000,9,0))</f>
        <v>0</v>
      </c>
      <c r="U63" s="147" t="str">
        <f t="shared" ca="1" si="25"/>
        <v/>
      </c>
      <c r="V63" s="148" t="str">
        <f ca="1">IF(N(U63)&gt;0,VLOOKUP(U63,Hraci!$A$1:$I$1000,2,0),IF(TYPE(INDIRECT(ADDRESS(ROW() + $A$9-7 + (ROW()-11)*4,2,1,1,"Internet")))&gt;1,INDIRECT(ADDRESS(ROW() + $A$9-7 + (ROW()-11)*4,2,1,1,"Internet"))," "))</f>
        <v xml:space="preserve"> </v>
      </c>
      <c r="W63" s="149" t="str">
        <f ca="1">IF(N(U63)&gt;0,VLOOKUP(U63,Hraci!$A$1:$I$1000,3,0)," ")</f>
        <v xml:space="preserve"> </v>
      </c>
      <c r="X63" s="149" t="str">
        <f ca="1">IF(N(U63)&gt;0,VLOOKUP(U63,Hraci!$A$1:$I$1000,5,0),IF(TYPE(INDIRECT(ADDRESS(ROW() + $A$9-7 + (ROW()-11)*4,3,1,1,"Internet")))&gt;1,INDIRECT(ADDRESS(ROW() + $A$9-7 + (ROW()-11)*4,3,1,1,"Internet"))," "))</f>
        <v xml:space="preserve"> </v>
      </c>
      <c r="Y63" s="149">
        <f ca="1">IF(N(U63)=0,9999,VLOOKUP(U63,Hraci!$A$1:$I$1000,8,0))</f>
        <v>9999</v>
      </c>
      <c r="Z63" s="150">
        <f ca="1">IF(N(U63)=0,0,VLOOKUP(U63,Hraci!$A$1:$I$1000,9,0))</f>
        <v>0</v>
      </c>
      <c r="AA63" s="147" t="str">
        <f t="shared" ca="1" si="26"/>
        <v/>
      </c>
      <c r="AB63" s="148" t="str">
        <f ca="1">IF(N(AA63)&gt;0,VLOOKUP(AA63,Hraci!$A$1:$I$1000,2,0)," ")</f>
        <v xml:space="preserve"> </v>
      </c>
      <c r="AC63" s="149" t="str">
        <f ca="1">IF(N(AA63)&gt;0,VLOOKUP(AA63,Hraci!$A$1:$I$1000,3,0)," ")</f>
        <v xml:space="preserve"> </v>
      </c>
      <c r="AD63" s="149" t="str">
        <f ca="1">IF(N(AA63)&gt;0,VLOOKUP(AA63,Hraci!$A$1:$I$1000,5,0)," ")</f>
        <v xml:space="preserve"> </v>
      </c>
      <c r="AE63" s="149">
        <f ca="1">IF(N(AA63)=0,9999,VLOOKUP(AA63,Hraci!$A$1:$I$1000,8,0))</f>
        <v>9999</v>
      </c>
      <c r="AF63" s="150">
        <f ca="1">IF(N(AA63)=0,0,VLOOKUP(AA63,Hraci!$A$1:$I$1000,9,0))</f>
        <v>0</v>
      </c>
      <c r="AG63" s="147"/>
      <c r="AH63" s="151">
        <f ca="1">IF(TYPE(VLOOKUP(H63,Nasazení!$A$3:$E$130,5,0))&lt;4,VLOOKUP(H63,Nasazení!$A$3:$E$130,5,0),0)</f>
        <v>0</v>
      </c>
      <c r="AI63" s="152" t="str">
        <f ca="1">IF(N($AH63)&gt;0,VLOOKUP($AH63,Body!$A$4:$F$259,5,0),"")</f>
        <v/>
      </c>
      <c r="AJ63" s="153" t="str">
        <f ca="1">IF(N($AH63)&gt;0,VLOOKUP($AH63,Body!$A$4:$F$259,6,0),"")</f>
        <v/>
      </c>
      <c r="AK63" s="152" t="str">
        <f ca="1">IF(N($AH63)&gt;0,VLOOKUP($AH63,Body!$A$4:$F$259,2,0),"")</f>
        <v/>
      </c>
      <c r="AL63" s="154" t="str">
        <f t="shared" ca="1" si="27"/>
        <v/>
      </c>
      <c r="AM63" s="155">
        <f t="shared" ca="1" si="28"/>
        <v>0</v>
      </c>
      <c r="AN63" s="72">
        <f ca="1">IF(OR(TYPE(I63)&gt;1,TYPE(MATCH(I63,I64:I$203,0))&gt;1),0,MATCH(I63,I64:I$203,0))+IF(OR(TYPE(I63)&gt;1,TYPE(MATCH(I63,O$11:O$203,0))&gt;1),0,MATCH(I63,O$11:O$203,0))+IF(OR(TYPE(I63)&gt;1,TYPE(MATCH(I63,U$11:U$203,0))&gt;1),0,MATCH(I63,U$11:U$203,0))+IF(OR(TYPE(I63)&gt;1,TYPE(MATCH(I63,AA$11:AA$203,0))&gt;1),0,MATCH(I63,AA$11:AA$203,0))</f>
        <v>0</v>
      </c>
      <c r="AO63" s="72">
        <f ca="1">IF(OR(TYPE(O63)&gt;1,TYPE(MATCH(O63,I$11:I$203,0))&gt;1),0,MATCH(O63,I$11:I$203,0))+IF(OR(TYPE(O63)&gt;1,TYPE(MATCH(O63,O64:O$203,0))&gt;1),0,MATCH(O63,O64:O$203,0))+IF(OR(TYPE(O63)&gt;1,TYPE(MATCH(O63,U$11:U$203,0))&gt;1),0,MATCH(O63,U$11:U$203,0))+IF(OR(TYPE(O63)&gt;1,TYPE(MATCH(O63,AA$11:AA$203,0))&gt;1),0,MATCH(O63,AA$11:AA$203,0))</f>
        <v>0</v>
      </c>
      <c r="AP63" s="72">
        <f ca="1">IF(OR(TYPE(U63)&gt;1,TYPE(MATCH(U63,I$11:I$203,0))&gt;1),0,MATCH(U63,I$11:I$203,0))+IF(OR(TYPE(U63)&gt;1,TYPE(MATCH(U63,O$11:O$203,0))&gt;1),0,MATCH(U63,O$11:O$203,0))+IF(OR(TYPE(U63)&gt;1,TYPE(MATCH(U63,U64:U$203,0))&gt;1),0,MATCH(U63,U64:U$203,0))+IF(OR(TYPE(U63)&gt;1,TYPE(MATCH(U63,AA$11:AA$203,0))&gt;1),0,MATCH(U63,AA$11:AA$203,0))</f>
        <v>0</v>
      </c>
      <c r="AQ63" s="72">
        <f ca="1">IF(OR(TYPE(AA63)&gt;1,TYPE(MATCH(AA63,I$11:I$203,0))&gt;1),0,MATCH(AA63,I$11:I$203,0))+IF(OR(TYPE(AA63)&gt;1,TYPE(MATCH(AA63,O$11:O$203,0))&gt;1),0,MATCH(AA63,O$11:O$203,0))+IF(OR(TYPE(AA63)&gt;1,TYPE(MATCH(AA63,U$11:U$203,0))&gt;1),0,MATCH(U63,U$11:U$203,0))+IF(OR(TYPE(AA63)&gt;1,TYPE(MATCH(AA63,AA64:AA$203,0))&gt;1),0,MATCH(AA63,AA64:AA$203,0))</f>
        <v>0</v>
      </c>
      <c r="AR63" s="72">
        <f t="shared" ca="1" si="29"/>
        <v>0</v>
      </c>
    </row>
    <row r="64" spans="1:44" ht="14.25">
      <c r="A64" s="103">
        <f t="shared" ca="1" si="15"/>
        <v>0</v>
      </c>
      <c r="B64" s="103">
        <f t="shared" ca="1" si="16"/>
        <v>0</v>
      </c>
      <c r="C64" s="156">
        <f t="shared" ca="1" si="17"/>
        <v>0</v>
      </c>
      <c r="D64" s="103">
        <f t="shared" ca="1" si="18"/>
        <v>99999</v>
      </c>
      <c r="E64" s="103">
        <f t="shared" ca="1" si="19"/>
        <v>9999</v>
      </c>
      <c r="F64" s="104" t="str">
        <f t="shared" ca="1" si="20"/>
        <v>00000000000000000000297381</v>
      </c>
      <c r="G64" s="145">
        <f t="shared" ca="1" si="21"/>
        <v>1</v>
      </c>
      <c r="H64" s="146">
        <f t="shared" si="22"/>
        <v>54</v>
      </c>
      <c r="I64" s="147" t="str">
        <f t="shared" ca="1" si="23"/>
        <v/>
      </c>
      <c r="J64" s="148" t="str">
        <f ca="1">IF(N(I64)&gt;0,VLOOKUP(I64,Hraci!$A$1:$I$1000,2,0),IF(TYPE(INDIRECT(ADDRESS(ROW() + $A$9-9 + (ROW()-11)*4,2,1,1,"Internet")))&gt;1,INDIRECT(ADDRESS(ROW() + $A$9-9 + (ROW()-11)*4,2,1,1,"Internet"))," "))</f>
        <v xml:space="preserve"> </v>
      </c>
      <c r="K64" s="149" t="str">
        <f ca="1">IF(N(I64)&gt;0,VLOOKUP(I64,Hraci!$A$1:$I$1000,3,0)," ")</f>
        <v xml:space="preserve"> </v>
      </c>
      <c r="L64" s="149" t="str">
        <f ca="1">IF(N(I64)&gt;0,VLOOKUP(I64,Hraci!$A$1:$I$1000,5,0),IF(TYPE(INDIRECT(ADDRESS(ROW() + $A$9-9 + (ROW()-11)*4,3,1,1,"Internet")))&gt;1,INDIRECT(ADDRESS(ROW() + $A$9-9 + (ROW()-11)*4,3,1,1,"Internet"))," "))</f>
        <v xml:space="preserve"> </v>
      </c>
      <c r="M64" s="149">
        <f ca="1">IF(N(I64)=0,9999,VLOOKUP(I64,Hraci!$A$1:$I$1000,8,0))</f>
        <v>9999</v>
      </c>
      <c r="N64" s="150">
        <f ca="1">IF(N(I64)=0,0,VLOOKUP(I64,Hraci!$A$1:$I$1000,9,0))</f>
        <v>0</v>
      </c>
      <c r="O64" s="147" t="str">
        <f t="shared" ca="1" si="24"/>
        <v/>
      </c>
      <c r="P64" s="148" t="str">
        <f ca="1">IF(N(O64)&gt;0,VLOOKUP(O64,Hraci!$A$1:$I$1000,2,0),IF(TYPE(INDIRECT(ADDRESS(ROW() + $A$9-8 + (ROW()-11)*4,2,1,1,"Internet")))&gt;1,INDIRECT(ADDRESS(ROW() + $A$9-8 + (ROW()-11)*4,2,1,1,"Internet"))," "))</f>
        <v xml:space="preserve"> </v>
      </c>
      <c r="Q64" s="149" t="str">
        <f ca="1">IF(N(O64)&gt;0,VLOOKUP(O64,Hraci!$A$1:$I$1000,3,0)," ")</f>
        <v xml:space="preserve"> </v>
      </c>
      <c r="R64" s="149" t="str">
        <f ca="1">IF(N(O64)&gt;0,VLOOKUP(O64,Hraci!$A$1:$I$1000,5,0),IF(TYPE(INDIRECT(ADDRESS(ROW() + $A$9-8 + (ROW()-11)*4,3,1,1,"Internet")))&gt;1,INDIRECT(ADDRESS(ROW() + $A$9-8 + (ROW()-11)*4,3,1,1,"Internet"))," "))</f>
        <v xml:space="preserve"> </v>
      </c>
      <c r="S64" s="149">
        <f ca="1">IF(N(O64)=0,9999,VLOOKUP(O64,Hraci!$A$1:$I$1000,8,0))</f>
        <v>9999</v>
      </c>
      <c r="T64" s="150">
        <f ca="1">IF(N(O64)=0,0,VLOOKUP(O64,Hraci!$A$1:$I$1000,9,0))</f>
        <v>0</v>
      </c>
      <c r="U64" s="147" t="str">
        <f t="shared" ca="1" si="25"/>
        <v/>
      </c>
      <c r="V64" s="148" t="str">
        <f ca="1">IF(N(U64)&gt;0,VLOOKUP(U64,Hraci!$A$1:$I$1000,2,0),IF(TYPE(INDIRECT(ADDRESS(ROW() + $A$9-7 + (ROW()-11)*4,2,1,1,"Internet")))&gt;1,INDIRECT(ADDRESS(ROW() + $A$9-7 + (ROW()-11)*4,2,1,1,"Internet"))," "))</f>
        <v xml:space="preserve"> </v>
      </c>
      <c r="W64" s="149" t="str">
        <f ca="1">IF(N(U64)&gt;0,VLOOKUP(U64,Hraci!$A$1:$I$1000,3,0)," ")</f>
        <v xml:space="preserve"> </v>
      </c>
      <c r="X64" s="149" t="str">
        <f ca="1">IF(N(U64)&gt;0,VLOOKUP(U64,Hraci!$A$1:$I$1000,5,0),IF(TYPE(INDIRECT(ADDRESS(ROW() + $A$9-7 + (ROW()-11)*4,3,1,1,"Internet")))&gt;1,INDIRECT(ADDRESS(ROW() + $A$9-7 + (ROW()-11)*4,3,1,1,"Internet"))," "))</f>
        <v xml:space="preserve"> </v>
      </c>
      <c r="Y64" s="149">
        <f ca="1">IF(N(U64)=0,9999,VLOOKUP(U64,Hraci!$A$1:$I$1000,8,0))</f>
        <v>9999</v>
      </c>
      <c r="Z64" s="150">
        <f ca="1">IF(N(U64)=0,0,VLOOKUP(U64,Hraci!$A$1:$I$1000,9,0))</f>
        <v>0</v>
      </c>
      <c r="AA64" s="147" t="str">
        <f t="shared" ca="1" si="26"/>
        <v/>
      </c>
      <c r="AB64" s="148" t="str">
        <f ca="1">IF(N(AA64)&gt;0,VLOOKUP(AA64,Hraci!$A$1:$I$1000,2,0)," ")</f>
        <v xml:space="preserve"> </v>
      </c>
      <c r="AC64" s="149" t="str">
        <f ca="1">IF(N(AA64)&gt;0,VLOOKUP(AA64,Hraci!$A$1:$I$1000,3,0)," ")</f>
        <v xml:space="preserve"> </v>
      </c>
      <c r="AD64" s="149" t="str">
        <f ca="1">IF(N(AA64)&gt;0,VLOOKUP(AA64,Hraci!$A$1:$I$1000,5,0)," ")</f>
        <v xml:space="preserve"> </v>
      </c>
      <c r="AE64" s="149">
        <f ca="1">IF(N(AA64)=0,9999,VLOOKUP(AA64,Hraci!$A$1:$I$1000,8,0))</f>
        <v>9999</v>
      </c>
      <c r="AF64" s="150">
        <f ca="1">IF(N(AA64)=0,0,VLOOKUP(AA64,Hraci!$A$1:$I$1000,9,0))</f>
        <v>0</v>
      </c>
      <c r="AG64" s="147"/>
      <c r="AH64" s="151">
        <f ca="1">IF(TYPE(VLOOKUP(H64,Nasazení!$A$3:$E$130,5,0))&lt;4,VLOOKUP(H64,Nasazení!$A$3:$E$130,5,0),0)</f>
        <v>0</v>
      </c>
      <c r="AI64" s="152" t="str">
        <f ca="1">IF(N($AH64)&gt;0,VLOOKUP($AH64,Body!$A$4:$F$259,5,0),"")</f>
        <v/>
      </c>
      <c r="AJ64" s="153" t="str">
        <f ca="1">IF(N($AH64)&gt;0,VLOOKUP($AH64,Body!$A$4:$F$259,6,0),"")</f>
        <v/>
      </c>
      <c r="AK64" s="152" t="str">
        <f ca="1">IF(N($AH64)&gt;0,VLOOKUP($AH64,Body!$A$4:$F$259,2,0),"")</f>
        <v/>
      </c>
      <c r="AL64" s="154" t="str">
        <f t="shared" ca="1" si="27"/>
        <v/>
      </c>
      <c r="AM64" s="155">
        <f t="shared" ca="1" si="28"/>
        <v>0</v>
      </c>
      <c r="AN64" s="72">
        <f ca="1">IF(OR(TYPE(I64)&gt;1,TYPE(MATCH(I64,I65:I$203,0))&gt;1),0,MATCH(I64,I65:I$203,0))+IF(OR(TYPE(I64)&gt;1,TYPE(MATCH(I64,O$11:O$203,0))&gt;1),0,MATCH(I64,O$11:O$203,0))+IF(OR(TYPE(I64)&gt;1,TYPE(MATCH(I64,U$11:U$203,0))&gt;1),0,MATCH(I64,U$11:U$203,0))+IF(OR(TYPE(I64)&gt;1,TYPE(MATCH(I64,AA$11:AA$203,0))&gt;1),0,MATCH(I64,AA$11:AA$203,0))</f>
        <v>0</v>
      </c>
      <c r="AO64" s="72">
        <f ca="1">IF(OR(TYPE(O64)&gt;1,TYPE(MATCH(O64,I$11:I$203,0))&gt;1),0,MATCH(O64,I$11:I$203,0))+IF(OR(TYPE(O64)&gt;1,TYPE(MATCH(O64,O65:O$203,0))&gt;1),0,MATCH(O64,O65:O$203,0))+IF(OR(TYPE(O64)&gt;1,TYPE(MATCH(O64,U$11:U$203,0))&gt;1),0,MATCH(O64,U$11:U$203,0))+IF(OR(TYPE(O64)&gt;1,TYPE(MATCH(O64,AA$11:AA$203,0))&gt;1),0,MATCH(O64,AA$11:AA$203,0))</f>
        <v>0</v>
      </c>
      <c r="AP64" s="72">
        <f ca="1">IF(OR(TYPE(U64)&gt;1,TYPE(MATCH(U64,I$11:I$203,0))&gt;1),0,MATCH(U64,I$11:I$203,0))+IF(OR(TYPE(U64)&gt;1,TYPE(MATCH(U64,O$11:O$203,0))&gt;1),0,MATCH(U64,O$11:O$203,0))+IF(OR(TYPE(U64)&gt;1,TYPE(MATCH(U64,U65:U$203,0))&gt;1),0,MATCH(U64,U65:U$203,0))+IF(OR(TYPE(U64)&gt;1,TYPE(MATCH(U64,AA$11:AA$203,0))&gt;1),0,MATCH(U64,AA$11:AA$203,0))</f>
        <v>0</v>
      </c>
      <c r="AQ64" s="72">
        <f ca="1">IF(OR(TYPE(AA64)&gt;1,TYPE(MATCH(AA64,I$11:I$203,0))&gt;1),0,MATCH(AA64,I$11:I$203,0))+IF(OR(TYPE(AA64)&gt;1,TYPE(MATCH(AA64,O$11:O$203,0))&gt;1),0,MATCH(AA64,O$11:O$203,0))+IF(OR(TYPE(AA64)&gt;1,TYPE(MATCH(AA64,U$11:U$203,0))&gt;1),0,MATCH(U64,U$11:U$203,0))+IF(OR(TYPE(AA64)&gt;1,TYPE(MATCH(AA64,AA65:AA$203,0))&gt;1),0,MATCH(AA64,AA65:AA$203,0))</f>
        <v>0</v>
      </c>
      <c r="AR64" s="72">
        <f t="shared" ca="1" si="29"/>
        <v>0</v>
      </c>
    </row>
    <row r="65" spans="1:44" ht="14.25">
      <c r="A65" s="103">
        <f t="shared" ca="1" si="15"/>
        <v>0</v>
      </c>
      <c r="B65" s="103">
        <f t="shared" ca="1" si="16"/>
        <v>0</v>
      </c>
      <c r="C65" s="156">
        <f t="shared" ca="1" si="17"/>
        <v>0</v>
      </c>
      <c r="D65" s="103">
        <f t="shared" ca="1" si="18"/>
        <v>99999</v>
      </c>
      <c r="E65" s="103">
        <f t="shared" ca="1" si="19"/>
        <v>9999</v>
      </c>
      <c r="F65" s="104" t="str">
        <f t="shared" ca="1" si="20"/>
        <v>00000000000000000000450933</v>
      </c>
      <c r="G65" s="145">
        <f t="shared" ca="1" si="21"/>
        <v>1</v>
      </c>
      <c r="H65" s="146">
        <f t="shared" si="22"/>
        <v>55</v>
      </c>
      <c r="I65" s="147" t="str">
        <f t="shared" ca="1" si="23"/>
        <v/>
      </c>
      <c r="J65" s="148" t="str">
        <f ca="1">IF(N(I65)&gt;0,VLOOKUP(I65,Hraci!$A$1:$I$1000,2,0),IF(TYPE(INDIRECT(ADDRESS(ROW() + $A$9-9 + (ROW()-11)*4,2,1,1,"Internet")))&gt;1,INDIRECT(ADDRESS(ROW() + $A$9-9 + (ROW()-11)*4,2,1,1,"Internet"))," "))</f>
        <v xml:space="preserve"> </v>
      </c>
      <c r="K65" s="149" t="str">
        <f ca="1">IF(N(I65)&gt;0,VLOOKUP(I65,Hraci!$A$1:$I$1000,3,0)," ")</f>
        <v xml:space="preserve"> </v>
      </c>
      <c r="L65" s="149" t="str">
        <f ca="1">IF(N(I65)&gt;0,VLOOKUP(I65,Hraci!$A$1:$I$1000,5,0),IF(TYPE(INDIRECT(ADDRESS(ROW() + $A$9-9 + (ROW()-11)*4,3,1,1,"Internet")))&gt;1,INDIRECT(ADDRESS(ROW() + $A$9-9 + (ROW()-11)*4,3,1,1,"Internet"))," "))</f>
        <v xml:space="preserve"> </v>
      </c>
      <c r="M65" s="149">
        <f ca="1">IF(N(I65)=0,9999,VLOOKUP(I65,Hraci!$A$1:$I$1000,8,0))</f>
        <v>9999</v>
      </c>
      <c r="N65" s="150">
        <f ca="1">IF(N(I65)=0,0,VLOOKUP(I65,Hraci!$A$1:$I$1000,9,0))</f>
        <v>0</v>
      </c>
      <c r="O65" s="147" t="str">
        <f t="shared" ca="1" si="24"/>
        <v/>
      </c>
      <c r="P65" s="148" t="str">
        <f ca="1">IF(N(O65)&gt;0,VLOOKUP(O65,Hraci!$A$1:$I$1000,2,0),IF(TYPE(INDIRECT(ADDRESS(ROW() + $A$9-8 + (ROW()-11)*4,2,1,1,"Internet")))&gt;1,INDIRECT(ADDRESS(ROW() + $A$9-8 + (ROW()-11)*4,2,1,1,"Internet"))," "))</f>
        <v xml:space="preserve"> </v>
      </c>
      <c r="Q65" s="149" t="str">
        <f ca="1">IF(N(O65)&gt;0,VLOOKUP(O65,Hraci!$A$1:$I$1000,3,0)," ")</f>
        <v xml:space="preserve"> </v>
      </c>
      <c r="R65" s="149" t="str">
        <f ca="1">IF(N(O65)&gt;0,VLOOKUP(O65,Hraci!$A$1:$I$1000,5,0),IF(TYPE(INDIRECT(ADDRESS(ROW() + $A$9-8 + (ROW()-11)*4,3,1,1,"Internet")))&gt;1,INDIRECT(ADDRESS(ROW() + $A$9-8 + (ROW()-11)*4,3,1,1,"Internet"))," "))</f>
        <v xml:space="preserve"> </v>
      </c>
      <c r="S65" s="149">
        <f ca="1">IF(N(O65)=0,9999,VLOOKUP(O65,Hraci!$A$1:$I$1000,8,0))</f>
        <v>9999</v>
      </c>
      <c r="T65" s="150">
        <f ca="1">IF(N(O65)=0,0,VLOOKUP(O65,Hraci!$A$1:$I$1000,9,0))</f>
        <v>0</v>
      </c>
      <c r="U65" s="147" t="str">
        <f t="shared" ca="1" si="25"/>
        <v/>
      </c>
      <c r="V65" s="148" t="str">
        <f ca="1">IF(N(U65)&gt;0,VLOOKUP(U65,Hraci!$A$1:$I$1000,2,0),IF(TYPE(INDIRECT(ADDRESS(ROW() + $A$9-7 + (ROW()-11)*4,2,1,1,"Internet")))&gt;1,INDIRECT(ADDRESS(ROW() + $A$9-7 + (ROW()-11)*4,2,1,1,"Internet"))," "))</f>
        <v xml:space="preserve"> </v>
      </c>
      <c r="W65" s="149" t="str">
        <f ca="1">IF(N(U65)&gt;0,VLOOKUP(U65,Hraci!$A$1:$I$1000,3,0)," ")</f>
        <v xml:space="preserve"> </v>
      </c>
      <c r="X65" s="149" t="str">
        <f ca="1">IF(N(U65)&gt;0,VLOOKUP(U65,Hraci!$A$1:$I$1000,5,0),IF(TYPE(INDIRECT(ADDRESS(ROW() + $A$9-7 + (ROW()-11)*4,3,1,1,"Internet")))&gt;1,INDIRECT(ADDRESS(ROW() + $A$9-7 + (ROW()-11)*4,3,1,1,"Internet"))," "))</f>
        <v xml:space="preserve"> </v>
      </c>
      <c r="Y65" s="149">
        <f ca="1">IF(N(U65)=0,9999,VLOOKUP(U65,Hraci!$A$1:$I$1000,8,0))</f>
        <v>9999</v>
      </c>
      <c r="Z65" s="150">
        <f ca="1">IF(N(U65)=0,0,VLOOKUP(U65,Hraci!$A$1:$I$1000,9,0))</f>
        <v>0</v>
      </c>
      <c r="AA65" s="147" t="str">
        <f t="shared" ca="1" si="26"/>
        <v/>
      </c>
      <c r="AB65" s="148" t="str">
        <f ca="1">IF(N(AA65)&gt;0,VLOOKUP(AA65,Hraci!$A$1:$I$1000,2,0)," ")</f>
        <v xml:space="preserve"> </v>
      </c>
      <c r="AC65" s="149" t="str">
        <f ca="1">IF(N(AA65)&gt;0,VLOOKUP(AA65,Hraci!$A$1:$I$1000,3,0)," ")</f>
        <v xml:space="preserve"> </v>
      </c>
      <c r="AD65" s="149" t="str">
        <f ca="1">IF(N(AA65)&gt;0,VLOOKUP(AA65,Hraci!$A$1:$I$1000,5,0)," ")</f>
        <v xml:space="preserve"> </v>
      </c>
      <c r="AE65" s="149">
        <f ca="1">IF(N(AA65)=0,9999,VLOOKUP(AA65,Hraci!$A$1:$I$1000,8,0))</f>
        <v>9999</v>
      </c>
      <c r="AF65" s="150">
        <f ca="1">IF(N(AA65)=0,0,VLOOKUP(AA65,Hraci!$A$1:$I$1000,9,0))</f>
        <v>0</v>
      </c>
      <c r="AG65" s="147"/>
      <c r="AH65" s="151">
        <f ca="1">IF(TYPE(VLOOKUP(H65,Nasazení!$A$3:$E$130,5,0))&lt;4,VLOOKUP(H65,Nasazení!$A$3:$E$130,5,0),0)</f>
        <v>0</v>
      </c>
      <c r="AI65" s="152" t="str">
        <f ca="1">IF(N($AH65)&gt;0,VLOOKUP($AH65,Body!$A$4:$F$259,5,0),"")</f>
        <v/>
      </c>
      <c r="AJ65" s="153" t="str">
        <f ca="1">IF(N($AH65)&gt;0,VLOOKUP($AH65,Body!$A$4:$F$259,6,0),"")</f>
        <v/>
      </c>
      <c r="AK65" s="152" t="str">
        <f ca="1">IF(N($AH65)&gt;0,VLOOKUP($AH65,Body!$A$4:$F$259,2,0),"")</f>
        <v/>
      </c>
      <c r="AL65" s="154" t="str">
        <f t="shared" ca="1" si="27"/>
        <v/>
      </c>
      <c r="AM65" s="155">
        <f t="shared" ca="1" si="28"/>
        <v>0</v>
      </c>
      <c r="AN65" s="72">
        <f ca="1">IF(OR(TYPE(I65)&gt;1,TYPE(MATCH(I65,I66:I$203,0))&gt;1),0,MATCH(I65,I66:I$203,0))+IF(OR(TYPE(I65)&gt;1,TYPE(MATCH(I65,O$11:O$203,0))&gt;1),0,MATCH(I65,O$11:O$203,0))+IF(OR(TYPE(I65)&gt;1,TYPE(MATCH(I65,U$11:U$203,0))&gt;1),0,MATCH(I65,U$11:U$203,0))+IF(OR(TYPE(I65)&gt;1,TYPE(MATCH(I65,AA$11:AA$203,0))&gt;1),0,MATCH(I65,AA$11:AA$203,0))</f>
        <v>0</v>
      </c>
      <c r="AO65" s="72">
        <f ca="1">IF(OR(TYPE(O65)&gt;1,TYPE(MATCH(O65,I$11:I$203,0))&gt;1),0,MATCH(O65,I$11:I$203,0))+IF(OR(TYPE(O65)&gt;1,TYPE(MATCH(O65,O66:O$203,0))&gt;1),0,MATCH(O65,O66:O$203,0))+IF(OR(TYPE(O65)&gt;1,TYPE(MATCH(O65,U$11:U$203,0))&gt;1),0,MATCH(O65,U$11:U$203,0))+IF(OR(TYPE(O65)&gt;1,TYPE(MATCH(O65,AA$11:AA$203,0))&gt;1),0,MATCH(O65,AA$11:AA$203,0))</f>
        <v>0</v>
      </c>
      <c r="AP65" s="72">
        <f ca="1">IF(OR(TYPE(U65)&gt;1,TYPE(MATCH(U65,I$11:I$203,0))&gt;1),0,MATCH(U65,I$11:I$203,0))+IF(OR(TYPE(U65)&gt;1,TYPE(MATCH(U65,O$11:O$203,0))&gt;1),0,MATCH(U65,O$11:O$203,0))+IF(OR(TYPE(U65)&gt;1,TYPE(MATCH(U65,U66:U$203,0))&gt;1),0,MATCH(U65,U66:U$203,0))+IF(OR(TYPE(U65)&gt;1,TYPE(MATCH(U65,AA$11:AA$203,0))&gt;1),0,MATCH(U65,AA$11:AA$203,0))</f>
        <v>0</v>
      </c>
      <c r="AQ65" s="72">
        <f ca="1">IF(OR(TYPE(AA65)&gt;1,TYPE(MATCH(AA65,I$11:I$203,0))&gt;1),0,MATCH(AA65,I$11:I$203,0))+IF(OR(TYPE(AA65)&gt;1,TYPE(MATCH(AA65,O$11:O$203,0))&gt;1),0,MATCH(AA65,O$11:O$203,0))+IF(OR(TYPE(AA65)&gt;1,TYPE(MATCH(AA65,U$11:U$203,0))&gt;1),0,MATCH(U65,U$11:U$203,0))+IF(OR(TYPE(AA65)&gt;1,TYPE(MATCH(AA65,AA66:AA$203,0))&gt;1),0,MATCH(AA65,AA66:AA$203,0))</f>
        <v>0</v>
      </c>
      <c r="AR65" s="72">
        <f t="shared" ca="1" si="29"/>
        <v>0</v>
      </c>
    </row>
    <row r="66" spans="1:44" ht="14.25">
      <c r="A66" s="103">
        <f t="shared" ca="1" si="15"/>
        <v>0</v>
      </c>
      <c r="B66" s="103">
        <f t="shared" ca="1" si="16"/>
        <v>0</v>
      </c>
      <c r="C66" s="156">
        <f t="shared" ca="1" si="17"/>
        <v>0</v>
      </c>
      <c r="D66" s="103">
        <f t="shared" ca="1" si="18"/>
        <v>99999</v>
      </c>
      <c r="E66" s="103">
        <f t="shared" ca="1" si="19"/>
        <v>9999</v>
      </c>
      <c r="F66" s="104" t="str">
        <f t="shared" ca="1" si="20"/>
        <v>00000000000000000000585551</v>
      </c>
      <c r="G66" s="145">
        <f t="shared" ca="1" si="21"/>
        <v>1</v>
      </c>
      <c r="H66" s="146">
        <f t="shared" si="22"/>
        <v>56</v>
      </c>
      <c r="I66" s="147" t="str">
        <f t="shared" ca="1" si="23"/>
        <v/>
      </c>
      <c r="J66" s="148" t="str">
        <f ca="1">IF(N(I66)&gt;0,VLOOKUP(I66,Hraci!$A$1:$I$1000,2,0),IF(TYPE(INDIRECT(ADDRESS(ROW() + $A$9-9 + (ROW()-11)*4,2,1,1,"Internet")))&gt;1,INDIRECT(ADDRESS(ROW() + $A$9-9 + (ROW()-11)*4,2,1,1,"Internet"))," "))</f>
        <v xml:space="preserve"> </v>
      </c>
      <c r="K66" s="149" t="str">
        <f ca="1">IF(N(I66)&gt;0,VLOOKUP(I66,Hraci!$A$1:$I$1000,3,0)," ")</f>
        <v xml:space="preserve"> </v>
      </c>
      <c r="L66" s="149" t="str">
        <f ca="1">IF(N(I66)&gt;0,VLOOKUP(I66,Hraci!$A$1:$I$1000,5,0),IF(TYPE(INDIRECT(ADDRESS(ROW() + $A$9-9 + (ROW()-11)*4,3,1,1,"Internet")))&gt;1,INDIRECT(ADDRESS(ROW() + $A$9-9 + (ROW()-11)*4,3,1,1,"Internet"))," "))</f>
        <v xml:space="preserve"> </v>
      </c>
      <c r="M66" s="149">
        <f ca="1">IF(N(I66)=0,9999,VLOOKUP(I66,Hraci!$A$1:$I$1000,8,0))</f>
        <v>9999</v>
      </c>
      <c r="N66" s="150">
        <f ca="1">IF(N(I66)=0,0,VLOOKUP(I66,Hraci!$A$1:$I$1000,9,0))</f>
        <v>0</v>
      </c>
      <c r="O66" s="147" t="str">
        <f t="shared" ca="1" si="24"/>
        <v/>
      </c>
      <c r="P66" s="148" t="str">
        <f ca="1">IF(N(O66)&gt;0,VLOOKUP(O66,Hraci!$A$1:$I$1000,2,0),IF(TYPE(INDIRECT(ADDRESS(ROW() + $A$9-8 + (ROW()-11)*4,2,1,1,"Internet")))&gt;1,INDIRECT(ADDRESS(ROW() + $A$9-8 + (ROW()-11)*4,2,1,1,"Internet"))," "))</f>
        <v xml:space="preserve"> </v>
      </c>
      <c r="Q66" s="149" t="str">
        <f ca="1">IF(N(O66)&gt;0,VLOOKUP(O66,Hraci!$A$1:$I$1000,3,0)," ")</f>
        <v xml:space="preserve"> </v>
      </c>
      <c r="R66" s="149" t="str">
        <f ca="1">IF(N(O66)&gt;0,VLOOKUP(O66,Hraci!$A$1:$I$1000,5,0),IF(TYPE(INDIRECT(ADDRESS(ROW() + $A$9-8 + (ROW()-11)*4,3,1,1,"Internet")))&gt;1,INDIRECT(ADDRESS(ROW() + $A$9-8 + (ROW()-11)*4,3,1,1,"Internet"))," "))</f>
        <v xml:space="preserve"> </v>
      </c>
      <c r="S66" s="149">
        <f ca="1">IF(N(O66)=0,9999,VLOOKUP(O66,Hraci!$A$1:$I$1000,8,0))</f>
        <v>9999</v>
      </c>
      <c r="T66" s="150">
        <f ca="1">IF(N(O66)=0,0,VLOOKUP(O66,Hraci!$A$1:$I$1000,9,0))</f>
        <v>0</v>
      </c>
      <c r="U66" s="147" t="str">
        <f t="shared" ca="1" si="25"/>
        <v/>
      </c>
      <c r="V66" s="148" t="str">
        <f ca="1">IF(N(U66)&gt;0,VLOOKUP(U66,Hraci!$A$1:$I$1000,2,0),IF(TYPE(INDIRECT(ADDRESS(ROW() + $A$9-7 + (ROW()-11)*4,2,1,1,"Internet")))&gt;1,INDIRECT(ADDRESS(ROW() + $A$9-7 + (ROW()-11)*4,2,1,1,"Internet"))," "))</f>
        <v xml:space="preserve"> </v>
      </c>
      <c r="W66" s="149" t="str">
        <f ca="1">IF(N(U66)&gt;0,VLOOKUP(U66,Hraci!$A$1:$I$1000,3,0)," ")</f>
        <v xml:space="preserve"> </v>
      </c>
      <c r="X66" s="149" t="str">
        <f ca="1">IF(N(U66)&gt;0,VLOOKUP(U66,Hraci!$A$1:$I$1000,5,0),IF(TYPE(INDIRECT(ADDRESS(ROW() + $A$9-7 + (ROW()-11)*4,3,1,1,"Internet")))&gt;1,INDIRECT(ADDRESS(ROW() + $A$9-7 + (ROW()-11)*4,3,1,1,"Internet"))," "))</f>
        <v xml:space="preserve"> </v>
      </c>
      <c r="Y66" s="149">
        <f ca="1">IF(N(U66)=0,9999,VLOOKUP(U66,Hraci!$A$1:$I$1000,8,0))</f>
        <v>9999</v>
      </c>
      <c r="Z66" s="150">
        <f ca="1">IF(N(U66)=0,0,VLOOKUP(U66,Hraci!$A$1:$I$1000,9,0))</f>
        <v>0</v>
      </c>
      <c r="AA66" s="147" t="str">
        <f t="shared" ca="1" si="26"/>
        <v/>
      </c>
      <c r="AB66" s="148" t="str">
        <f ca="1">IF(N(AA66)&gt;0,VLOOKUP(AA66,Hraci!$A$1:$I$1000,2,0)," ")</f>
        <v xml:space="preserve"> </v>
      </c>
      <c r="AC66" s="149" t="str">
        <f ca="1">IF(N(AA66)&gt;0,VLOOKUP(AA66,Hraci!$A$1:$I$1000,3,0)," ")</f>
        <v xml:space="preserve"> </v>
      </c>
      <c r="AD66" s="149" t="str">
        <f ca="1">IF(N(AA66)&gt;0,VLOOKUP(AA66,Hraci!$A$1:$I$1000,5,0)," ")</f>
        <v xml:space="preserve"> </v>
      </c>
      <c r="AE66" s="149">
        <f ca="1">IF(N(AA66)=0,9999,VLOOKUP(AA66,Hraci!$A$1:$I$1000,8,0))</f>
        <v>9999</v>
      </c>
      <c r="AF66" s="150">
        <f ca="1">IF(N(AA66)=0,0,VLOOKUP(AA66,Hraci!$A$1:$I$1000,9,0))</f>
        <v>0</v>
      </c>
      <c r="AG66" s="147"/>
      <c r="AH66" s="151">
        <f ca="1">IF(TYPE(VLOOKUP(H66,Nasazení!$A$3:$E$130,5,0))&lt;4,VLOOKUP(H66,Nasazení!$A$3:$E$130,5,0),0)</f>
        <v>0</v>
      </c>
      <c r="AI66" s="152" t="str">
        <f ca="1">IF(N($AH66)&gt;0,VLOOKUP($AH66,Body!$A$4:$F$259,5,0),"")</f>
        <v/>
      </c>
      <c r="AJ66" s="153" t="str">
        <f ca="1">IF(N($AH66)&gt;0,VLOOKUP($AH66,Body!$A$4:$F$259,6,0),"")</f>
        <v/>
      </c>
      <c r="AK66" s="152" t="str">
        <f ca="1">IF(N($AH66)&gt;0,VLOOKUP($AH66,Body!$A$4:$F$259,2,0),"")</f>
        <v/>
      </c>
      <c r="AL66" s="154" t="str">
        <f t="shared" ca="1" si="27"/>
        <v/>
      </c>
      <c r="AM66" s="155">
        <f t="shared" ca="1" si="28"/>
        <v>0</v>
      </c>
      <c r="AN66" s="72">
        <f ca="1">IF(OR(TYPE(I66)&gt;1,TYPE(MATCH(I66,I67:I$203,0))&gt;1),0,MATCH(I66,I67:I$203,0))+IF(OR(TYPE(I66)&gt;1,TYPE(MATCH(I66,O$11:O$203,0))&gt;1),0,MATCH(I66,O$11:O$203,0))+IF(OR(TYPE(I66)&gt;1,TYPE(MATCH(I66,U$11:U$203,0))&gt;1),0,MATCH(I66,U$11:U$203,0))+IF(OR(TYPE(I66)&gt;1,TYPE(MATCH(I66,AA$11:AA$203,0))&gt;1),0,MATCH(I66,AA$11:AA$203,0))</f>
        <v>0</v>
      </c>
      <c r="AO66" s="72">
        <f ca="1">IF(OR(TYPE(O66)&gt;1,TYPE(MATCH(O66,I$11:I$203,0))&gt;1),0,MATCH(O66,I$11:I$203,0))+IF(OR(TYPE(O66)&gt;1,TYPE(MATCH(O66,O67:O$203,0))&gt;1),0,MATCH(O66,O67:O$203,0))+IF(OR(TYPE(O66)&gt;1,TYPE(MATCH(O66,U$11:U$203,0))&gt;1),0,MATCH(O66,U$11:U$203,0))+IF(OR(TYPE(O66)&gt;1,TYPE(MATCH(O66,AA$11:AA$203,0))&gt;1),0,MATCH(O66,AA$11:AA$203,0))</f>
        <v>0</v>
      </c>
      <c r="AP66" s="72">
        <f ca="1">IF(OR(TYPE(U66)&gt;1,TYPE(MATCH(U66,I$11:I$203,0))&gt;1),0,MATCH(U66,I$11:I$203,0))+IF(OR(TYPE(U66)&gt;1,TYPE(MATCH(U66,O$11:O$203,0))&gt;1),0,MATCH(U66,O$11:O$203,0))+IF(OR(TYPE(U66)&gt;1,TYPE(MATCH(U66,U67:U$203,0))&gt;1),0,MATCH(U66,U67:U$203,0))+IF(OR(TYPE(U66)&gt;1,TYPE(MATCH(U66,AA$11:AA$203,0))&gt;1),0,MATCH(U66,AA$11:AA$203,0))</f>
        <v>0</v>
      </c>
      <c r="AQ66" s="72">
        <f ca="1">IF(OR(TYPE(AA66)&gt;1,TYPE(MATCH(AA66,I$11:I$203,0))&gt;1),0,MATCH(AA66,I$11:I$203,0))+IF(OR(TYPE(AA66)&gt;1,TYPE(MATCH(AA66,O$11:O$203,0))&gt;1),0,MATCH(AA66,O$11:O$203,0))+IF(OR(TYPE(AA66)&gt;1,TYPE(MATCH(AA66,U$11:U$203,0))&gt;1),0,MATCH(U66,U$11:U$203,0))+IF(OR(TYPE(AA66)&gt;1,TYPE(MATCH(AA66,AA67:AA$203,0))&gt;1),0,MATCH(AA66,AA67:AA$203,0))</f>
        <v>0</v>
      </c>
      <c r="AR66" s="72">
        <f t="shared" ca="1" si="29"/>
        <v>0</v>
      </c>
    </row>
    <row r="67" spans="1:44" ht="14.25">
      <c r="A67" s="103">
        <f t="shared" ca="1" si="15"/>
        <v>0</v>
      </c>
      <c r="B67" s="103">
        <f t="shared" ca="1" si="16"/>
        <v>0</v>
      </c>
      <c r="C67" s="156">
        <f t="shared" ca="1" si="17"/>
        <v>0</v>
      </c>
      <c r="D67" s="103">
        <f t="shared" ca="1" si="18"/>
        <v>99999</v>
      </c>
      <c r="E67" s="103">
        <f t="shared" ca="1" si="19"/>
        <v>9999</v>
      </c>
      <c r="F67" s="104" t="str">
        <f t="shared" ca="1" si="20"/>
        <v>00000000000000000000288512</v>
      </c>
      <c r="G67" s="145">
        <f t="shared" ca="1" si="21"/>
        <v>1</v>
      </c>
      <c r="H67" s="146">
        <f t="shared" si="22"/>
        <v>57</v>
      </c>
      <c r="I67" s="147" t="str">
        <f t="shared" ca="1" si="23"/>
        <v/>
      </c>
      <c r="J67" s="148" t="str">
        <f ca="1">IF(N(I67)&gt;0,VLOOKUP(I67,Hraci!$A$1:$I$1000,2,0),IF(TYPE(INDIRECT(ADDRESS(ROW() + $A$9-9 + (ROW()-11)*4,2,1,1,"Internet")))&gt;1,INDIRECT(ADDRESS(ROW() + $A$9-9 + (ROW()-11)*4,2,1,1,"Internet"))," "))</f>
        <v xml:space="preserve"> </v>
      </c>
      <c r="K67" s="149" t="str">
        <f ca="1">IF(N(I67)&gt;0,VLOOKUP(I67,Hraci!$A$1:$I$1000,3,0)," ")</f>
        <v xml:space="preserve"> </v>
      </c>
      <c r="L67" s="149" t="str">
        <f ca="1">IF(N(I67)&gt;0,VLOOKUP(I67,Hraci!$A$1:$I$1000,5,0),IF(TYPE(INDIRECT(ADDRESS(ROW() + $A$9-9 + (ROW()-11)*4,3,1,1,"Internet")))&gt;1,INDIRECT(ADDRESS(ROW() + $A$9-9 + (ROW()-11)*4,3,1,1,"Internet"))," "))</f>
        <v xml:space="preserve"> </v>
      </c>
      <c r="M67" s="149">
        <f ca="1">IF(N(I67)=0,9999,VLOOKUP(I67,Hraci!$A$1:$I$1000,8,0))</f>
        <v>9999</v>
      </c>
      <c r="N67" s="150">
        <f ca="1">IF(N(I67)=0,0,VLOOKUP(I67,Hraci!$A$1:$I$1000,9,0))</f>
        <v>0</v>
      </c>
      <c r="O67" s="147" t="str">
        <f t="shared" ca="1" si="24"/>
        <v/>
      </c>
      <c r="P67" s="148" t="str">
        <f ca="1">IF(N(O67)&gt;0,VLOOKUP(O67,Hraci!$A$1:$I$1000,2,0),IF(TYPE(INDIRECT(ADDRESS(ROW() + $A$9-8 + (ROW()-11)*4,2,1,1,"Internet")))&gt;1,INDIRECT(ADDRESS(ROW() + $A$9-8 + (ROW()-11)*4,2,1,1,"Internet"))," "))</f>
        <v xml:space="preserve"> </v>
      </c>
      <c r="Q67" s="149" t="str">
        <f ca="1">IF(N(O67)&gt;0,VLOOKUP(O67,Hraci!$A$1:$I$1000,3,0)," ")</f>
        <v xml:space="preserve"> </v>
      </c>
      <c r="R67" s="149" t="str">
        <f ca="1">IF(N(O67)&gt;0,VLOOKUP(O67,Hraci!$A$1:$I$1000,5,0),IF(TYPE(INDIRECT(ADDRESS(ROW() + $A$9-8 + (ROW()-11)*4,3,1,1,"Internet")))&gt;1,INDIRECT(ADDRESS(ROW() + $A$9-8 + (ROW()-11)*4,3,1,1,"Internet"))," "))</f>
        <v xml:space="preserve"> </v>
      </c>
      <c r="S67" s="149">
        <f ca="1">IF(N(O67)=0,9999,VLOOKUP(O67,Hraci!$A$1:$I$1000,8,0))</f>
        <v>9999</v>
      </c>
      <c r="T67" s="150">
        <f ca="1">IF(N(O67)=0,0,VLOOKUP(O67,Hraci!$A$1:$I$1000,9,0))</f>
        <v>0</v>
      </c>
      <c r="U67" s="147" t="str">
        <f t="shared" ca="1" si="25"/>
        <v/>
      </c>
      <c r="V67" s="148" t="str">
        <f ca="1">IF(N(U67)&gt;0,VLOOKUP(U67,Hraci!$A$1:$I$1000,2,0),IF(TYPE(INDIRECT(ADDRESS(ROW() + $A$9-7 + (ROW()-11)*4,2,1,1,"Internet")))&gt;1,INDIRECT(ADDRESS(ROW() + $A$9-7 + (ROW()-11)*4,2,1,1,"Internet"))," "))</f>
        <v xml:space="preserve"> </v>
      </c>
      <c r="W67" s="149" t="str">
        <f ca="1">IF(N(U67)&gt;0,VLOOKUP(U67,Hraci!$A$1:$I$1000,3,0)," ")</f>
        <v xml:space="preserve"> </v>
      </c>
      <c r="X67" s="149" t="str">
        <f ca="1">IF(N(U67)&gt;0,VLOOKUP(U67,Hraci!$A$1:$I$1000,5,0),IF(TYPE(INDIRECT(ADDRESS(ROW() + $A$9-7 + (ROW()-11)*4,3,1,1,"Internet")))&gt;1,INDIRECT(ADDRESS(ROW() + $A$9-7 + (ROW()-11)*4,3,1,1,"Internet"))," "))</f>
        <v xml:space="preserve"> </v>
      </c>
      <c r="Y67" s="149">
        <f ca="1">IF(N(U67)=0,9999,VLOOKUP(U67,Hraci!$A$1:$I$1000,8,0))</f>
        <v>9999</v>
      </c>
      <c r="Z67" s="150">
        <f ca="1">IF(N(U67)=0,0,VLOOKUP(U67,Hraci!$A$1:$I$1000,9,0))</f>
        <v>0</v>
      </c>
      <c r="AA67" s="147" t="str">
        <f t="shared" ca="1" si="26"/>
        <v/>
      </c>
      <c r="AB67" s="148" t="str">
        <f ca="1">IF(N(AA67)&gt;0,VLOOKUP(AA67,Hraci!$A$1:$I$1000,2,0)," ")</f>
        <v xml:space="preserve"> </v>
      </c>
      <c r="AC67" s="149" t="str">
        <f ca="1">IF(N(AA67)&gt;0,VLOOKUP(AA67,Hraci!$A$1:$I$1000,3,0)," ")</f>
        <v xml:space="preserve"> </v>
      </c>
      <c r="AD67" s="149" t="str">
        <f ca="1">IF(N(AA67)&gt;0,VLOOKUP(AA67,Hraci!$A$1:$I$1000,5,0)," ")</f>
        <v xml:space="preserve"> </v>
      </c>
      <c r="AE67" s="149">
        <f ca="1">IF(N(AA67)=0,9999,VLOOKUP(AA67,Hraci!$A$1:$I$1000,8,0))</f>
        <v>9999</v>
      </c>
      <c r="AF67" s="150">
        <f ca="1">IF(N(AA67)=0,0,VLOOKUP(AA67,Hraci!$A$1:$I$1000,9,0))</f>
        <v>0</v>
      </c>
      <c r="AG67" s="147"/>
      <c r="AH67" s="151">
        <f ca="1">IF(TYPE(VLOOKUP(H67,Nasazení!$A$3:$E$130,5,0))&lt;4,VLOOKUP(H67,Nasazení!$A$3:$E$130,5,0),0)</f>
        <v>0</v>
      </c>
      <c r="AI67" s="152" t="str">
        <f ca="1">IF(N($AH67)&gt;0,VLOOKUP($AH67,Body!$A$4:$F$259,5,0),"")</f>
        <v/>
      </c>
      <c r="AJ67" s="153" t="str">
        <f ca="1">IF(N($AH67)&gt;0,VLOOKUP($AH67,Body!$A$4:$F$259,6,0),"")</f>
        <v/>
      </c>
      <c r="AK67" s="152" t="str">
        <f ca="1">IF(N($AH67)&gt;0,VLOOKUP($AH67,Body!$A$4:$F$259,2,0),"")</f>
        <v/>
      </c>
      <c r="AL67" s="154" t="str">
        <f t="shared" ca="1" si="27"/>
        <v/>
      </c>
      <c r="AM67" s="155">
        <f t="shared" ca="1" si="28"/>
        <v>0</v>
      </c>
      <c r="AN67" s="72">
        <f ca="1">IF(OR(TYPE(I67)&gt;1,TYPE(MATCH(I67,I68:I$203,0))&gt;1),0,MATCH(I67,I68:I$203,0))+IF(OR(TYPE(I67)&gt;1,TYPE(MATCH(I67,O$11:O$203,0))&gt;1),0,MATCH(I67,O$11:O$203,0))+IF(OR(TYPE(I67)&gt;1,TYPE(MATCH(I67,U$11:U$203,0))&gt;1),0,MATCH(I67,U$11:U$203,0))+IF(OR(TYPE(I67)&gt;1,TYPE(MATCH(I67,AA$11:AA$203,0))&gt;1),0,MATCH(I67,AA$11:AA$203,0))</f>
        <v>0</v>
      </c>
      <c r="AO67" s="72">
        <f ca="1">IF(OR(TYPE(O67)&gt;1,TYPE(MATCH(O67,I$11:I$203,0))&gt;1),0,MATCH(O67,I$11:I$203,0))+IF(OR(TYPE(O67)&gt;1,TYPE(MATCH(O67,O68:O$203,0))&gt;1),0,MATCH(O67,O68:O$203,0))+IF(OR(TYPE(O67)&gt;1,TYPE(MATCH(O67,U$11:U$203,0))&gt;1),0,MATCH(O67,U$11:U$203,0))+IF(OR(TYPE(O67)&gt;1,TYPE(MATCH(O67,AA$11:AA$203,0))&gt;1),0,MATCH(O67,AA$11:AA$203,0))</f>
        <v>0</v>
      </c>
      <c r="AP67" s="72">
        <f ca="1">IF(OR(TYPE(U67)&gt;1,TYPE(MATCH(U67,I$11:I$203,0))&gt;1),0,MATCH(U67,I$11:I$203,0))+IF(OR(TYPE(U67)&gt;1,TYPE(MATCH(U67,O$11:O$203,0))&gt;1),0,MATCH(U67,O$11:O$203,0))+IF(OR(TYPE(U67)&gt;1,TYPE(MATCH(U67,U68:U$203,0))&gt;1),0,MATCH(U67,U68:U$203,0))+IF(OR(TYPE(U67)&gt;1,TYPE(MATCH(U67,AA$11:AA$203,0))&gt;1),0,MATCH(U67,AA$11:AA$203,0))</f>
        <v>0</v>
      </c>
      <c r="AQ67" s="72">
        <f ca="1">IF(OR(TYPE(AA67)&gt;1,TYPE(MATCH(AA67,I$11:I$203,0))&gt;1),0,MATCH(AA67,I$11:I$203,0))+IF(OR(TYPE(AA67)&gt;1,TYPE(MATCH(AA67,O$11:O$203,0))&gt;1),0,MATCH(AA67,O$11:O$203,0))+IF(OR(TYPE(AA67)&gt;1,TYPE(MATCH(AA67,U$11:U$203,0))&gt;1),0,MATCH(U67,U$11:U$203,0))+IF(OR(TYPE(AA67)&gt;1,TYPE(MATCH(AA67,AA68:AA$203,0))&gt;1),0,MATCH(AA67,AA68:AA$203,0))</f>
        <v>0</v>
      </c>
      <c r="AR67" s="72">
        <f t="shared" ca="1" si="29"/>
        <v>0</v>
      </c>
    </row>
    <row r="68" spans="1:44" ht="14.25">
      <c r="A68" s="103">
        <f t="shared" ca="1" si="15"/>
        <v>0</v>
      </c>
      <c r="B68" s="103">
        <f t="shared" ca="1" si="16"/>
        <v>0</v>
      </c>
      <c r="C68" s="156">
        <f t="shared" ca="1" si="17"/>
        <v>0</v>
      </c>
      <c r="D68" s="103">
        <f t="shared" ca="1" si="18"/>
        <v>99999</v>
      </c>
      <c r="E68" s="103">
        <f t="shared" ca="1" si="19"/>
        <v>9999</v>
      </c>
      <c r="F68" s="104" t="str">
        <f t="shared" ca="1" si="20"/>
        <v>00000000000000000000512913</v>
      </c>
      <c r="G68" s="145">
        <f t="shared" ca="1" si="21"/>
        <v>1</v>
      </c>
      <c r="H68" s="146">
        <f t="shared" si="22"/>
        <v>58</v>
      </c>
      <c r="I68" s="147" t="str">
        <f t="shared" ca="1" si="23"/>
        <v/>
      </c>
      <c r="J68" s="148" t="str">
        <f ca="1">IF(N(I68)&gt;0,VLOOKUP(I68,Hraci!$A$1:$I$1000,2,0),IF(TYPE(INDIRECT(ADDRESS(ROW() + $A$9-9 + (ROW()-11)*4,2,1,1,"Internet")))&gt;1,INDIRECT(ADDRESS(ROW() + $A$9-9 + (ROW()-11)*4,2,1,1,"Internet"))," "))</f>
        <v xml:space="preserve"> </v>
      </c>
      <c r="K68" s="149" t="str">
        <f ca="1">IF(N(I68)&gt;0,VLOOKUP(I68,Hraci!$A$1:$I$1000,3,0)," ")</f>
        <v xml:space="preserve"> </v>
      </c>
      <c r="L68" s="149" t="str">
        <f ca="1">IF(N(I68)&gt;0,VLOOKUP(I68,Hraci!$A$1:$I$1000,5,0),IF(TYPE(INDIRECT(ADDRESS(ROW() + $A$9-9 + (ROW()-11)*4,3,1,1,"Internet")))&gt;1,INDIRECT(ADDRESS(ROW() + $A$9-9 + (ROW()-11)*4,3,1,1,"Internet"))," "))</f>
        <v xml:space="preserve"> </v>
      </c>
      <c r="M68" s="149">
        <f ca="1">IF(N(I68)=0,9999,VLOOKUP(I68,Hraci!$A$1:$I$1000,8,0))</f>
        <v>9999</v>
      </c>
      <c r="N68" s="150">
        <f ca="1">IF(N(I68)=0,0,VLOOKUP(I68,Hraci!$A$1:$I$1000,9,0))</f>
        <v>0</v>
      </c>
      <c r="O68" s="147" t="str">
        <f t="shared" ca="1" si="24"/>
        <v/>
      </c>
      <c r="P68" s="148" t="str">
        <f ca="1">IF(N(O68)&gt;0,VLOOKUP(O68,Hraci!$A$1:$I$1000,2,0),IF(TYPE(INDIRECT(ADDRESS(ROW() + $A$9-8 + (ROW()-11)*4,2,1,1,"Internet")))&gt;1,INDIRECT(ADDRESS(ROW() + $A$9-8 + (ROW()-11)*4,2,1,1,"Internet"))," "))</f>
        <v xml:space="preserve"> </v>
      </c>
      <c r="Q68" s="149" t="str">
        <f ca="1">IF(N(O68)&gt;0,VLOOKUP(O68,Hraci!$A$1:$I$1000,3,0)," ")</f>
        <v xml:space="preserve"> </v>
      </c>
      <c r="R68" s="149" t="str">
        <f ca="1">IF(N(O68)&gt;0,VLOOKUP(O68,Hraci!$A$1:$I$1000,5,0),IF(TYPE(INDIRECT(ADDRESS(ROW() + $A$9-8 + (ROW()-11)*4,3,1,1,"Internet")))&gt;1,INDIRECT(ADDRESS(ROW() + $A$9-8 + (ROW()-11)*4,3,1,1,"Internet"))," "))</f>
        <v xml:space="preserve"> </v>
      </c>
      <c r="S68" s="149">
        <f ca="1">IF(N(O68)=0,9999,VLOOKUP(O68,Hraci!$A$1:$I$1000,8,0))</f>
        <v>9999</v>
      </c>
      <c r="T68" s="150">
        <f ca="1">IF(N(O68)=0,0,VLOOKUP(O68,Hraci!$A$1:$I$1000,9,0))</f>
        <v>0</v>
      </c>
      <c r="U68" s="147" t="str">
        <f t="shared" ca="1" si="25"/>
        <v/>
      </c>
      <c r="V68" s="148" t="str">
        <f ca="1">IF(N(U68)&gt;0,VLOOKUP(U68,Hraci!$A$1:$I$1000,2,0),IF(TYPE(INDIRECT(ADDRESS(ROW() + $A$9-7 + (ROW()-11)*4,2,1,1,"Internet")))&gt;1,INDIRECT(ADDRESS(ROW() + $A$9-7 + (ROW()-11)*4,2,1,1,"Internet"))," "))</f>
        <v xml:space="preserve"> </v>
      </c>
      <c r="W68" s="149" t="str">
        <f ca="1">IF(N(U68)&gt;0,VLOOKUP(U68,Hraci!$A$1:$I$1000,3,0)," ")</f>
        <v xml:space="preserve"> </v>
      </c>
      <c r="X68" s="149" t="str">
        <f ca="1">IF(N(U68)&gt;0,VLOOKUP(U68,Hraci!$A$1:$I$1000,5,0),IF(TYPE(INDIRECT(ADDRESS(ROW() + $A$9-7 + (ROW()-11)*4,3,1,1,"Internet")))&gt;1,INDIRECT(ADDRESS(ROW() + $A$9-7 + (ROW()-11)*4,3,1,1,"Internet"))," "))</f>
        <v xml:space="preserve"> </v>
      </c>
      <c r="Y68" s="149">
        <f ca="1">IF(N(U68)=0,9999,VLOOKUP(U68,Hraci!$A$1:$I$1000,8,0))</f>
        <v>9999</v>
      </c>
      <c r="Z68" s="150">
        <f ca="1">IF(N(U68)=0,0,VLOOKUP(U68,Hraci!$A$1:$I$1000,9,0))</f>
        <v>0</v>
      </c>
      <c r="AA68" s="147" t="str">
        <f t="shared" ca="1" si="26"/>
        <v/>
      </c>
      <c r="AB68" s="148" t="str">
        <f ca="1">IF(N(AA68)&gt;0,VLOOKUP(AA68,Hraci!$A$1:$I$1000,2,0)," ")</f>
        <v xml:space="preserve"> </v>
      </c>
      <c r="AC68" s="149" t="str">
        <f ca="1">IF(N(AA68)&gt;0,VLOOKUP(AA68,Hraci!$A$1:$I$1000,3,0)," ")</f>
        <v xml:space="preserve"> </v>
      </c>
      <c r="AD68" s="149" t="str">
        <f ca="1">IF(N(AA68)&gt;0,VLOOKUP(AA68,Hraci!$A$1:$I$1000,5,0)," ")</f>
        <v xml:space="preserve"> </v>
      </c>
      <c r="AE68" s="149">
        <f ca="1">IF(N(AA68)=0,9999,VLOOKUP(AA68,Hraci!$A$1:$I$1000,8,0))</f>
        <v>9999</v>
      </c>
      <c r="AF68" s="150">
        <f ca="1">IF(N(AA68)=0,0,VLOOKUP(AA68,Hraci!$A$1:$I$1000,9,0))</f>
        <v>0</v>
      </c>
      <c r="AG68" s="147"/>
      <c r="AH68" s="151">
        <f ca="1">IF(TYPE(VLOOKUP(H68,Nasazení!$A$3:$E$130,5,0))&lt;4,VLOOKUP(H68,Nasazení!$A$3:$E$130,5,0),0)</f>
        <v>0</v>
      </c>
      <c r="AI68" s="152" t="str">
        <f ca="1">IF(N($AH68)&gt;0,VLOOKUP($AH68,Body!$A$4:$F$259,5,0),"")</f>
        <v/>
      </c>
      <c r="AJ68" s="153" t="str">
        <f ca="1">IF(N($AH68)&gt;0,VLOOKUP($AH68,Body!$A$4:$F$259,6,0),"")</f>
        <v/>
      </c>
      <c r="AK68" s="152" t="str">
        <f ca="1">IF(N($AH68)&gt;0,VLOOKUP($AH68,Body!$A$4:$F$259,2,0),"")</f>
        <v/>
      </c>
      <c r="AL68" s="154" t="str">
        <f t="shared" ca="1" si="27"/>
        <v/>
      </c>
      <c r="AM68" s="155">
        <f t="shared" ca="1" si="28"/>
        <v>0</v>
      </c>
      <c r="AN68" s="72">
        <f ca="1">IF(OR(TYPE(I68)&gt;1,TYPE(MATCH(I68,I69:I$203,0))&gt;1),0,MATCH(I68,I69:I$203,0))+IF(OR(TYPE(I68)&gt;1,TYPE(MATCH(I68,O$11:O$203,0))&gt;1),0,MATCH(I68,O$11:O$203,0))+IF(OR(TYPE(I68)&gt;1,TYPE(MATCH(I68,U$11:U$203,0))&gt;1),0,MATCH(I68,U$11:U$203,0))+IF(OR(TYPE(I68)&gt;1,TYPE(MATCH(I68,AA$11:AA$203,0))&gt;1),0,MATCH(I68,AA$11:AA$203,0))</f>
        <v>0</v>
      </c>
      <c r="AO68" s="72">
        <f ca="1">IF(OR(TYPE(O68)&gt;1,TYPE(MATCH(O68,I$11:I$203,0))&gt;1),0,MATCH(O68,I$11:I$203,0))+IF(OR(TYPE(O68)&gt;1,TYPE(MATCH(O68,O69:O$203,0))&gt;1),0,MATCH(O68,O69:O$203,0))+IF(OR(TYPE(O68)&gt;1,TYPE(MATCH(O68,U$11:U$203,0))&gt;1),0,MATCH(O68,U$11:U$203,0))+IF(OR(TYPE(O68)&gt;1,TYPE(MATCH(O68,AA$11:AA$203,0))&gt;1),0,MATCH(O68,AA$11:AA$203,0))</f>
        <v>0</v>
      </c>
      <c r="AP68" s="72">
        <f ca="1">IF(OR(TYPE(U68)&gt;1,TYPE(MATCH(U68,I$11:I$203,0))&gt;1),0,MATCH(U68,I$11:I$203,0))+IF(OR(TYPE(U68)&gt;1,TYPE(MATCH(U68,O$11:O$203,0))&gt;1),0,MATCH(U68,O$11:O$203,0))+IF(OR(TYPE(U68)&gt;1,TYPE(MATCH(U68,U69:U$203,0))&gt;1),0,MATCH(U68,U69:U$203,0))+IF(OR(TYPE(U68)&gt;1,TYPE(MATCH(U68,AA$11:AA$203,0))&gt;1),0,MATCH(U68,AA$11:AA$203,0))</f>
        <v>0</v>
      </c>
      <c r="AQ68" s="72">
        <f ca="1">IF(OR(TYPE(AA68)&gt;1,TYPE(MATCH(AA68,I$11:I$203,0))&gt;1),0,MATCH(AA68,I$11:I$203,0))+IF(OR(TYPE(AA68)&gt;1,TYPE(MATCH(AA68,O$11:O$203,0))&gt;1),0,MATCH(AA68,O$11:O$203,0))+IF(OR(TYPE(AA68)&gt;1,TYPE(MATCH(AA68,U$11:U$203,0))&gt;1),0,MATCH(U68,U$11:U$203,0))+IF(OR(TYPE(AA68)&gt;1,TYPE(MATCH(AA68,AA69:AA$203,0))&gt;1),0,MATCH(AA68,AA69:AA$203,0))</f>
        <v>0</v>
      </c>
      <c r="AR68" s="72">
        <f t="shared" ca="1" si="29"/>
        <v>0</v>
      </c>
    </row>
    <row r="69" spans="1:44" ht="14.25">
      <c r="A69" s="103">
        <f t="shared" ca="1" si="15"/>
        <v>0</v>
      </c>
      <c r="B69" s="103">
        <f t="shared" ca="1" si="16"/>
        <v>0</v>
      </c>
      <c r="C69" s="156">
        <f t="shared" ca="1" si="17"/>
        <v>0</v>
      </c>
      <c r="D69" s="103">
        <f t="shared" ca="1" si="18"/>
        <v>99999</v>
      </c>
      <c r="E69" s="103">
        <f t="shared" ca="1" si="19"/>
        <v>9999</v>
      </c>
      <c r="F69" s="104" t="str">
        <f t="shared" ca="1" si="20"/>
        <v>00000000000000000000500337</v>
      </c>
      <c r="G69" s="145">
        <f t="shared" ca="1" si="21"/>
        <v>1</v>
      </c>
      <c r="H69" s="146">
        <f t="shared" si="22"/>
        <v>59</v>
      </c>
      <c r="I69" s="147" t="str">
        <f t="shared" ca="1" si="23"/>
        <v/>
      </c>
      <c r="J69" s="148" t="str">
        <f ca="1">IF(N(I69)&gt;0,VLOOKUP(I69,Hraci!$A$1:$I$1000,2,0),IF(TYPE(INDIRECT(ADDRESS(ROW() + $A$9-9 + (ROW()-11)*4,2,1,1,"Internet")))&gt;1,INDIRECT(ADDRESS(ROW() + $A$9-9 + (ROW()-11)*4,2,1,1,"Internet"))," "))</f>
        <v xml:space="preserve"> </v>
      </c>
      <c r="K69" s="149" t="str">
        <f ca="1">IF(N(I69)&gt;0,VLOOKUP(I69,Hraci!$A$1:$I$1000,3,0)," ")</f>
        <v xml:space="preserve"> </v>
      </c>
      <c r="L69" s="149" t="str">
        <f ca="1">IF(N(I69)&gt;0,VLOOKUP(I69,Hraci!$A$1:$I$1000,5,0),IF(TYPE(INDIRECT(ADDRESS(ROW() + $A$9-9 + (ROW()-11)*4,3,1,1,"Internet")))&gt;1,INDIRECT(ADDRESS(ROW() + $A$9-9 + (ROW()-11)*4,3,1,1,"Internet"))," "))</f>
        <v xml:space="preserve"> </v>
      </c>
      <c r="M69" s="149">
        <f ca="1">IF(N(I69)=0,9999,VLOOKUP(I69,Hraci!$A$1:$I$1000,8,0))</f>
        <v>9999</v>
      </c>
      <c r="N69" s="150">
        <f ca="1">IF(N(I69)=0,0,VLOOKUP(I69,Hraci!$A$1:$I$1000,9,0))</f>
        <v>0</v>
      </c>
      <c r="O69" s="147" t="str">
        <f t="shared" ca="1" si="24"/>
        <v/>
      </c>
      <c r="P69" s="148" t="str">
        <f ca="1">IF(N(O69)&gt;0,VLOOKUP(O69,Hraci!$A$1:$I$1000,2,0),IF(TYPE(INDIRECT(ADDRESS(ROW() + $A$9-8 + (ROW()-11)*4,2,1,1,"Internet")))&gt;1,INDIRECT(ADDRESS(ROW() + $A$9-8 + (ROW()-11)*4,2,1,1,"Internet"))," "))</f>
        <v xml:space="preserve"> </v>
      </c>
      <c r="Q69" s="149" t="str">
        <f ca="1">IF(N(O69)&gt;0,VLOOKUP(O69,Hraci!$A$1:$I$1000,3,0)," ")</f>
        <v xml:space="preserve"> </v>
      </c>
      <c r="R69" s="149" t="str">
        <f ca="1">IF(N(O69)&gt;0,VLOOKUP(O69,Hraci!$A$1:$I$1000,5,0),IF(TYPE(INDIRECT(ADDRESS(ROW() + $A$9-8 + (ROW()-11)*4,3,1,1,"Internet")))&gt;1,INDIRECT(ADDRESS(ROW() + $A$9-8 + (ROW()-11)*4,3,1,1,"Internet"))," "))</f>
        <v xml:space="preserve"> </v>
      </c>
      <c r="S69" s="149">
        <f ca="1">IF(N(O69)=0,9999,VLOOKUP(O69,Hraci!$A$1:$I$1000,8,0))</f>
        <v>9999</v>
      </c>
      <c r="T69" s="150">
        <f ca="1">IF(N(O69)=0,0,VLOOKUP(O69,Hraci!$A$1:$I$1000,9,0))</f>
        <v>0</v>
      </c>
      <c r="U69" s="147" t="str">
        <f t="shared" ca="1" si="25"/>
        <v/>
      </c>
      <c r="V69" s="148" t="str">
        <f ca="1">IF(N(U69)&gt;0,VLOOKUP(U69,Hraci!$A$1:$I$1000,2,0),IF(TYPE(INDIRECT(ADDRESS(ROW() + $A$9-7 + (ROW()-11)*4,2,1,1,"Internet")))&gt;1,INDIRECT(ADDRESS(ROW() + $A$9-7 + (ROW()-11)*4,2,1,1,"Internet"))," "))</f>
        <v xml:space="preserve"> </v>
      </c>
      <c r="W69" s="149" t="str">
        <f ca="1">IF(N(U69)&gt;0,VLOOKUP(U69,Hraci!$A$1:$I$1000,3,0)," ")</f>
        <v xml:space="preserve"> </v>
      </c>
      <c r="X69" s="149" t="str">
        <f ca="1">IF(N(U69)&gt;0,VLOOKUP(U69,Hraci!$A$1:$I$1000,5,0),IF(TYPE(INDIRECT(ADDRESS(ROW() + $A$9-7 + (ROW()-11)*4,3,1,1,"Internet")))&gt;1,INDIRECT(ADDRESS(ROW() + $A$9-7 + (ROW()-11)*4,3,1,1,"Internet"))," "))</f>
        <v xml:space="preserve"> </v>
      </c>
      <c r="Y69" s="149">
        <f ca="1">IF(N(U69)=0,9999,VLOOKUP(U69,Hraci!$A$1:$I$1000,8,0))</f>
        <v>9999</v>
      </c>
      <c r="Z69" s="150">
        <f ca="1">IF(N(U69)=0,0,VLOOKUP(U69,Hraci!$A$1:$I$1000,9,0))</f>
        <v>0</v>
      </c>
      <c r="AA69" s="147" t="str">
        <f t="shared" ca="1" si="26"/>
        <v/>
      </c>
      <c r="AB69" s="148" t="str">
        <f ca="1">IF(N(AA69)&gt;0,VLOOKUP(AA69,Hraci!$A$1:$I$1000,2,0)," ")</f>
        <v xml:space="preserve"> </v>
      </c>
      <c r="AC69" s="149" t="str">
        <f ca="1">IF(N(AA69)&gt;0,VLOOKUP(AA69,Hraci!$A$1:$I$1000,3,0)," ")</f>
        <v xml:space="preserve"> </v>
      </c>
      <c r="AD69" s="149" t="str">
        <f ca="1">IF(N(AA69)&gt;0,VLOOKUP(AA69,Hraci!$A$1:$I$1000,5,0)," ")</f>
        <v xml:space="preserve"> </v>
      </c>
      <c r="AE69" s="149">
        <f ca="1">IF(N(AA69)=0,9999,VLOOKUP(AA69,Hraci!$A$1:$I$1000,8,0))</f>
        <v>9999</v>
      </c>
      <c r="AF69" s="150">
        <f ca="1">IF(N(AA69)=0,0,VLOOKUP(AA69,Hraci!$A$1:$I$1000,9,0))</f>
        <v>0</v>
      </c>
      <c r="AG69" s="147"/>
      <c r="AH69" s="151">
        <f ca="1">IF(TYPE(VLOOKUP(H69,Nasazení!$A$3:$E$130,5,0))&lt;4,VLOOKUP(H69,Nasazení!$A$3:$E$130,5,0),0)</f>
        <v>0</v>
      </c>
      <c r="AI69" s="152" t="str">
        <f ca="1">IF(N($AH69)&gt;0,VLOOKUP($AH69,Body!$A$4:$F$259,5,0),"")</f>
        <v/>
      </c>
      <c r="AJ69" s="153" t="str">
        <f ca="1">IF(N($AH69)&gt;0,VLOOKUP($AH69,Body!$A$4:$F$259,6,0),"")</f>
        <v/>
      </c>
      <c r="AK69" s="152" t="str">
        <f ca="1">IF(N($AH69)&gt;0,VLOOKUP($AH69,Body!$A$4:$F$259,2,0),"")</f>
        <v/>
      </c>
      <c r="AL69" s="154" t="str">
        <f t="shared" ca="1" si="27"/>
        <v/>
      </c>
      <c r="AM69" s="155">
        <f t="shared" ca="1" si="28"/>
        <v>0</v>
      </c>
      <c r="AN69" s="72">
        <f ca="1">IF(OR(TYPE(I69)&gt;1,TYPE(MATCH(I69,I70:I$203,0))&gt;1),0,MATCH(I69,I70:I$203,0))+IF(OR(TYPE(I69)&gt;1,TYPE(MATCH(I69,O$11:O$203,0))&gt;1),0,MATCH(I69,O$11:O$203,0))+IF(OR(TYPE(I69)&gt;1,TYPE(MATCH(I69,U$11:U$203,0))&gt;1),0,MATCH(I69,U$11:U$203,0))+IF(OR(TYPE(I69)&gt;1,TYPE(MATCH(I69,AA$11:AA$203,0))&gt;1),0,MATCH(I69,AA$11:AA$203,0))</f>
        <v>0</v>
      </c>
      <c r="AO69" s="72">
        <f ca="1">IF(OR(TYPE(O69)&gt;1,TYPE(MATCH(O69,I$11:I$203,0))&gt;1),0,MATCH(O69,I$11:I$203,0))+IF(OR(TYPE(O69)&gt;1,TYPE(MATCH(O69,O70:O$203,0))&gt;1),0,MATCH(O69,O70:O$203,0))+IF(OR(TYPE(O69)&gt;1,TYPE(MATCH(O69,U$11:U$203,0))&gt;1),0,MATCH(O69,U$11:U$203,0))+IF(OR(TYPE(O69)&gt;1,TYPE(MATCH(O69,AA$11:AA$203,0))&gt;1),0,MATCH(O69,AA$11:AA$203,0))</f>
        <v>0</v>
      </c>
      <c r="AP69" s="72">
        <f ca="1">IF(OR(TYPE(U69)&gt;1,TYPE(MATCH(U69,I$11:I$203,0))&gt;1),0,MATCH(U69,I$11:I$203,0))+IF(OR(TYPE(U69)&gt;1,TYPE(MATCH(U69,O$11:O$203,0))&gt;1),0,MATCH(U69,O$11:O$203,0))+IF(OR(TYPE(U69)&gt;1,TYPE(MATCH(U69,U70:U$203,0))&gt;1),0,MATCH(U69,U70:U$203,0))+IF(OR(TYPE(U69)&gt;1,TYPE(MATCH(U69,AA$11:AA$203,0))&gt;1),0,MATCH(U69,AA$11:AA$203,0))</f>
        <v>0</v>
      </c>
      <c r="AQ69" s="72">
        <f ca="1">IF(OR(TYPE(AA69)&gt;1,TYPE(MATCH(AA69,I$11:I$203,0))&gt;1),0,MATCH(AA69,I$11:I$203,0))+IF(OR(TYPE(AA69)&gt;1,TYPE(MATCH(AA69,O$11:O$203,0))&gt;1),0,MATCH(AA69,O$11:O$203,0))+IF(OR(TYPE(AA69)&gt;1,TYPE(MATCH(AA69,U$11:U$203,0))&gt;1),0,MATCH(U69,U$11:U$203,0))+IF(OR(TYPE(AA69)&gt;1,TYPE(MATCH(AA69,AA70:AA$203,0))&gt;1),0,MATCH(AA69,AA70:AA$203,0))</f>
        <v>0</v>
      </c>
      <c r="AR69" s="72">
        <f t="shared" ca="1" si="29"/>
        <v>0</v>
      </c>
    </row>
    <row r="70" spans="1:44" ht="14.25">
      <c r="A70" s="103">
        <f t="shared" ca="1" si="15"/>
        <v>0</v>
      </c>
      <c r="B70" s="103">
        <f t="shared" ca="1" si="16"/>
        <v>0</v>
      </c>
      <c r="C70" s="156">
        <f t="shared" ca="1" si="17"/>
        <v>0</v>
      </c>
      <c r="D70" s="103">
        <f t="shared" ca="1" si="18"/>
        <v>99999</v>
      </c>
      <c r="E70" s="103">
        <f t="shared" ca="1" si="19"/>
        <v>9999</v>
      </c>
      <c r="F70" s="104" t="str">
        <f t="shared" ca="1" si="20"/>
        <v>00000000000000000000648963</v>
      </c>
      <c r="G70" s="145">
        <f t="shared" ca="1" si="21"/>
        <v>1</v>
      </c>
      <c r="H70" s="146">
        <f t="shared" si="22"/>
        <v>60</v>
      </c>
      <c r="I70" s="147" t="str">
        <f t="shared" ca="1" si="23"/>
        <v/>
      </c>
      <c r="J70" s="148" t="str">
        <f ca="1">IF(N(I70)&gt;0,VLOOKUP(I70,Hraci!$A$1:$I$1000,2,0),IF(TYPE(INDIRECT(ADDRESS(ROW() + $A$9-9 + (ROW()-11)*4,2,1,1,"Internet")))&gt;1,INDIRECT(ADDRESS(ROW() + $A$9-9 + (ROW()-11)*4,2,1,1,"Internet"))," "))</f>
        <v xml:space="preserve"> </v>
      </c>
      <c r="K70" s="149" t="str">
        <f ca="1">IF(N(I70)&gt;0,VLOOKUP(I70,Hraci!$A$1:$I$1000,3,0)," ")</f>
        <v xml:space="preserve"> </v>
      </c>
      <c r="L70" s="149" t="str">
        <f ca="1">IF(N(I70)&gt;0,VLOOKUP(I70,Hraci!$A$1:$I$1000,5,0),IF(TYPE(INDIRECT(ADDRESS(ROW() + $A$9-9 + (ROW()-11)*4,3,1,1,"Internet")))&gt;1,INDIRECT(ADDRESS(ROW() + $A$9-9 + (ROW()-11)*4,3,1,1,"Internet"))," "))</f>
        <v xml:space="preserve"> </v>
      </c>
      <c r="M70" s="149">
        <f ca="1">IF(N(I70)=0,9999,VLOOKUP(I70,Hraci!$A$1:$I$1000,8,0))</f>
        <v>9999</v>
      </c>
      <c r="N70" s="150">
        <f ca="1">IF(N(I70)=0,0,VLOOKUP(I70,Hraci!$A$1:$I$1000,9,0))</f>
        <v>0</v>
      </c>
      <c r="O70" s="147" t="str">
        <f t="shared" ca="1" si="24"/>
        <v/>
      </c>
      <c r="P70" s="148" t="str">
        <f ca="1">IF(N(O70)&gt;0,VLOOKUP(O70,Hraci!$A$1:$I$1000,2,0),IF(TYPE(INDIRECT(ADDRESS(ROW() + $A$9-8 + (ROW()-11)*4,2,1,1,"Internet")))&gt;1,INDIRECT(ADDRESS(ROW() + $A$9-8 + (ROW()-11)*4,2,1,1,"Internet"))," "))</f>
        <v xml:space="preserve"> </v>
      </c>
      <c r="Q70" s="149" t="str">
        <f ca="1">IF(N(O70)&gt;0,VLOOKUP(O70,Hraci!$A$1:$I$1000,3,0)," ")</f>
        <v xml:space="preserve"> </v>
      </c>
      <c r="R70" s="149" t="str">
        <f ca="1">IF(N(O70)&gt;0,VLOOKUP(O70,Hraci!$A$1:$I$1000,5,0),IF(TYPE(INDIRECT(ADDRESS(ROW() + $A$9-8 + (ROW()-11)*4,3,1,1,"Internet")))&gt;1,INDIRECT(ADDRESS(ROW() + $A$9-8 + (ROW()-11)*4,3,1,1,"Internet"))," "))</f>
        <v xml:space="preserve"> </v>
      </c>
      <c r="S70" s="149">
        <f ca="1">IF(N(O70)=0,9999,VLOOKUP(O70,Hraci!$A$1:$I$1000,8,0))</f>
        <v>9999</v>
      </c>
      <c r="T70" s="150">
        <f ca="1">IF(N(O70)=0,0,VLOOKUP(O70,Hraci!$A$1:$I$1000,9,0))</f>
        <v>0</v>
      </c>
      <c r="U70" s="147" t="str">
        <f t="shared" ca="1" si="25"/>
        <v/>
      </c>
      <c r="V70" s="148" t="str">
        <f ca="1">IF(N(U70)&gt;0,VLOOKUP(U70,Hraci!$A$1:$I$1000,2,0),IF(TYPE(INDIRECT(ADDRESS(ROW() + $A$9-7 + (ROW()-11)*4,2,1,1,"Internet")))&gt;1,INDIRECT(ADDRESS(ROW() + $A$9-7 + (ROW()-11)*4,2,1,1,"Internet"))," "))</f>
        <v xml:space="preserve"> </v>
      </c>
      <c r="W70" s="149" t="str">
        <f ca="1">IF(N(U70)&gt;0,VLOOKUP(U70,Hraci!$A$1:$I$1000,3,0)," ")</f>
        <v xml:space="preserve"> </v>
      </c>
      <c r="X70" s="149" t="str">
        <f ca="1">IF(N(U70)&gt;0,VLOOKUP(U70,Hraci!$A$1:$I$1000,5,0),IF(TYPE(INDIRECT(ADDRESS(ROW() + $A$9-7 + (ROW()-11)*4,3,1,1,"Internet")))&gt;1,INDIRECT(ADDRESS(ROW() + $A$9-7 + (ROW()-11)*4,3,1,1,"Internet"))," "))</f>
        <v xml:space="preserve"> </v>
      </c>
      <c r="Y70" s="149">
        <f ca="1">IF(N(U70)=0,9999,VLOOKUP(U70,Hraci!$A$1:$I$1000,8,0))</f>
        <v>9999</v>
      </c>
      <c r="Z70" s="150">
        <f ca="1">IF(N(U70)=0,0,VLOOKUP(U70,Hraci!$A$1:$I$1000,9,0))</f>
        <v>0</v>
      </c>
      <c r="AA70" s="147" t="str">
        <f t="shared" ca="1" si="26"/>
        <v/>
      </c>
      <c r="AB70" s="148" t="str">
        <f ca="1">IF(N(AA70)&gt;0,VLOOKUP(AA70,Hraci!$A$1:$I$1000,2,0)," ")</f>
        <v xml:space="preserve"> </v>
      </c>
      <c r="AC70" s="149" t="str">
        <f ca="1">IF(N(AA70)&gt;0,VLOOKUP(AA70,Hraci!$A$1:$I$1000,3,0)," ")</f>
        <v xml:space="preserve"> </v>
      </c>
      <c r="AD70" s="149" t="str">
        <f ca="1">IF(N(AA70)&gt;0,VLOOKUP(AA70,Hraci!$A$1:$I$1000,5,0)," ")</f>
        <v xml:space="preserve"> </v>
      </c>
      <c r="AE70" s="149">
        <f ca="1">IF(N(AA70)=0,9999,VLOOKUP(AA70,Hraci!$A$1:$I$1000,8,0))</f>
        <v>9999</v>
      </c>
      <c r="AF70" s="150">
        <f ca="1">IF(N(AA70)=0,0,VLOOKUP(AA70,Hraci!$A$1:$I$1000,9,0))</f>
        <v>0</v>
      </c>
      <c r="AG70" s="147"/>
      <c r="AH70" s="151">
        <f ca="1">IF(TYPE(VLOOKUP(H70,Nasazení!$A$3:$E$130,5,0))&lt;4,VLOOKUP(H70,Nasazení!$A$3:$E$130,5,0),0)</f>
        <v>0</v>
      </c>
      <c r="AI70" s="152" t="str">
        <f ca="1">IF(N($AH70)&gt;0,VLOOKUP($AH70,Body!$A$4:$F$259,5,0),"")</f>
        <v/>
      </c>
      <c r="AJ70" s="153" t="str">
        <f ca="1">IF(N($AH70)&gt;0,VLOOKUP($AH70,Body!$A$4:$F$259,6,0),"")</f>
        <v/>
      </c>
      <c r="AK70" s="152" t="str">
        <f ca="1">IF(N($AH70)&gt;0,VLOOKUP($AH70,Body!$A$4:$F$259,2,0),"")</f>
        <v/>
      </c>
      <c r="AL70" s="154" t="str">
        <f t="shared" ca="1" si="27"/>
        <v/>
      </c>
      <c r="AM70" s="155">
        <f t="shared" ca="1" si="28"/>
        <v>0</v>
      </c>
      <c r="AN70" s="72">
        <f ca="1">IF(OR(TYPE(I70)&gt;1,TYPE(MATCH(I70,I71:I$203,0))&gt;1),0,MATCH(I70,I71:I$203,0))+IF(OR(TYPE(I70)&gt;1,TYPE(MATCH(I70,O$11:O$203,0))&gt;1),0,MATCH(I70,O$11:O$203,0))+IF(OR(TYPE(I70)&gt;1,TYPE(MATCH(I70,U$11:U$203,0))&gt;1),0,MATCH(I70,U$11:U$203,0))+IF(OR(TYPE(I70)&gt;1,TYPE(MATCH(I70,AA$11:AA$203,0))&gt;1),0,MATCH(I70,AA$11:AA$203,0))</f>
        <v>0</v>
      </c>
      <c r="AO70" s="72">
        <f ca="1">IF(OR(TYPE(O70)&gt;1,TYPE(MATCH(O70,I$11:I$203,0))&gt;1),0,MATCH(O70,I$11:I$203,0))+IF(OR(TYPE(O70)&gt;1,TYPE(MATCH(O70,O71:O$203,0))&gt;1),0,MATCH(O70,O71:O$203,0))+IF(OR(TYPE(O70)&gt;1,TYPE(MATCH(O70,U$11:U$203,0))&gt;1),0,MATCH(O70,U$11:U$203,0))+IF(OR(TYPE(O70)&gt;1,TYPE(MATCH(O70,AA$11:AA$203,0))&gt;1),0,MATCH(O70,AA$11:AA$203,0))</f>
        <v>0</v>
      </c>
      <c r="AP70" s="72">
        <f ca="1">IF(OR(TYPE(U70)&gt;1,TYPE(MATCH(U70,I$11:I$203,0))&gt;1),0,MATCH(U70,I$11:I$203,0))+IF(OR(TYPE(U70)&gt;1,TYPE(MATCH(U70,O$11:O$203,0))&gt;1),0,MATCH(U70,O$11:O$203,0))+IF(OR(TYPE(U70)&gt;1,TYPE(MATCH(U70,U71:U$203,0))&gt;1),0,MATCH(U70,U71:U$203,0))+IF(OR(TYPE(U70)&gt;1,TYPE(MATCH(U70,AA$11:AA$203,0))&gt;1),0,MATCH(U70,AA$11:AA$203,0))</f>
        <v>0</v>
      </c>
      <c r="AQ70" s="72">
        <f ca="1">IF(OR(TYPE(AA70)&gt;1,TYPE(MATCH(AA70,I$11:I$203,0))&gt;1),0,MATCH(AA70,I$11:I$203,0))+IF(OR(TYPE(AA70)&gt;1,TYPE(MATCH(AA70,O$11:O$203,0))&gt;1),0,MATCH(AA70,O$11:O$203,0))+IF(OR(TYPE(AA70)&gt;1,TYPE(MATCH(AA70,U$11:U$203,0))&gt;1),0,MATCH(U70,U$11:U$203,0))+IF(OR(TYPE(AA70)&gt;1,TYPE(MATCH(AA70,AA71:AA$203,0))&gt;1),0,MATCH(AA70,AA71:AA$203,0))</f>
        <v>0</v>
      </c>
      <c r="AR70" s="72">
        <f t="shared" ca="1" si="29"/>
        <v>0</v>
      </c>
    </row>
    <row r="71" spans="1:44" ht="14.25">
      <c r="A71" s="103">
        <f t="shared" ca="1" si="15"/>
        <v>0</v>
      </c>
      <c r="B71" s="103">
        <f t="shared" ca="1" si="16"/>
        <v>0</v>
      </c>
      <c r="C71" s="156">
        <f t="shared" ca="1" si="17"/>
        <v>0</v>
      </c>
      <c r="D71" s="103">
        <f t="shared" ca="1" si="18"/>
        <v>99999</v>
      </c>
      <c r="E71" s="103">
        <f t="shared" ca="1" si="19"/>
        <v>9999</v>
      </c>
      <c r="F71" s="104" t="str">
        <f t="shared" ca="1" si="20"/>
        <v>00000000000000000000710278</v>
      </c>
      <c r="G71" s="145">
        <f t="shared" ca="1" si="21"/>
        <v>1</v>
      </c>
      <c r="H71" s="146">
        <f t="shared" si="22"/>
        <v>61</v>
      </c>
      <c r="I71" s="147" t="str">
        <f t="shared" ca="1" si="23"/>
        <v/>
      </c>
      <c r="J71" s="148" t="str">
        <f ca="1">IF(N(I71)&gt;0,VLOOKUP(I71,Hraci!$A$1:$I$1000,2,0),IF(TYPE(INDIRECT(ADDRESS(ROW() + $A$9-9 + (ROW()-11)*4,2,1,1,"Internet")))&gt;1,INDIRECT(ADDRESS(ROW() + $A$9-9 + (ROW()-11)*4,2,1,1,"Internet"))," "))</f>
        <v xml:space="preserve"> </v>
      </c>
      <c r="K71" s="149" t="str">
        <f ca="1">IF(N(I71)&gt;0,VLOOKUP(I71,Hraci!$A$1:$I$1000,3,0)," ")</f>
        <v xml:space="preserve"> </v>
      </c>
      <c r="L71" s="149" t="str">
        <f ca="1">IF(N(I71)&gt;0,VLOOKUP(I71,Hraci!$A$1:$I$1000,5,0),IF(TYPE(INDIRECT(ADDRESS(ROW() + $A$9-9 + (ROW()-11)*4,3,1,1,"Internet")))&gt;1,INDIRECT(ADDRESS(ROW() + $A$9-9 + (ROW()-11)*4,3,1,1,"Internet"))," "))</f>
        <v xml:space="preserve"> </v>
      </c>
      <c r="M71" s="149">
        <f ca="1">IF(N(I71)=0,9999,VLOOKUP(I71,Hraci!$A$1:$I$1000,8,0))</f>
        <v>9999</v>
      </c>
      <c r="N71" s="150">
        <f ca="1">IF(N(I71)=0,0,VLOOKUP(I71,Hraci!$A$1:$I$1000,9,0))</f>
        <v>0</v>
      </c>
      <c r="O71" s="147" t="str">
        <f t="shared" ca="1" si="24"/>
        <v/>
      </c>
      <c r="P71" s="148" t="str">
        <f ca="1">IF(N(O71)&gt;0,VLOOKUP(O71,Hraci!$A$1:$I$1000,2,0),IF(TYPE(INDIRECT(ADDRESS(ROW() + $A$9-8 + (ROW()-11)*4,2,1,1,"Internet")))&gt;1,INDIRECT(ADDRESS(ROW() + $A$9-8 + (ROW()-11)*4,2,1,1,"Internet"))," "))</f>
        <v xml:space="preserve"> </v>
      </c>
      <c r="Q71" s="149" t="str">
        <f ca="1">IF(N(O71)&gt;0,VLOOKUP(O71,Hraci!$A$1:$I$1000,3,0)," ")</f>
        <v xml:space="preserve"> </v>
      </c>
      <c r="R71" s="149" t="str">
        <f ca="1">IF(N(O71)&gt;0,VLOOKUP(O71,Hraci!$A$1:$I$1000,5,0),IF(TYPE(INDIRECT(ADDRESS(ROW() + $A$9-8 + (ROW()-11)*4,3,1,1,"Internet")))&gt;1,INDIRECT(ADDRESS(ROW() + $A$9-8 + (ROW()-11)*4,3,1,1,"Internet"))," "))</f>
        <v xml:space="preserve"> </v>
      </c>
      <c r="S71" s="149">
        <f ca="1">IF(N(O71)=0,9999,VLOOKUP(O71,Hraci!$A$1:$I$1000,8,0))</f>
        <v>9999</v>
      </c>
      <c r="T71" s="150">
        <f ca="1">IF(N(O71)=0,0,VLOOKUP(O71,Hraci!$A$1:$I$1000,9,0))</f>
        <v>0</v>
      </c>
      <c r="U71" s="147" t="str">
        <f t="shared" ca="1" si="25"/>
        <v/>
      </c>
      <c r="V71" s="148" t="str">
        <f ca="1">IF(N(U71)&gt;0,VLOOKUP(U71,Hraci!$A$1:$I$1000,2,0),IF(TYPE(INDIRECT(ADDRESS(ROW() + $A$9-7 + (ROW()-11)*4,2,1,1,"Internet")))&gt;1,INDIRECT(ADDRESS(ROW() + $A$9-7 + (ROW()-11)*4,2,1,1,"Internet"))," "))</f>
        <v xml:space="preserve"> </v>
      </c>
      <c r="W71" s="149" t="str">
        <f ca="1">IF(N(U71)&gt;0,VLOOKUP(U71,Hraci!$A$1:$I$1000,3,0)," ")</f>
        <v xml:space="preserve"> </v>
      </c>
      <c r="X71" s="149" t="str">
        <f ca="1">IF(N(U71)&gt;0,VLOOKUP(U71,Hraci!$A$1:$I$1000,5,0),IF(TYPE(INDIRECT(ADDRESS(ROW() + $A$9-7 + (ROW()-11)*4,3,1,1,"Internet")))&gt;1,INDIRECT(ADDRESS(ROW() + $A$9-7 + (ROW()-11)*4,3,1,1,"Internet"))," "))</f>
        <v xml:space="preserve"> </v>
      </c>
      <c r="Y71" s="149">
        <f ca="1">IF(N(U71)=0,9999,VLOOKUP(U71,Hraci!$A$1:$I$1000,8,0))</f>
        <v>9999</v>
      </c>
      <c r="Z71" s="150">
        <f ca="1">IF(N(U71)=0,0,VLOOKUP(U71,Hraci!$A$1:$I$1000,9,0))</f>
        <v>0</v>
      </c>
      <c r="AA71" s="147" t="str">
        <f t="shared" ca="1" si="26"/>
        <v/>
      </c>
      <c r="AB71" s="148" t="str">
        <f ca="1">IF(N(AA71)&gt;0,VLOOKUP(AA71,Hraci!$A$1:$I$1000,2,0)," ")</f>
        <v xml:space="preserve"> </v>
      </c>
      <c r="AC71" s="149" t="str">
        <f ca="1">IF(N(AA71)&gt;0,VLOOKUP(AA71,Hraci!$A$1:$I$1000,3,0)," ")</f>
        <v xml:space="preserve"> </v>
      </c>
      <c r="AD71" s="149" t="str">
        <f ca="1">IF(N(AA71)&gt;0,VLOOKUP(AA71,Hraci!$A$1:$I$1000,5,0)," ")</f>
        <v xml:space="preserve"> </v>
      </c>
      <c r="AE71" s="149">
        <f ca="1">IF(N(AA71)=0,9999,VLOOKUP(AA71,Hraci!$A$1:$I$1000,8,0))</f>
        <v>9999</v>
      </c>
      <c r="AF71" s="150">
        <f ca="1">IF(N(AA71)=0,0,VLOOKUP(AA71,Hraci!$A$1:$I$1000,9,0))</f>
        <v>0</v>
      </c>
      <c r="AG71" s="147"/>
      <c r="AH71" s="151">
        <f ca="1">IF(TYPE(VLOOKUP(H71,Nasazení!$A$3:$E$130,5,0))&lt;4,VLOOKUP(H71,Nasazení!$A$3:$E$130,5,0),0)</f>
        <v>0</v>
      </c>
      <c r="AI71" s="152" t="str">
        <f ca="1">IF(N($AH71)&gt;0,VLOOKUP($AH71,Body!$A$4:$F$259,5,0),"")</f>
        <v/>
      </c>
      <c r="AJ71" s="153" t="str">
        <f ca="1">IF(N($AH71)&gt;0,VLOOKUP($AH71,Body!$A$4:$F$259,6,0),"")</f>
        <v/>
      </c>
      <c r="AK71" s="152" t="str">
        <f ca="1">IF(N($AH71)&gt;0,VLOOKUP($AH71,Body!$A$4:$F$259,2,0),"")</f>
        <v/>
      </c>
      <c r="AL71" s="154" t="str">
        <f t="shared" ca="1" si="27"/>
        <v/>
      </c>
      <c r="AM71" s="155">
        <f t="shared" ca="1" si="28"/>
        <v>0</v>
      </c>
      <c r="AN71" s="72">
        <f ca="1">IF(OR(TYPE(I71)&gt;1,TYPE(MATCH(I71,I72:I$203,0))&gt;1),0,MATCH(I71,I72:I$203,0))+IF(OR(TYPE(I71)&gt;1,TYPE(MATCH(I71,O$11:O$203,0))&gt;1),0,MATCH(I71,O$11:O$203,0))+IF(OR(TYPE(I71)&gt;1,TYPE(MATCH(I71,U$11:U$203,0))&gt;1),0,MATCH(I71,U$11:U$203,0))+IF(OR(TYPE(I71)&gt;1,TYPE(MATCH(I71,AA$11:AA$203,0))&gt;1),0,MATCH(I71,AA$11:AA$203,0))</f>
        <v>0</v>
      </c>
      <c r="AO71" s="72">
        <f ca="1">IF(OR(TYPE(O71)&gt;1,TYPE(MATCH(O71,I$11:I$203,0))&gt;1),0,MATCH(O71,I$11:I$203,0))+IF(OR(TYPE(O71)&gt;1,TYPE(MATCH(O71,O72:O$203,0))&gt;1),0,MATCH(O71,O72:O$203,0))+IF(OR(TYPE(O71)&gt;1,TYPE(MATCH(O71,U$11:U$203,0))&gt;1),0,MATCH(O71,U$11:U$203,0))+IF(OR(TYPE(O71)&gt;1,TYPE(MATCH(O71,AA$11:AA$203,0))&gt;1),0,MATCH(O71,AA$11:AA$203,0))</f>
        <v>0</v>
      </c>
      <c r="AP71" s="72">
        <f ca="1">IF(OR(TYPE(U71)&gt;1,TYPE(MATCH(U71,I$11:I$203,0))&gt;1),0,MATCH(U71,I$11:I$203,0))+IF(OR(TYPE(U71)&gt;1,TYPE(MATCH(U71,O$11:O$203,0))&gt;1),0,MATCH(U71,O$11:O$203,0))+IF(OR(TYPE(U71)&gt;1,TYPE(MATCH(U71,U72:U$203,0))&gt;1),0,MATCH(U71,U72:U$203,0))+IF(OR(TYPE(U71)&gt;1,TYPE(MATCH(U71,AA$11:AA$203,0))&gt;1),0,MATCH(U71,AA$11:AA$203,0))</f>
        <v>0</v>
      </c>
      <c r="AQ71" s="72">
        <f ca="1">IF(OR(TYPE(AA71)&gt;1,TYPE(MATCH(AA71,I$11:I$203,0))&gt;1),0,MATCH(AA71,I$11:I$203,0))+IF(OR(TYPE(AA71)&gt;1,TYPE(MATCH(AA71,O$11:O$203,0))&gt;1),0,MATCH(AA71,O$11:O$203,0))+IF(OR(TYPE(AA71)&gt;1,TYPE(MATCH(AA71,U$11:U$203,0))&gt;1),0,MATCH(U71,U$11:U$203,0))+IF(OR(TYPE(AA71)&gt;1,TYPE(MATCH(AA71,AA72:AA$203,0))&gt;1),0,MATCH(AA71,AA72:AA$203,0))</f>
        <v>0</v>
      </c>
      <c r="AR71" s="72">
        <f t="shared" ca="1" si="29"/>
        <v>0</v>
      </c>
    </row>
    <row r="72" spans="1:44" ht="14.25">
      <c r="A72" s="103">
        <f t="shared" ca="1" si="15"/>
        <v>0</v>
      </c>
      <c r="B72" s="103">
        <f t="shared" ca="1" si="16"/>
        <v>0</v>
      </c>
      <c r="C72" s="156">
        <f t="shared" ca="1" si="17"/>
        <v>0</v>
      </c>
      <c r="D72" s="103">
        <f t="shared" ca="1" si="18"/>
        <v>99999</v>
      </c>
      <c r="E72" s="103">
        <f t="shared" ca="1" si="19"/>
        <v>9999</v>
      </c>
      <c r="F72" s="104" t="str">
        <f t="shared" ca="1" si="20"/>
        <v>00000000000000000000365207</v>
      </c>
      <c r="G72" s="145">
        <f t="shared" ca="1" si="21"/>
        <v>1</v>
      </c>
      <c r="H72" s="146">
        <f t="shared" si="22"/>
        <v>62</v>
      </c>
      <c r="I72" s="147" t="str">
        <f t="shared" ca="1" si="23"/>
        <v/>
      </c>
      <c r="J72" s="148" t="str">
        <f ca="1">IF(N(I72)&gt;0,VLOOKUP(I72,Hraci!$A$1:$I$1000,2,0),IF(TYPE(INDIRECT(ADDRESS(ROW() + $A$9-9 + (ROW()-11)*4,2,1,1,"Internet")))&gt;1,INDIRECT(ADDRESS(ROW() + $A$9-9 + (ROW()-11)*4,2,1,1,"Internet"))," "))</f>
        <v xml:space="preserve"> </v>
      </c>
      <c r="K72" s="149" t="str">
        <f ca="1">IF(N(I72)&gt;0,VLOOKUP(I72,Hraci!$A$1:$I$1000,3,0)," ")</f>
        <v xml:space="preserve"> </v>
      </c>
      <c r="L72" s="149" t="str">
        <f ca="1">IF(N(I72)&gt;0,VLOOKUP(I72,Hraci!$A$1:$I$1000,5,0),IF(TYPE(INDIRECT(ADDRESS(ROW() + $A$9-9 + (ROW()-11)*4,3,1,1,"Internet")))&gt;1,INDIRECT(ADDRESS(ROW() + $A$9-9 + (ROW()-11)*4,3,1,1,"Internet"))," "))</f>
        <v xml:space="preserve"> </v>
      </c>
      <c r="M72" s="149">
        <f ca="1">IF(N(I72)=0,9999,VLOOKUP(I72,Hraci!$A$1:$I$1000,8,0))</f>
        <v>9999</v>
      </c>
      <c r="N72" s="150">
        <f ca="1">IF(N(I72)=0,0,VLOOKUP(I72,Hraci!$A$1:$I$1000,9,0))</f>
        <v>0</v>
      </c>
      <c r="O72" s="147" t="str">
        <f t="shared" ca="1" si="24"/>
        <v/>
      </c>
      <c r="P72" s="148" t="str">
        <f ca="1">IF(N(O72)&gt;0,VLOOKUP(O72,Hraci!$A$1:$I$1000,2,0),IF(TYPE(INDIRECT(ADDRESS(ROW() + $A$9-8 + (ROW()-11)*4,2,1,1,"Internet")))&gt;1,INDIRECT(ADDRESS(ROW() + $A$9-8 + (ROW()-11)*4,2,1,1,"Internet"))," "))</f>
        <v xml:space="preserve"> </v>
      </c>
      <c r="Q72" s="149" t="str">
        <f ca="1">IF(N(O72)&gt;0,VLOOKUP(O72,Hraci!$A$1:$I$1000,3,0)," ")</f>
        <v xml:space="preserve"> </v>
      </c>
      <c r="R72" s="149" t="str">
        <f ca="1">IF(N(O72)&gt;0,VLOOKUP(O72,Hraci!$A$1:$I$1000,5,0),IF(TYPE(INDIRECT(ADDRESS(ROW() + $A$9-8 + (ROW()-11)*4,3,1,1,"Internet")))&gt;1,INDIRECT(ADDRESS(ROW() + $A$9-8 + (ROW()-11)*4,3,1,1,"Internet"))," "))</f>
        <v xml:space="preserve"> </v>
      </c>
      <c r="S72" s="149">
        <f ca="1">IF(N(O72)=0,9999,VLOOKUP(O72,Hraci!$A$1:$I$1000,8,0))</f>
        <v>9999</v>
      </c>
      <c r="T72" s="150">
        <f ca="1">IF(N(O72)=0,0,VLOOKUP(O72,Hraci!$A$1:$I$1000,9,0))</f>
        <v>0</v>
      </c>
      <c r="U72" s="147" t="str">
        <f t="shared" ca="1" si="25"/>
        <v/>
      </c>
      <c r="V72" s="148" t="str">
        <f ca="1">IF(N(U72)&gt;0,VLOOKUP(U72,Hraci!$A$1:$I$1000,2,0),IF(TYPE(INDIRECT(ADDRESS(ROW() + $A$9-7 + (ROW()-11)*4,2,1,1,"Internet")))&gt;1,INDIRECT(ADDRESS(ROW() + $A$9-7 + (ROW()-11)*4,2,1,1,"Internet"))," "))</f>
        <v xml:space="preserve"> </v>
      </c>
      <c r="W72" s="149" t="str">
        <f ca="1">IF(N(U72)&gt;0,VLOOKUP(U72,Hraci!$A$1:$I$1000,3,0)," ")</f>
        <v xml:space="preserve"> </v>
      </c>
      <c r="X72" s="149" t="str">
        <f ca="1">IF(N(U72)&gt;0,VLOOKUP(U72,Hraci!$A$1:$I$1000,5,0),IF(TYPE(INDIRECT(ADDRESS(ROW() + $A$9-7 + (ROW()-11)*4,3,1,1,"Internet")))&gt;1,INDIRECT(ADDRESS(ROW() + $A$9-7 + (ROW()-11)*4,3,1,1,"Internet"))," "))</f>
        <v xml:space="preserve"> </v>
      </c>
      <c r="Y72" s="149">
        <f ca="1">IF(N(U72)=0,9999,VLOOKUP(U72,Hraci!$A$1:$I$1000,8,0))</f>
        <v>9999</v>
      </c>
      <c r="Z72" s="150">
        <f ca="1">IF(N(U72)=0,0,VLOOKUP(U72,Hraci!$A$1:$I$1000,9,0))</f>
        <v>0</v>
      </c>
      <c r="AA72" s="147" t="str">
        <f t="shared" ca="1" si="26"/>
        <v/>
      </c>
      <c r="AB72" s="148" t="str">
        <f ca="1">IF(N(AA72)&gt;0,VLOOKUP(AA72,Hraci!$A$1:$I$1000,2,0)," ")</f>
        <v xml:space="preserve"> </v>
      </c>
      <c r="AC72" s="149" t="str">
        <f ca="1">IF(N(AA72)&gt;0,VLOOKUP(AA72,Hraci!$A$1:$I$1000,3,0)," ")</f>
        <v xml:space="preserve"> </v>
      </c>
      <c r="AD72" s="149" t="str">
        <f ca="1">IF(N(AA72)&gt;0,VLOOKUP(AA72,Hraci!$A$1:$I$1000,5,0)," ")</f>
        <v xml:space="preserve"> </v>
      </c>
      <c r="AE72" s="149">
        <f ca="1">IF(N(AA72)=0,9999,VLOOKUP(AA72,Hraci!$A$1:$I$1000,8,0))</f>
        <v>9999</v>
      </c>
      <c r="AF72" s="150">
        <f ca="1">IF(N(AA72)=0,0,VLOOKUP(AA72,Hraci!$A$1:$I$1000,9,0))</f>
        <v>0</v>
      </c>
      <c r="AG72" s="147"/>
      <c r="AH72" s="151">
        <f ca="1">IF(TYPE(VLOOKUP(H72,Nasazení!$A$3:$E$130,5,0))&lt;4,VLOOKUP(H72,Nasazení!$A$3:$E$130,5,0),0)</f>
        <v>0</v>
      </c>
      <c r="AI72" s="152" t="str">
        <f ca="1">IF(N($AH72)&gt;0,VLOOKUP($AH72,Body!$A$4:$F$259,5,0),"")</f>
        <v/>
      </c>
      <c r="AJ72" s="153" t="str">
        <f ca="1">IF(N($AH72)&gt;0,VLOOKUP($AH72,Body!$A$4:$F$259,6,0),"")</f>
        <v/>
      </c>
      <c r="AK72" s="152" t="str">
        <f ca="1">IF(N($AH72)&gt;0,VLOOKUP($AH72,Body!$A$4:$F$259,2,0),"")</f>
        <v/>
      </c>
      <c r="AL72" s="154" t="str">
        <f t="shared" ca="1" si="27"/>
        <v/>
      </c>
      <c r="AM72" s="155">
        <f t="shared" ca="1" si="28"/>
        <v>0</v>
      </c>
      <c r="AN72" s="72">
        <f ca="1">IF(OR(TYPE(I72)&gt;1,TYPE(MATCH(I72,I73:I$203,0))&gt;1),0,MATCH(I72,I73:I$203,0))+IF(OR(TYPE(I72)&gt;1,TYPE(MATCH(I72,O$11:O$203,0))&gt;1),0,MATCH(I72,O$11:O$203,0))+IF(OR(TYPE(I72)&gt;1,TYPE(MATCH(I72,U$11:U$203,0))&gt;1),0,MATCH(I72,U$11:U$203,0))+IF(OR(TYPE(I72)&gt;1,TYPE(MATCH(I72,AA$11:AA$203,0))&gt;1),0,MATCH(I72,AA$11:AA$203,0))</f>
        <v>0</v>
      </c>
      <c r="AO72" s="72">
        <f ca="1">IF(OR(TYPE(O72)&gt;1,TYPE(MATCH(O72,I$11:I$203,0))&gt;1),0,MATCH(O72,I$11:I$203,0))+IF(OR(TYPE(O72)&gt;1,TYPE(MATCH(O72,O73:O$203,0))&gt;1),0,MATCH(O72,O73:O$203,0))+IF(OR(TYPE(O72)&gt;1,TYPE(MATCH(O72,U$11:U$203,0))&gt;1),0,MATCH(O72,U$11:U$203,0))+IF(OR(TYPE(O72)&gt;1,TYPE(MATCH(O72,AA$11:AA$203,0))&gt;1),0,MATCH(O72,AA$11:AA$203,0))</f>
        <v>0</v>
      </c>
      <c r="AP72" s="72">
        <f ca="1">IF(OR(TYPE(U72)&gt;1,TYPE(MATCH(U72,I$11:I$203,0))&gt;1),0,MATCH(U72,I$11:I$203,0))+IF(OR(TYPE(U72)&gt;1,TYPE(MATCH(U72,O$11:O$203,0))&gt;1),0,MATCH(U72,O$11:O$203,0))+IF(OR(TYPE(U72)&gt;1,TYPE(MATCH(U72,U73:U$203,0))&gt;1),0,MATCH(U72,U73:U$203,0))+IF(OR(TYPE(U72)&gt;1,TYPE(MATCH(U72,AA$11:AA$203,0))&gt;1),0,MATCH(U72,AA$11:AA$203,0))</f>
        <v>0</v>
      </c>
      <c r="AQ72" s="72">
        <f ca="1">IF(OR(TYPE(AA72)&gt;1,TYPE(MATCH(AA72,I$11:I$203,0))&gt;1),0,MATCH(AA72,I$11:I$203,0))+IF(OR(TYPE(AA72)&gt;1,TYPE(MATCH(AA72,O$11:O$203,0))&gt;1),0,MATCH(AA72,O$11:O$203,0))+IF(OR(TYPE(AA72)&gt;1,TYPE(MATCH(AA72,U$11:U$203,0))&gt;1),0,MATCH(U72,U$11:U$203,0))+IF(OR(TYPE(AA72)&gt;1,TYPE(MATCH(AA72,AA73:AA$203,0))&gt;1),0,MATCH(AA72,AA73:AA$203,0))</f>
        <v>0</v>
      </c>
      <c r="AR72" s="72">
        <f t="shared" ca="1" si="29"/>
        <v>0</v>
      </c>
    </row>
    <row r="73" spans="1:44" ht="14.25">
      <c r="A73" s="103">
        <f t="shared" ca="1" si="15"/>
        <v>0</v>
      </c>
      <c r="B73" s="103">
        <f t="shared" ca="1" si="16"/>
        <v>0</v>
      </c>
      <c r="C73" s="156">
        <f t="shared" ca="1" si="17"/>
        <v>0</v>
      </c>
      <c r="D73" s="103">
        <f t="shared" ca="1" si="18"/>
        <v>99999</v>
      </c>
      <c r="E73" s="103">
        <f t="shared" ca="1" si="19"/>
        <v>9999</v>
      </c>
      <c r="F73" s="104" t="str">
        <f t="shared" ca="1" si="20"/>
        <v>00000000000000000000463576</v>
      </c>
      <c r="G73" s="145">
        <f t="shared" ca="1" si="21"/>
        <v>1</v>
      </c>
      <c r="H73" s="146">
        <f t="shared" si="22"/>
        <v>63</v>
      </c>
      <c r="I73" s="147" t="str">
        <f t="shared" ca="1" si="23"/>
        <v/>
      </c>
      <c r="J73" s="148" t="str">
        <f ca="1">IF(N(I73)&gt;0,VLOOKUP(I73,Hraci!$A$1:$I$1000,2,0),IF(TYPE(INDIRECT(ADDRESS(ROW() + $A$9-9 + (ROW()-11)*4,2,1,1,"Internet")))&gt;1,INDIRECT(ADDRESS(ROW() + $A$9-9 + (ROW()-11)*4,2,1,1,"Internet"))," "))</f>
        <v xml:space="preserve"> </v>
      </c>
      <c r="K73" s="149" t="str">
        <f ca="1">IF(N(I73)&gt;0,VLOOKUP(I73,Hraci!$A$1:$I$1000,3,0)," ")</f>
        <v xml:space="preserve"> </v>
      </c>
      <c r="L73" s="149" t="str">
        <f ca="1">IF(N(I73)&gt;0,VLOOKUP(I73,Hraci!$A$1:$I$1000,5,0),IF(TYPE(INDIRECT(ADDRESS(ROW() + $A$9-9 + (ROW()-11)*4,3,1,1,"Internet")))&gt;1,INDIRECT(ADDRESS(ROW() + $A$9-9 + (ROW()-11)*4,3,1,1,"Internet"))," "))</f>
        <v xml:space="preserve"> </v>
      </c>
      <c r="M73" s="149">
        <f ca="1">IF(N(I73)=0,9999,VLOOKUP(I73,Hraci!$A$1:$I$1000,8,0))</f>
        <v>9999</v>
      </c>
      <c r="N73" s="150">
        <f ca="1">IF(N(I73)=0,0,VLOOKUP(I73,Hraci!$A$1:$I$1000,9,0))</f>
        <v>0</v>
      </c>
      <c r="O73" s="147" t="str">
        <f t="shared" ca="1" si="24"/>
        <v/>
      </c>
      <c r="P73" s="148" t="str">
        <f ca="1">IF(N(O73)&gt;0,VLOOKUP(O73,Hraci!$A$1:$I$1000,2,0),IF(TYPE(INDIRECT(ADDRESS(ROW() + $A$9-8 + (ROW()-11)*4,2,1,1,"Internet")))&gt;1,INDIRECT(ADDRESS(ROW() + $A$9-8 + (ROW()-11)*4,2,1,1,"Internet"))," "))</f>
        <v xml:space="preserve"> </v>
      </c>
      <c r="Q73" s="149" t="str">
        <f ca="1">IF(N(O73)&gt;0,VLOOKUP(O73,Hraci!$A$1:$I$1000,3,0)," ")</f>
        <v xml:space="preserve"> </v>
      </c>
      <c r="R73" s="149" t="str">
        <f ca="1">IF(N(O73)&gt;0,VLOOKUP(O73,Hraci!$A$1:$I$1000,5,0),IF(TYPE(INDIRECT(ADDRESS(ROW() + $A$9-8 + (ROW()-11)*4,3,1,1,"Internet")))&gt;1,INDIRECT(ADDRESS(ROW() + $A$9-8 + (ROW()-11)*4,3,1,1,"Internet"))," "))</f>
        <v xml:space="preserve"> </v>
      </c>
      <c r="S73" s="149">
        <f ca="1">IF(N(O73)=0,9999,VLOOKUP(O73,Hraci!$A$1:$I$1000,8,0))</f>
        <v>9999</v>
      </c>
      <c r="T73" s="150">
        <f ca="1">IF(N(O73)=0,0,VLOOKUP(O73,Hraci!$A$1:$I$1000,9,0))</f>
        <v>0</v>
      </c>
      <c r="U73" s="147" t="str">
        <f t="shared" ca="1" si="25"/>
        <v/>
      </c>
      <c r="V73" s="148" t="str">
        <f ca="1">IF(N(U73)&gt;0,VLOOKUP(U73,Hraci!$A$1:$I$1000,2,0),IF(TYPE(INDIRECT(ADDRESS(ROW() + $A$9-7 + (ROW()-11)*4,2,1,1,"Internet")))&gt;1,INDIRECT(ADDRESS(ROW() + $A$9-7 + (ROW()-11)*4,2,1,1,"Internet"))," "))</f>
        <v xml:space="preserve"> </v>
      </c>
      <c r="W73" s="149" t="str">
        <f ca="1">IF(N(U73)&gt;0,VLOOKUP(U73,Hraci!$A$1:$I$1000,3,0)," ")</f>
        <v xml:space="preserve"> </v>
      </c>
      <c r="X73" s="149" t="str">
        <f ca="1">IF(N(U73)&gt;0,VLOOKUP(U73,Hraci!$A$1:$I$1000,5,0),IF(TYPE(INDIRECT(ADDRESS(ROW() + $A$9-7 + (ROW()-11)*4,3,1,1,"Internet")))&gt;1,INDIRECT(ADDRESS(ROW() + $A$9-7 + (ROW()-11)*4,3,1,1,"Internet"))," "))</f>
        <v xml:space="preserve"> </v>
      </c>
      <c r="Y73" s="149">
        <f ca="1">IF(N(U73)=0,9999,VLOOKUP(U73,Hraci!$A$1:$I$1000,8,0))</f>
        <v>9999</v>
      </c>
      <c r="Z73" s="150">
        <f ca="1">IF(N(U73)=0,0,VLOOKUP(U73,Hraci!$A$1:$I$1000,9,0))</f>
        <v>0</v>
      </c>
      <c r="AA73" s="147" t="str">
        <f t="shared" ca="1" si="26"/>
        <v/>
      </c>
      <c r="AB73" s="148" t="str">
        <f ca="1">IF(N(AA73)&gt;0,VLOOKUP(AA73,Hraci!$A$1:$I$1000,2,0)," ")</f>
        <v xml:space="preserve"> </v>
      </c>
      <c r="AC73" s="149" t="str">
        <f ca="1">IF(N(AA73)&gt;0,VLOOKUP(AA73,Hraci!$A$1:$I$1000,3,0)," ")</f>
        <v xml:space="preserve"> </v>
      </c>
      <c r="AD73" s="149" t="str">
        <f ca="1">IF(N(AA73)&gt;0,VLOOKUP(AA73,Hraci!$A$1:$I$1000,5,0)," ")</f>
        <v xml:space="preserve"> </v>
      </c>
      <c r="AE73" s="149">
        <f ca="1">IF(N(AA73)=0,9999,VLOOKUP(AA73,Hraci!$A$1:$I$1000,8,0))</f>
        <v>9999</v>
      </c>
      <c r="AF73" s="150">
        <f ca="1">IF(N(AA73)=0,0,VLOOKUP(AA73,Hraci!$A$1:$I$1000,9,0))</f>
        <v>0</v>
      </c>
      <c r="AG73" s="147"/>
      <c r="AH73" s="151">
        <f ca="1">IF(TYPE(VLOOKUP(H73,Nasazení!$A$3:$E$130,5,0))&lt;4,VLOOKUP(H73,Nasazení!$A$3:$E$130,5,0),0)</f>
        <v>0</v>
      </c>
      <c r="AI73" s="152" t="str">
        <f ca="1">IF(N($AH73)&gt;0,VLOOKUP($AH73,Body!$A$4:$F$259,5,0),"")</f>
        <v/>
      </c>
      <c r="AJ73" s="153" t="str">
        <f ca="1">IF(N($AH73)&gt;0,VLOOKUP($AH73,Body!$A$4:$F$259,6,0),"")</f>
        <v/>
      </c>
      <c r="AK73" s="152" t="str">
        <f ca="1">IF(N($AH73)&gt;0,VLOOKUP($AH73,Body!$A$4:$F$259,2,0),"")</f>
        <v/>
      </c>
      <c r="AL73" s="154" t="str">
        <f t="shared" ca="1" si="27"/>
        <v/>
      </c>
      <c r="AM73" s="155">
        <f t="shared" ca="1" si="28"/>
        <v>0</v>
      </c>
      <c r="AN73" s="72">
        <f ca="1">IF(OR(TYPE(I73)&gt;1,TYPE(MATCH(I73,I74:I$203,0))&gt;1),0,MATCH(I73,I74:I$203,0))+IF(OR(TYPE(I73)&gt;1,TYPE(MATCH(I73,O$11:O$203,0))&gt;1),0,MATCH(I73,O$11:O$203,0))+IF(OR(TYPE(I73)&gt;1,TYPE(MATCH(I73,U$11:U$203,0))&gt;1),0,MATCH(I73,U$11:U$203,0))+IF(OR(TYPE(I73)&gt;1,TYPE(MATCH(I73,AA$11:AA$203,0))&gt;1),0,MATCH(I73,AA$11:AA$203,0))</f>
        <v>0</v>
      </c>
      <c r="AO73" s="72">
        <f ca="1">IF(OR(TYPE(O73)&gt;1,TYPE(MATCH(O73,I$11:I$203,0))&gt;1),0,MATCH(O73,I$11:I$203,0))+IF(OR(TYPE(O73)&gt;1,TYPE(MATCH(O73,O74:O$203,0))&gt;1),0,MATCH(O73,O74:O$203,0))+IF(OR(TYPE(O73)&gt;1,TYPE(MATCH(O73,U$11:U$203,0))&gt;1),0,MATCH(O73,U$11:U$203,0))+IF(OR(TYPE(O73)&gt;1,TYPE(MATCH(O73,AA$11:AA$203,0))&gt;1),0,MATCH(O73,AA$11:AA$203,0))</f>
        <v>0</v>
      </c>
      <c r="AP73" s="72">
        <f ca="1">IF(OR(TYPE(U73)&gt;1,TYPE(MATCH(U73,I$11:I$203,0))&gt;1),0,MATCH(U73,I$11:I$203,0))+IF(OR(TYPE(U73)&gt;1,TYPE(MATCH(U73,O$11:O$203,0))&gt;1),0,MATCH(U73,O$11:O$203,0))+IF(OR(TYPE(U73)&gt;1,TYPE(MATCH(U73,U74:U$203,0))&gt;1),0,MATCH(U73,U74:U$203,0))+IF(OR(TYPE(U73)&gt;1,TYPE(MATCH(U73,AA$11:AA$203,0))&gt;1),0,MATCH(U73,AA$11:AA$203,0))</f>
        <v>0</v>
      </c>
      <c r="AQ73" s="72">
        <f ca="1">IF(OR(TYPE(AA73)&gt;1,TYPE(MATCH(AA73,I$11:I$203,0))&gt;1),0,MATCH(AA73,I$11:I$203,0))+IF(OR(TYPE(AA73)&gt;1,TYPE(MATCH(AA73,O$11:O$203,0))&gt;1),0,MATCH(AA73,O$11:O$203,0))+IF(OR(TYPE(AA73)&gt;1,TYPE(MATCH(AA73,U$11:U$203,0))&gt;1),0,MATCH(U73,U$11:U$203,0))+IF(OR(TYPE(AA73)&gt;1,TYPE(MATCH(AA73,AA74:AA$203,0))&gt;1),0,MATCH(AA73,AA74:AA$203,0))</f>
        <v>0</v>
      </c>
      <c r="AR73" s="72">
        <f t="shared" ca="1" si="29"/>
        <v>0</v>
      </c>
    </row>
    <row r="74" spans="1:44" ht="14.25">
      <c r="A74" s="103">
        <f t="shared" ca="1" si="15"/>
        <v>0</v>
      </c>
      <c r="B74" s="103">
        <f t="shared" ca="1" si="16"/>
        <v>0</v>
      </c>
      <c r="C74" s="156">
        <f t="shared" ca="1" si="17"/>
        <v>0</v>
      </c>
      <c r="D74" s="103">
        <f t="shared" ca="1" si="18"/>
        <v>99999</v>
      </c>
      <c r="E74" s="103">
        <f t="shared" ca="1" si="19"/>
        <v>9999</v>
      </c>
      <c r="F74" s="104" t="str">
        <f t="shared" ca="1" si="20"/>
        <v>00000000000000000000403351</v>
      </c>
      <c r="G74" s="145">
        <f t="shared" ca="1" si="21"/>
        <v>1</v>
      </c>
      <c r="H74" s="146">
        <f t="shared" si="22"/>
        <v>64</v>
      </c>
      <c r="I74" s="147" t="str">
        <f t="shared" ca="1" si="23"/>
        <v/>
      </c>
      <c r="J74" s="148" t="str">
        <f ca="1">IF(N(I74)&gt;0,VLOOKUP(I74,Hraci!$A$1:$I$1000,2,0),IF(TYPE(INDIRECT(ADDRESS(ROW() + $A$9-9 + (ROW()-11)*4,2,1,1,"Internet")))&gt;1,INDIRECT(ADDRESS(ROW() + $A$9-9 + (ROW()-11)*4,2,1,1,"Internet"))," "))</f>
        <v xml:space="preserve"> </v>
      </c>
      <c r="K74" s="149" t="str">
        <f ca="1">IF(N(I74)&gt;0,VLOOKUP(I74,Hraci!$A$1:$I$1000,3,0)," ")</f>
        <v xml:space="preserve"> </v>
      </c>
      <c r="L74" s="149" t="str">
        <f ca="1">IF(N(I74)&gt;0,VLOOKUP(I74,Hraci!$A$1:$I$1000,5,0),IF(TYPE(INDIRECT(ADDRESS(ROW() + $A$9-9 + (ROW()-11)*4,3,1,1,"Internet")))&gt;1,INDIRECT(ADDRESS(ROW() + $A$9-9 + (ROW()-11)*4,3,1,1,"Internet"))," "))</f>
        <v xml:space="preserve"> </v>
      </c>
      <c r="M74" s="149">
        <f ca="1">IF(N(I74)=0,9999,VLOOKUP(I74,Hraci!$A$1:$I$1000,8,0))</f>
        <v>9999</v>
      </c>
      <c r="N74" s="150">
        <f ca="1">IF(N(I74)=0,0,VLOOKUP(I74,Hraci!$A$1:$I$1000,9,0))</f>
        <v>0</v>
      </c>
      <c r="O74" s="147" t="str">
        <f t="shared" ca="1" si="24"/>
        <v/>
      </c>
      <c r="P74" s="148" t="str">
        <f ca="1">IF(N(O74)&gt;0,VLOOKUP(O74,Hraci!$A$1:$I$1000,2,0),IF(TYPE(INDIRECT(ADDRESS(ROW() + $A$9-8 + (ROW()-11)*4,2,1,1,"Internet")))&gt;1,INDIRECT(ADDRESS(ROW() + $A$9-8 + (ROW()-11)*4,2,1,1,"Internet"))," "))</f>
        <v xml:space="preserve"> </v>
      </c>
      <c r="Q74" s="149" t="str">
        <f ca="1">IF(N(O74)&gt;0,VLOOKUP(O74,Hraci!$A$1:$I$1000,3,0)," ")</f>
        <v xml:space="preserve"> </v>
      </c>
      <c r="R74" s="149" t="str">
        <f ca="1">IF(N(O74)&gt;0,VLOOKUP(O74,Hraci!$A$1:$I$1000,5,0),IF(TYPE(INDIRECT(ADDRESS(ROW() + $A$9-8 + (ROW()-11)*4,3,1,1,"Internet")))&gt;1,INDIRECT(ADDRESS(ROW() + $A$9-8 + (ROW()-11)*4,3,1,1,"Internet"))," "))</f>
        <v xml:space="preserve"> </v>
      </c>
      <c r="S74" s="149">
        <f ca="1">IF(N(O74)=0,9999,VLOOKUP(O74,Hraci!$A$1:$I$1000,8,0))</f>
        <v>9999</v>
      </c>
      <c r="T74" s="150">
        <f ca="1">IF(N(O74)=0,0,VLOOKUP(O74,Hraci!$A$1:$I$1000,9,0))</f>
        <v>0</v>
      </c>
      <c r="U74" s="147" t="str">
        <f t="shared" ca="1" si="25"/>
        <v/>
      </c>
      <c r="V74" s="148" t="str">
        <f ca="1">IF(N(U74)&gt;0,VLOOKUP(U74,Hraci!$A$1:$I$1000,2,0),IF(TYPE(INDIRECT(ADDRESS(ROW() + $A$9-7 + (ROW()-11)*4,2,1,1,"Internet")))&gt;1,INDIRECT(ADDRESS(ROW() + $A$9-7 + (ROW()-11)*4,2,1,1,"Internet"))," "))</f>
        <v xml:space="preserve"> </v>
      </c>
      <c r="W74" s="149" t="str">
        <f ca="1">IF(N(U74)&gt;0,VLOOKUP(U74,Hraci!$A$1:$I$1000,3,0)," ")</f>
        <v xml:space="preserve"> </v>
      </c>
      <c r="X74" s="149" t="str">
        <f ca="1">IF(N(U74)&gt;0,VLOOKUP(U74,Hraci!$A$1:$I$1000,5,0),IF(TYPE(INDIRECT(ADDRESS(ROW() + $A$9-7 + (ROW()-11)*4,3,1,1,"Internet")))&gt;1,INDIRECT(ADDRESS(ROW() + $A$9-7 + (ROW()-11)*4,3,1,1,"Internet"))," "))</f>
        <v xml:space="preserve"> </v>
      </c>
      <c r="Y74" s="149">
        <f ca="1">IF(N(U74)=0,9999,VLOOKUP(U74,Hraci!$A$1:$I$1000,8,0))</f>
        <v>9999</v>
      </c>
      <c r="Z74" s="150">
        <f ca="1">IF(N(U74)=0,0,VLOOKUP(U74,Hraci!$A$1:$I$1000,9,0))</f>
        <v>0</v>
      </c>
      <c r="AA74" s="147" t="str">
        <f t="shared" ca="1" si="26"/>
        <v/>
      </c>
      <c r="AB74" s="148" t="str">
        <f ca="1">IF(N(AA74)&gt;0,VLOOKUP(AA74,Hraci!$A$1:$I$1000,2,0)," ")</f>
        <v xml:space="preserve"> </v>
      </c>
      <c r="AC74" s="149" t="str">
        <f ca="1">IF(N(AA74)&gt;0,VLOOKUP(AA74,Hraci!$A$1:$I$1000,3,0)," ")</f>
        <v xml:space="preserve"> </v>
      </c>
      <c r="AD74" s="149" t="str">
        <f ca="1">IF(N(AA74)&gt;0,VLOOKUP(AA74,Hraci!$A$1:$I$1000,5,0)," ")</f>
        <v xml:space="preserve"> </v>
      </c>
      <c r="AE74" s="149">
        <f ca="1">IF(N(AA74)=0,9999,VLOOKUP(AA74,Hraci!$A$1:$I$1000,8,0))</f>
        <v>9999</v>
      </c>
      <c r="AF74" s="150">
        <f ca="1">IF(N(AA74)=0,0,VLOOKUP(AA74,Hraci!$A$1:$I$1000,9,0))</f>
        <v>0</v>
      </c>
      <c r="AG74" s="147"/>
      <c r="AH74" s="151">
        <f ca="1">IF(TYPE(VLOOKUP(H74,Nasazení!$A$3:$E$130,5,0))&lt;4,VLOOKUP(H74,Nasazení!$A$3:$E$130,5,0),0)</f>
        <v>0</v>
      </c>
      <c r="AI74" s="152" t="str">
        <f ca="1">IF(N($AH74)&gt;0,VLOOKUP($AH74,Body!$A$4:$F$259,5,0),"")</f>
        <v/>
      </c>
      <c r="AJ74" s="153" t="str">
        <f ca="1">IF(N($AH74)&gt;0,VLOOKUP($AH74,Body!$A$4:$F$259,6,0),"")</f>
        <v/>
      </c>
      <c r="AK74" s="152" t="str">
        <f ca="1">IF(N($AH74)&gt;0,VLOOKUP($AH74,Body!$A$4:$F$259,2,0),"")</f>
        <v/>
      </c>
      <c r="AL74" s="154" t="str">
        <f t="shared" ca="1" si="27"/>
        <v/>
      </c>
      <c r="AM74" s="155">
        <f t="shared" ca="1" si="28"/>
        <v>0</v>
      </c>
      <c r="AN74" s="72">
        <f ca="1">IF(OR(TYPE(I74)&gt;1,TYPE(MATCH(I74,I75:I$203,0))&gt;1),0,MATCH(I74,I75:I$203,0))+IF(OR(TYPE(I74)&gt;1,TYPE(MATCH(I74,O$11:O$203,0))&gt;1),0,MATCH(I74,O$11:O$203,0))+IF(OR(TYPE(I74)&gt;1,TYPE(MATCH(I74,U$11:U$203,0))&gt;1),0,MATCH(I74,U$11:U$203,0))+IF(OR(TYPE(I74)&gt;1,TYPE(MATCH(I74,AA$11:AA$203,0))&gt;1),0,MATCH(I74,AA$11:AA$203,0))</f>
        <v>0</v>
      </c>
      <c r="AO74" s="72">
        <f ca="1">IF(OR(TYPE(O74)&gt;1,TYPE(MATCH(O74,I$11:I$203,0))&gt;1),0,MATCH(O74,I$11:I$203,0))+IF(OR(TYPE(O74)&gt;1,TYPE(MATCH(O74,O75:O$203,0))&gt;1),0,MATCH(O74,O75:O$203,0))+IF(OR(TYPE(O74)&gt;1,TYPE(MATCH(O74,U$11:U$203,0))&gt;1),0,MATCH(O74,U$11:U$203,0))+IF(OR(TYPE(O74)&gt;1,TYPE(MATCH(O74,AA$11:AA$203,0))&gt;1),0,MATCH(O74,AA$11:AA$203,0))</f>
        <v>0</v>
      </c>
      <c r="AP74" s="72">
        <f ca="1">IF(OR(TYPE(U74)&gt;1,TYPE(MATCH(U74,I$11:I$203,0))&gt;1),0,MATCH(U74,I$11:I$203,0))+IF(OR(TYPE(U74)&gt;1,TYPE(MATCH(U74,O$11:O$203,0))&gt;1),0,MATCH(U74,O$11:O$203,0))+IF(OR(TYPE(U74)&gt;1,TYPE(MATCH(U74,U75:U$203,0))&gt;1),0,MATCH(U74,U75:U$203,0))+IF(OR(TYPE(U74)&gt;1,TYPE(MATCH(U74,AA$11:AA$203,0))&gt;1),0,MATCH(U74,AA$11:AA$203,0))</f>
        <v>0</v>
      </c>
      <c r="AQ74" s="72">
        <f ca="1">IF(OR(TYPE(AA74)&gt;1,TYPE(MATCH(AA74,I$11:I$203,0))&gt;1),0,MATCH(AA74,I$11:I$203,0))+IF(OR(TYPE(AA74)&gt;1,TYPE(MATCH(AA74,O$11:O$203,0))&gt;1),0,MATCH(AA74,O$11:O$203,0))+IF(OR(TYPE(AA74)&gt;1,TYPE(MATCH(AA74,U$11:U$203,0))&gt;1),0,MATCH(U74,U$11:U$203,0))+IF(OR(TYPE(AA74)&gt;1,TYPE(MATCH(AA74,AA75:AA$203,0))&gt;1),0,MATCH(AA74,AA75:AA$203,0))</f>
        <v>0</v>
      </c>
      <c r="AR74" s="72">
        <f t="shared" ca="1" si="29"/>
        <v>0</v>
      </c>
    </row>
    <row r="75" spans="1:44" ht="14.25">
      <c r="A75" s="103">
        <f t="shared" ref="A75:A106" ca="1" si="30">IF(OR(LEFT(J75,1)=" ",ISBLANK(J75)),0,1)+IF(OR(LEFT(P75,1)=" ",ISBLANK(P75)),0,1)+IF(OR(LEFT(V75,1)=" ",ISBLANK(V75)),0,1)</f>
        <v>0</v>
      </c>
      <c r="B75" s="103">
        <f t="shared" ref="B75:B106" ca="1" si="31">IF(AND(TYPE(G75&lt;15),G75=0),1,0)</f>
        <v>0</v>
      </c>
      <c r="C75" s="156">
        <f t="shared" ref="C75:C106" ca="1" si="32">IF(B75=0,0,N75+T75+Z75)</f>
        <v>0</v>
      </c>
      <c r="D75" s="103">
        <f t="shared" ref="D75:D106" ca="1" si="33">IF(B75=0,99999,M75+S75+Y75)</f>
        <v>99999</v>
      </c>
      <c r="E75" s="103">
        <f t="shared" ref="E75:E106" ca="1" si="34">MIN(M75,S75,Y75)</f>
        <v>9999</v>
      </c>
      <c r="F75" s="104" t="str">
        <f t="shared" ref="F75:F106" ca="1" si="35">CONCATENATE(IF(AND($P$4=1,H75&gt;2*$O$7),"0","9"),TEXT(B75,"0"),IF(AND($P$4=1,H75&gt;2*$O$7),"000000",TEXT(1000*C75,"000000")),IF(AND($P$4=1,H75&gt;2*$O$7),"000000",TEXT(999999-D75,"000000")),IF(AND($P$4=1,H75&gt;2*$O$7),"000000",TEXT(999999-E75,"000000")),TEXT(999999*RAND(),"000000"))</f>
        <v>00000000000000000000807656</v>
      </c>
      <c r="G75" s="145">
        <f t="shared" ref="G75:G106" ca="1" si="36">IF(OR($K$6&gt;A75,AR75&gt;0),1,0)</f>
        <v>1</v>
      </c>
      <c r="H75" s="146">
        <f t="shared" ref="H75:H106" si="37">ROW(H75)-10</f>
        <v>65</v>
      </c>
      <c r="I75" s="147" t="str">
        <f t="shared" ref="I75:I106" ca="1" si="38">IF(N(INDIRECT(ADDRESS(ROW() + $A$9-9 + (ROW()-11)*4,1,1,1,"Internet")))&gt;0,INDIRECT(ADDRESS(ROW() + $A$9-9 + (ROW()-11)*4,1,1,1,"Internet")),"")</f>
        <v/>
      </c>
      <c r="J75" s="148" t="str">
        <f ca="1">IF(N(I75)&gt;0,VLOOKUP(I75,Hraci!$A$1:$I$1000,2,0),IF(TYPE(INDIRECT(ADDRESS(ROW() + $A$9-9 + (ROW()-11)*4,2,1,1,"Internet")))&gt;1,INDIRECT(ADDRESS(ROW() + $A$9-9 + (ROW()-11)*4,2,1,1,"Internet"))," "))</f>
        <v xml:space="preserve"> </v>
      </c>
      <c r="K75" s="149" t="str">
        <f ca="1">IF(N(I75)&gt;0,VLOOKUP(I75,Hraci!$A$1:$I$1000,3,0)," ")</f>
        <v xml:space="preserve"> </v>
      </c>
      <c r="L75" s="149" t="str">
        <f ca="1">IF(N(I75)&gt;0,VLOOKUP(I75,Hraci!$A$1:$I$1000,5,0),IF(TYPE(INDIRECT(ADDRESS(ROW() + $A$9-9 + (ROW()-11)*4,3,1,1,"Internet")))&gt;1,INDIRECT(ADDRESS(ROW() + $A$9-9 + (ROW()-11)*4,3,1,1,"Internet"))," "))</f>
        <v xml:space="preserve"> </v>
      </c>
      <c r="M75" s="149">
        <f ca="1">IF(N(I75)=0,9999,VLOOKUP(I75,Hraci!$A$1:$I$1000,8,0))</f>
        <v>9999</v>
      </c>
      <c r="N75" s="150">
        <f ca="1">IF(N(I75)=0,0,VLOOKUP(I75,Hraci!$A$1:$I$1000,9,0))</f>
        <v>0</v>
      </c>
      <c r="O75" s="147" t="str">
        <f t="shared" ref="O75:O106" ca="1" si="39">IF(N(INDIRECT(ADDRESS(ROW() + $A$9-8 + (ROW()-11)*4,1,1,1,"Internet")))&gt;0,INDIRECT(ADDRESS(ROW() + $A$9-8 + (ROW()-11)*4,1,1,1,"Internet")),"")</f>
        <v/>
      </c>
      <c r="P75" s="148" t="str">
        <f ca="1">IF(N(O75)&gt;0,VLOOKUP(O75,Hraci!$A$1:$I$1000,2,0),IF(TYPE(INDIRECT(ADDRESS(ROW() + $A$9-8 + (ROW()-11)*4,2,1,1,"Internet")))&gt;1,INDIRECT(ADDRESS(ROW() + $A$9-8 + (ROW()-11)*4,2,1,1,"Internet"))," "))</f>
        <v xml:space="preserve"> </v>
      </c>
      <c r="Q75" s="149" t="str">
        <f ca="1">IF(N(O75)&gt;0,VLOOKUP(O75,Hraci!$A$1:$I$1000,3,0)," ")</f>
        <v xml:space="preserve"> </v>
      </c>
      <c r="R75" s="149" t="str">
        <f ca="1">IF(N(O75)&gt;0,VLOOKUP(O75,Hraci!$A$1:$I$1000,5,0),IF(TYPE(INDIRECT(ADDRESS(ROW() + $A$9-8 + (ROW()-11)*4,3,1,1,"Internet")))&gt;1,INDIRECT(ADDRESS(ROW() + $A$9-8 + (ROW()-11)*4,3,1,1,"Internet"))," "))</f>
        <v xml:space="preserve"> </v>
      </c>
      <c r="S75" s="149">
        <f ca="1">IF(N(O75)=0,9999,VLOOKUP(O75,Hraci!$A$1:$I$1000,8,0))</f>
        <v>9999</v>
      </c>
      <c r="T75" s="150">
        <f ca="1">IF(N(O75)=0,0,VLOOKUP(O75,Hraci!$A$1:$I$1000,9,0))</f>
        <v>0</v>
      </c>
      <c r="U75" s="147" t="str">
        <f t="shared" ref="U75:U106" ca="1" si="40">IF(N(INDIRECT(ADDRESS(ROW() + $A$9-7 + (ROW()-11)*4,1,1,1,"Internet")))&gt;0,INDIRECT(ADDRESS(ROW() + $A$9-7 + (ROW()-11)*4,1,1,1,"Internet")),"")</f>
        <v/>
      </c>
      <c r="V75" s="148" t="str">
        <f ca="1">IF(N(U75)&gt;0,VLOOKUP(U75,Hraci!$A$1:$I$1000,2,0),IF(TYPE(INDIRECT(ADDRESS(ROW() + $A$9-7 + (ROW()-11)*4,2,1,1,"Internet")))&gt;1,INDIRECT(ADDRESS(ROW() + $A$9-7 + (ROW()-11)*4,2,1,1,"Internet"))," "))</f>
        <v xml:space="preserve"> </v>
      </c>
      <c r="W75" s="149" t="str">
        <f ca="1">IF(N(U75)&gt;0,VLOOKUP(U75,Hraci!$A$1:$I$1000,3,0)," ")</f>
        <v xml:space="preserve"> </v>
      </c>
      <c r="X75" s="149" t="str">
        <f ca="1">IF(N(U75)&gt;0,VLOOKUP(U75,Hraci!$A$1:$I$1000,5,0),IF(TYPE(INDIRECT(ADDRESS(ROW() + $A$9-7 + (ROW()-11)*4,3,1,1,"Internet")))&gt;1,INDIRECT(ADDRESS(ROW() + $A$9-7 + (ROW()-11)*4,3,1,1,"Internet"))," "))</f>
        <v xml:space="preserve"> </v>
      </c>
      <c r="Y75" s="149">
        <f ca="1">IF(N(U75)=0,9999,VLOOKUP(U75,Hraci!$A$1:$I$1000,8,0))</f>
        <v>9999</v>
      </c>
      <c r="Z75" s="150">
        <f ca="1">IF(N(U75)=0,0,VLOOKUP(U75,Hraci!$A$1:$I$1000,9,0))</f>
        <v>0</v>
      </c>
      <c r="AA75" s="147" t="str">
        <f t="shared" ref="AA75:AA106" ca="1" si="41">IF(N(INDIRECT(ADDRESS(ROW() + $A$9-6 + (ROW()-11)*4,1,1,1,"Internet")))&gt;0,INDIRECT(ADDRESS(ROW() + $A$9-6 + (ROW()-11)*4,1,1,1,"Internet")),"")</f>
        <v/>
      </c>
      <c r="AB75" s="148" t="str">
        <f ca="1">IF(N(AA75)&gt;0,VLOOKUP(AA75,Hraci!$A$1:$I$1000,2,0)," ")</f>
        <v xml:space="preserve"> </v>
      </c>
      <c r="AC75" s="149" t="str">
        <f ca="1">IF(N(AA75)&gt;0,VLOOKUP(AA75,Hraci!$A$1:$I$1000,3,0)," ")</f>
        <v xml:space="preserve"> </v>
      </c>
      <c r="AD75" s="149" t="str">
        <f ca="1">IF(N(AA75)&gt;0,VLOOKUP(AA75,Hraci!$A$1:$I$1000,5,0)," ")</f>
        <v xml:space="preserve"> </v>
      </c>
      <c r="AE75" s="149">
        <f ca="1">IF(N(AA75)=0,9999,VLOOKUP(AA75,Hraci!$A$1:$I$1000,8,0))</f>
        <v>9999</v>
      </c>
      <c r="AF75" s="150">
        <f ca="1">IF(N(AA75)=0,0,VLOOKUP(AA75,Hraci!$A$1:$I$1000,9,0))</f>
        <v>0</v>
      </c>
      <c r="AG75" s="147"/>
      <c r="AH75" s="151">
        <f ca="1">IF(TYPE(VLOOKUP(H75,Nasazení!$A$3:$E$130,5,0))&lt;4,VLOOKUP(H75,Nasazení!$A$3:$E$130,5,0),0)</f>
        <v>0</v>
      </c>
      <c r="AI75" s="152" t="str">
        <f ca="1">IF(N($AH75)&gt;0,VLOOKUP($AH75,Body!$A$4:$F$259,5,0),"")</f>
        <v/>
      </c>
      <c r="AJ75" s="153" t="str">
        <f ca="1">IF(N($AH75)&gt;0,VLOOKUP($AH75,Body!$A$4:$F$259,6,0),"")</f>
        <v/>
      </c>
      <c r="AK75" s="152" t="str">
        <f ca="1">IF(N($AH75)&gt;0,VLOOKUP($AH75,Body!$A$4:$F$259,2,0),"")</f>
        <v/>
      </c>
      <c r="AL75" s="154" t="str">
        <f t="shared" ref="AL75:AL106" ca="1" si="42">IF(N(H75)&gt;$K$7,"",CONCATENATE(IF($U$8="","",H75&amp;" "),L75,IF(L75="",""," - "),J75," ",K75))</f>
        <v/>
      </c>
      <c r="AM75" s="155">
        <f t="shared" ref="AM75:AM106" ca="1" si="43">C75</f>
        <v>0</v>
      </c>
      <c r="AN75" s="72">
        <f ca="1">IF(OR(TYPE(I75)&gt;1,TYPE(MATCH(I75,I76:I$203,0))&gt;1),0,MATCH(I75,I76:I$203,0))+IF(OR(TYPE(I75)&gt;1,TYPE(MATCH(I75,O$11:O$203,0))&gt;1),0,MATCH(I75,O$11:O$203,0))+IF(OR(TYPE(I75)&gt;1,TYPE(MATCH(I75,U$11:U$203,0))&gt;1),0,MATCH(I75,U$11:U$203,0))+IF(OR(TYPE(I75)&gt;1,TYPE(MATCH(I75,AA$11:AA$203,0))&gt;1),0,MATCH(I75,AA$11:AA$203,0))</f>
        <v>0</v>
      </c>
      <c r="AO75" s="72">
        <f ca="1">IF(OR(TYPE(O75)&gt;1,TYPE(MATCH(O75,I$11:I$203,0))&gt;1),0,MATCH(O75,I$11:I$203,0))+IF(OR(TYPE(O75)&gt;1,TYPE(MATCH(O75,O76:O$203,0))&gt;1),0,MATCH(O75,O76:O$203,0))+IF(OR(TYPE(O75)&gt;1,TYPE(MATCH(O75,U$11:U$203,0))&gt;1),0,MATCH(O75,U$11:U$203,0))+IF(OR(TYPE(O75)&gt;1,TYPE(MATCH(O75,AA$11:AA$203,0))&gt;1),0,MATCH(O75,AA$11:AA$203,0))</f>
        <v>0</v>
      </c>
      <c r="AP75" s="72">
        <f ca="1">IF(OR(TYPE(U75)&gt;1,TYPE(MATCH(U75,I$11:I$203,0))&gt;1),0,MATCH(U75,I$11:I$203,0))+IF(OR(TYPE(U75)&gt;1,TYPE(MATCH(U75,O$11:O$203,0))&gt;1),0,MATCH(U75,O$11:O$203,0))+IF(OR(TYPE(U75)&gt;1,TYPE(MATCH(U75,U76:U$203,0))&gt;1),0,MATCH(U75,U76:U$203,0))+IF(OR(TYPE(U75)&gt;1,TYPE(MATCH(U75,AA$11:AA$203,0))&gt;1),0,MATCH(U75,AA$11:AA$203,0))</f>
        <v>0</v>
      </c>
      <c r="AQ75" s="72">
        <f ca="1">IF(OR(TYPE(AA75)&gt;1,TYPE(MATCH(AA75,I$11:I$203,0))&gt;1),0,MATCH(AA75,I$11:I$203,0))+IF(OR(TYPE(AA75)&gt;1,TYPE(MATCH(AA75,O$11:O$203,0))&gt;1),0,MATCH(AA75,O$11:O$203,0))+IF(OR(TYPE(AA75)&gt;1,TYPE(MATCH(AA75,U$11:U$203,0))&gt;1),0,MATCH(U75,U$11:U$203,0))+IF(OR(TYPE(AA75)&gt;1,TYPE(MATCH(AA75,AA76:AA$203,0))&gt;1),0,MATCH(AA75,AA76:AA$203,0))</f>
        <v>0</v>
      </c>
      <c r="AR75" s="72">
        <f t="shared" ref="AR75:AR106" ca="1" si="44">SUM(AN75:AQ75)</f>
        <v>0</v>
      </c>
    </row>
    <row r="76" spans="1:44" ht="14.25">
      <c r="A76" s="103">
        <f t="shared" ca="1" si="30"/>
        <v>0</v>
      </c>
      <c r="B76" s="103">
        <f t="shared" ca="1" si="31"/>
        <v>0</v>
      </c>
      <c r="C76" s="156">
        <f t="shared" ca="1" si="32"/>
        <v>0</v>
      </c>
      <c r="D76" s="103">
        <f t="shared" ca="1" si="33"/>
        <v>99999</v>
      </c>
      <c r="E76" s="103">
        <f t="shared" ca="1" si="34"/>
        <v>9999</v>
      </c>
      <c r="F76" s="104" t="str">
        <f t="shared" ca="1" si="35"/>
        <v>00000000000000000000677193</v>
      </c>
      <c r="G76" s="145">
        <f t="shared" ca="1" si="36"/>
        <v>1</v>
      </c>
      <c r="H76" s="146">
        <f t="shared" si="37"/>
        <v>66</v>
      </c>
      <c r="I76" s="147" t="str">
        <f t="shared" ca="1" si="38"/>
        <v/>
      </c>
      <c r="J76" s="148" t="str">
        <f ca="1">IF(N(I76)&gt;0,VLOOKUP(I76,Hraci!$A$1:$I$1000,2,0),IF(TYPE(INDIRECT(ADDRESS(ROW() + $A$9-9 + (ROW()-11)*4,2,1,1,"Internet")))&gt;1,INDIRECT(ADDRESS(ROW() + $A$9-9 + (ROW()-11)*4,2,1,1,"Internet"))," "))</f>
        <v xml:space="preserve"> </v>
      </c>
      <c r="K76" s="149" t="str">
        <f ca="1">IF(N(I76)&gt;0,VLOOKUP(I76,Hraci!$A$1:$I$1000,3,0)," ")</f>
        <v xml:space="preserve"> </v>
      </c>
      <c r="L76" s="149" t="str">
        <f ca="1">IF(N(I76)&gt;0,VLOOKUP(I76,Hraci!$A$1:$I$1000,5,0),IF(TYPE(INDIRECT(ADDRESS(ROW() + $A$9-9 + (ROW()-11)*4,3,1,1,"Internet")))&gt;1,INDIRECT(ADDRESS(ROW() + $A$9-9 + (ROW()-11)*4,3,1,1,"Internet"))," "))</f>
        <v xml:space="preserve"> </v>
      </c>
      <c r="M76" s="149">
        <f ca="1">IF(N(I76)=0,9999,VLOOKUP(I76,Hraci!$A$1:$I$1000,8,0))</f>
        <v>9999</v>
      </c>
      <c r="N76" s="150">
        <f ca="1">IF(N(I76)=0,0,VLOOKUP(I76,Hraci!$A$1:$I$1000,9,0))</f>
        <v>0</v>
      </c>
      <c r="O76" s="147" t="str">
        <f t="shared" ca="1" si="39"/>
        <v/>
      </c>
      <c r="P76" s="148" t="str">
        <f ca="1">IF(N(O76)&gt;0,VLOOKUP(O76,Hraci!$A$1:$I$1000,2,0),IF(TYPE(INDIRECT(ADDRESS(ROW() + $A$9-8 + (ROW()-11)*4,2,1,1,"Internet")))&gt;1,INDIRECT(ADDRESS(ROW() + $A$9-8 + (ROW()-11)*4,2,1,1,"Internet"))," "))</f>
        <v xml:space="preserve"> </v>
      </c>
      <c r="Q76" s="149" t="str">
        <f ca="1">IF(N(O76)&gt;0,VLOOKUP(O76,Hraci!$A$1:$I$1000,3,0)," ")</f>
        <v xml:space="preserve"> </v>
      </c>
      <c r="R76" s="149" t="str">
        <f ca="1">IF(N(O76)&gt;0,VLOOKUP(O76,Hraci!$A$1:$I$1000,5,0),IF(TYPE(INDIRECT(ADDRESS(ROW() + $A$9-8 + (ROW()-11)*4,3,1,1,"Internet")))&gt;1,INDIRECT(ADDRESS(ROW() + $A$9-8 + (ROW()-11)*4,3,1,1,"Internet"))," "))</f>
        <v xml:space="preserve"> </v>
      </c>
      <c r="S76" s="149">
        <f ca="1">IF(N(O76)=0,9999,VLOOKUP(O76,Hraci!$A$1:$I$1000,8,0))</f>
        <v>9999</v>
      </c>
      <c r="T76" s="150">
        <f ca="1">IF(N(O76)=0,0,VLOOKUP(O76,Hraci!$A$1:$I$1000,9,0))</f>
        <v>0</v>
      </c>
      <c r="U76" s="147" t="str">
        <f t="shared" ca="1" si="40"/>
        <v/>
      </c>
      <c r="V76" s="148" t="str">
        <f ca="1">IF(N(U76)&gt;0,VLOOKUP(U76,Hraci!$A$1:$I$1000,2,0),IF(TYPE(INDIRECT(ADDRESS(ROW() + $A$9-7 + (ROW()-11)*4,2,1,1,"Internet")))&gt;1,INDIRECT(ADDRESS(ROW() + $A$9-7 + (ROW()-11)*4,2,1,1,"Internet"))," "))</f>
        <v xml:space="preserve"> </v>
      </c>
      <c r="W76" s="149" t="str">
        <f ca="1">IF(N(U76)&gt;0,VLOOKUP(U76,Hraci!$A$1:$I$1000,3,0)," ")</f>
        <v xml:space="preserve"> </v>
      </c>
      <c r="X76" s="149" t="str">
        <f ca="1">IF(N(U76)&gt;0,VLOOKUP(U76,Hraci!$A$1:$I$1000,5,0),IF(TYPE(INDIRECT(ADDRESS(ROW() + $A$9-7 + (ROW()-11)*4,3,1,1,"Internet")))&gt;1,INDIRECT(ADDRESS(ROW() + $A$9-7 + (ROW()-11)*4,3,1,1,"Internet"))," "))</f>
        <v xml:space="preserve"> </v>
      </c>
      <c r="Y76" s="149">
        <f ca="1">IF(N(U76)=0,9999,VLOOKUP(U76,Hraci!$A$1:$I$1000,8,0))</f>
        <v>9999</v>
      </c>
      <c r="Z76" s="150">
        <f ca="1">IF(N(U76)=0,0,VLOOKUP(U76,Hraci!$A$1:$I$1000,9,0))</f>
        <v>0</v>
      </c>
      <c r="AA76" s="147" t="str">
        <f t="shared" ca="1" si="41"/>
        <v/>
      </c>
      <c r="AB76" s="148" t="str">
        <f ca="1">IF(N(AA76)&gt;0,VLOOKUP(AA76,Hraci!$A$1:$I$1000,2,0)," ")</f>
        <v xml:space="preserve"> </v>
      </c>
      <c r="AC76" s="149" t="str">
        <f ca="1">IF(N(AA76)&gt;0,VLOOKUP(AA76,Hraci!$A$1:$I$1000,3,0)," ")</f>
        <v xml:space="preserve"> </v>
      </c>
      <c r="AD76" s="149" t="str">
        <f ca="1">IF(N(AA76)&gt;0,VLOOKUP(AA76,Hraci!$A$1:$I$1000,5,0)," ")</f>
        <v xml:space="preserve"> </v>
      </c>
      <c r="AE76" s="149">
        <f ca="1">IF(N(AA76)=0,9999,VLOOKUP(AA76,Hraci!$A$1:$I$1000,8,0))</f>
        <v>9999</v>
      </c>
      <c r="AF76" s="150">
        <f ca="1">IF(N(AA76)=0,0,VLOOKUP(AA76,Hraci!$A$1:$I$1000,9,0))</f>
        <v>0</v>
      </c>
      <c r="AG76" s="147"/>
      <c r="AH76" s="151">
        <f ca="1">IF(TYPE(VLOOKUP(H76,Nasazení!$A$3:$E$130,5,0))&lt;4,VLOOKUP(H76,Nasazení!$A$3:$E$130,5,0),0)</f>
        <v>0</v>
      </c>
      <c r="AI76" s="152" t="str">
        <f ca="1">IF(N($AH76)&gt;0,VLOOKUP($AH76,Body!$A$4:$F$259,5,0),"")</f>
        <v/>
      </c>
      <c r="AJ76" s="153" t="str">
        <f ca="1">IF(N($AH76)&gt;0,VLOOKUP($AH76,Body!$A$4:$F$259,6,0),"")</f>
        <v/>
      </c>
      <c r="AK76" s="152" t="str">
        <f ca="1">IF(N($AH76)&gt;0,VLOOKUP($AH76,Body!$A$4:$F$259,2,0),"")</f>
        <v/>
      </c>
      <c r="AL76" s="154" t="str">
        <f t="shared" ca="1" si="42"/>
        <v/>
      </c>
      <c r="AM76" s="155">
        <f t="shared" ca="1" si="43"/>
        <v>0</v>
      </c>
      <c r="AN76" s="72">
        <f ca="1">IF(OR(TYPE(I76)&gt;1,TYPE(MATCH(I76,I77:I$203,0))&gt;1),0,MATCH(I76,I77:I$203,0))+IF(OR(TYPE(I76)&gt;1,TYPE(MATCH(I76,O$11:O$203,0))&gt;1),0,MATCH(I76,O$11:O$203,0))+IF(OR(TYPE(I76)&gt;1,TYPE(MATCH(I76,U$11:U$203,0))&gt;1),0,MATCH(I76,U$11:U$203,0))+IF(OR(TYPE(I76)&gt;1,TYPE(MATCH(I76,AA$11:AA$203,0))&gt;1),0,MATCH(I76,AA$11:AA$203,0))</f>
        <v>0</v>
      </c>
      <c r="AO76" s="72">
        <f ca="1">IF(OR(TYPE(O76)&gt;1,TYPE(MATCH(O76,I$11:I$203,0))&gt;1),0,MATCH(O76,I$11:I$203,0))+IF(OR(TYPE(O76)&gt;1,TYPE(MATCH(O76,O77:O$203,0))&gt;1),0,MATCH(O76,O77:O$203,0))+IF(OR(TYPE(O76)&gt;1,TYPE(MATCH(O76,U$11:U$203,0))&gt;1),0,MATCH(O76,U$11:U$203,0))+IF(OR(TYPE(O76)&gt;1,TYPE(MATCH(O76,AA$11:AA$203,0))&gt;1),0,MATCH(O76,AA$11:AA$203,0))</f>
        <v>0</v>
      </c>
      <c r="AP76" s="72">
        <f ca="1">IF(OR(TYPE(U76)&gt;1,TYPE(MATCH(U76,I$11:I$203,0))&gt;1),0,MATCH(U76,I$11:I$203,0))+IF(OR(TYPE(U76)&gt;1,TYPE(MATCH(U76,O$11:O$203,0))&gt;1),0,MATCH(U76,O$11:O$203,0))+IF(OR(TYPE(U76)&gt;1,TYPE(MATCH(U76,U77:U$203,0))&gt;1),0,MATCH(U76,U77:U$203,0))+IF(OR(TYPE(U76)&gt;1,TYPE(MATCH(U76,AA$11:AA$203,0))&gt;1),0,MATCH(U76,AA$11:AA$203,0))</f>
        <v>0</v>
      </c>
      <c r="AQ76" s="72">
        <f ca="1">IF(OR(TYPE(AA76)&gt;1,TYPE(MATCH(AA76,I$11:I$203,0))&gt;1),0,MATCH(AA76,I$11:I$203,0))+IF(OR(TYPE(AA76)&gt;1,TYPE(MATCH(AA76,O$11:O$203,0))&gt;1),0,MATCH(AA76,O$11:O$203,0))+IF(OR(TYPE(AA76)&gt;1,TYPE(MATCH(AA76,U$11:U$203,0))&gt;1),0,MATCH(U76,U$11:U$203,0))+IF(OR(TYPE(AA76)&gt;1,TYPE(MATCH(AA76,AA77:AA$203,0))&gt;1),0,MATCH(AA76,AA77:AA$203,0))</f>
        <v>0</v>
      </c>
      <c r="AR76" s="72">
        <f t="shared" ca="1" si="44"/>
        <v>0</v>
      </c>
    </row>
    <row r="77" spans="1:44" ht="14.25">
      <c r="A77" s="103">
        <f t="shared" ca="1" si="30"/>
        <v>0</v>
      </c>
      <c r="B77" s="103">
        <f t="shared" ca="1" si="31"/>
        <v>0</v>
      </c>
      <c r="C77" s="156">
        <f t="shared" ca="1" si="32"/>
        <v>0</v>
      </c>
      <c r="D77" s="103">
        <f t="shared" ca="1" si="33"/>
        <v>99999</v>
      </c>
      <c r="E77" s="103">
        <f t="shared" ca="1" si="34"/>
        <v>9999</v>
      </c>
      <c r="F77" s="104" t="str">
        <f t="shared" ca="1" si="35"/>
        <v>00000000000000000000118549</v>
      </c>
      <c r="G77" s="145">
        <f t="shared" ca="1" si="36"/>
        <v>1</v>
      </c>
      <c r="H77" s="146">
        <f t="shared" si="37"/>
        <v>67</v>
      </c>
      <c r="I77" s="147" t="str">
        <f t="shared" ca="1" si="38"/>
        <v/>
      </c>
      <c r="J77" s="148" t="str">
        <f ca="1">IF(N(I77)&gt;0,VLOOKUP(I77,Hraci!$A$1:$I$1000,2,0),IF(TYPE(INDIRECT(ADDRESS(ROW() + $A$9-9 + (ROW()-11)*4,2,1,1,"Internet")))&gt;1,INDIRECT(ADDRESS(ROW() + $A$9-9 + (ROW()-11)*4,2,1,1,"Internet"))," "))</f>
        <v xml:space="preserve"> </v>
      </c>
      <c r="K77" s="149" t="str">
        <f ca="1">IF(N(I77)&gt;0,VLOOKUP(I77,Hraci!$A$1:$I$1000,3,0)," ")</f>
        <v xml:space="preserve"> </v>
      </c>
      <c r="L77" s="149" t="str">
        <f ca="1">IF(N(I77)&gt;0,VLOOKUP(I77,Hraci!$A$1:$I$1000,5,0),IF(TYPE(INDIRECT(ADDRESS(ROW() + $A$9-9 + (ROW()-11)*4,3,1,1,"Internet")))&gt;1,INDIRECT(ADDRESS(ROW() + $A$9-9 + (ROW()-11)*4,3,1,1,"Internet"))," "))</f>
        <v xml:space="preserve"> </v>
      </c>
      <c r="M77" s="149">
        <f ca="1">IF(N(I77)=0,9999,VLOOKUP(I77,Hraci!$A$1:$I$1000,8,0))</f>
        <v>9999</v>
      </c>
      <c r="N77" s="150">
        <f ca="1">IF(N(I77)=0,0,VLOOKUP(I77,Hraci!$A$1:$I$1000,9,0))</f>
        <v>0</v>
      </c>
      <c r="O77" s="147" t="str">
        <f t="shared" ca="1" si="39"/>
        <v/>
      </c>
      <c r="P77" s="148" t="str">
        <f ca="1">IF(N(O77)&gt;0,VLOOKUP(O77,Hraci!$A$1:$I$1000,2,0),IF(TYPE(INDIRECT(ADDRESS(ROW() + $A$9-8 + (ROW()-11)*4,2,1,1,"Internet")))&gt;1,INDIRECT(ADDRESS(ROW() + $A$9-8 + (ROW()-11)*4,2,1,1,"Internet"))," "))</f>
        <v xml:space="preserve"> </v>
      </c>
      <c r="Q77" s="149" t="str">
        <f ca="1">IF(N(O77)&gt;0,VLOOKUP(O77,Hraci!$A$1:$I$1000,3,0)," ")</f>
        <v xml:space="preserve"> </v>
      </c>
      <c r="R77" s="149" t="str">
        <f ca="1">IF(N(O77)&gt;0,VLOOKUP(O77,Hraci!$A$1:$I$1000,5,0),IF(TYPE(INDIRECT(ADDRESS(ROW() + $A$9-8 + (ROW()-11)*4,3,1,1,"Internet")))&gt;1,INDIRECT(ADDRESS(ROW() + $A$9-8 + (ROW()-11)*4,3,1,1,"Internet"))," "))</f>
        <v xml:space="preserve"> </v>
      </c>
      <c r="S77" s="149">
        <f ca="1">IF(N(O77)=0,9999,VLOOKUP(O77,Hraci!$A$1:$I$1000,8,0))</f>
        <v>9999</v>
      </c>
      <c r="T77" s="150">
        <f ca="1">IF(N(O77)=0,0,VLOOKUP(O77,Hraci!$A$1:$I$1000,9,0))</f>
        <v>0</v>
      </c>
      <c r="U77" s="147" t="str">
        <f t="shared" ca="1" si="40"/>
        <v/>
      </c>
      <c r="V77" s="148" t="str">
        <f ca="1">IF(N(U77)&gt;0,VLOOKUP(U77,Hraci!$A$1:$I$1000,2,0),IF(TYPE(INDIRECT(ADDRESS(ROW() + $A$9-7 + (ROW()-11)*4,2,1,1,"Internet")))&gt;1,INDIRECT(ADDRESS(ROW() + $A$9-7 + (ROW()-11)*4,2,1,1,"Internet"))," "))</f>
        <v xml:space="preserve"> </v>
      </c>
      <c r="W77" s="149" t="str">
        <f ca="1">IF(N(U77)&gt;0,VLOOKUP(U77,Hraci!$A$1:$I$1000,3,0)," ")</f>
        <v xml:space="preserve"> </v>
      </c>
      <c r="X77" s="149" t="str">
        <f ca="1">IF(N(U77)&gt;0,VLOOKUP(U77,Hraci!$A$1:$I$1000,5,0),IF(TYPE(INDIRECT(ADDRESS(ROW() + $A$9-7 + (ROW()-11)*4,3,1,1,"Internet")))&gt;1,INDIRECT(ADDRESS(ROW() + $A$9-7 + (ROW()-11)*4,3,1,1,"Internet"))," "))</f>
        <v xml:space="preserve"> </v>
      </c>
      <c r="Y77" s="149">
        <f ca="1">IF(N(U77)=0,9999,VLOOKUP(U77,Hraci!$A$1:$I$1000,8,0))</f>
        <v>9999</v>
      </c>
      <c r="Z77" s="150">
        <f ca="1">IF(N(U77)=0,0,VLOOKUP(U77,Hraci!$A$1:$I$1000,9,0))</f>
        <v>0</v>
      </c>
      <c r="AA77" s="147" t="str">
        <f t="shared" ca="1" si="41"/>
        <v/>
      </c>
      <c r="AB77" s="148" t="str">
        <f ca="1">IF(N(AA77)&gt;0,VLOOKUP(AA77,Hraci!$A$1:$I$1000,2,0)," ")</f>
        <v xml:space="preserve"> </v>
      </c>
      <c r="AC77" s="149" t="str">
        <f ca="1">IF(N(AA77)&gt;0,VLOOKUP(AA77,Hraci!$A$1:$I$1000,3,0)," ")</f>
        <v xml:space="preserve"> </v>
      </c>
      <c r="AD77" s="149" t="str">
        <f ca="1">IF(N(AA77)&gt;0,VLOOKUP(AA77,Hraci!$A$1:$I$1000,5,0)," ")</f>
        <v xml:space="preserve"> </v>
      </c>
      <c r="AE77" s="149">
        <f ca="1">IF(N(AA77)=0,9999,VLOOKUP(AA77,Hraci!$A$1:$I$1000,8,0))</f>
        <v>9999</v>
      </c>
      <c r="AF77" s="150">
        <f ca="1">IF(N(AA77)=0,0,VLOOKUP(AA77,Hraci!$A$1:$I$1000,9,0))</f>
        <v>0</v>
      </c>
      <c r="AG77" s="147"/>
      <c r="AH77" s="151">
        <f ca="1">IF(TYPE(VLOOKUP(H77,Nasazení!$A$3:$E$130,5,0))&lt;4,VLOOKUP(H77,Nasazení!$A$3:$E$130,5,0),0)</f>
        <v>0</v>
      </c>
      <c r="AI77" s="152" t="str">
        <f ca="1">IF(N($AH77)&gt;0,VLOOKUP($AH77,Body!$A$4:$F$259,5,0),"")</f>
        <v/>
      </c>
      <c r="AJ77" s="153" t="str">
        <f ca="1">IF(N($AH77)&gt;0,VLOOKUP($AH77,Body!$A$4:$F$259,6,0),"")</f>
        <v/>
      </c>
      <c r="AK77" s="152" t="str">
        <f ca="1">IF(N($AH77)&gt;0,VLOOKUP($AH77,Body!$A$4:$F$259,2,0),"")</f>
        <v/>
      </c>
      <c r="AL77" s="154" t="str">
        <f t="shared" ca="1" si="42"/>
        <v/>
      </c>
      <c r="AM77" s="155">
        <f t="shared" ca="1" si="43"/>
        <v>0</v>
      </c>
      <c r="AN77" s="72">
        <f ca="1">IF(OR(TYPE(I77)&gt;1,TYPE(MATCH(I77,I78:I$203,0))&gt;1),0,MATCH(I77,I78:I$203,0))+IF(OR(TYPE(I77)&gt;1,TYPE(MATCH(I77,O$11:O$203,0))&gt;1),0,MATCH(I77,O$11:O$203,0))+IF(OR(TYPE(I77)&gt;1,TYPE(MATCH(I77,U$11:U$203,0))&gt;1),0,MATCH(I77,U$11:U$203,0))+IF(OR(TYPE(I77)&gt;1,TYPE(MATCH(I77,AA$11:AA$203,0))&gt;1),0,MATCH(I77,AA$11:AA$203,0))</f>
        <v>0</v>
      </c>
      <c r="AO77" s="72">
        <f ca="1">IF(OR(TYPE(O77)&gt;1,TYPE(MATCH(O77,I$11:I$203,0))&gt;1),0,MATCH(O77,I$11:I$203,0))+IF(OR(TYPE(O77)&gt;1,TYPE(MATCH(O77,O78:O$203,0))&gt;1),0,MATCH(O77,O78:O$203,0))+IF(OR(TYPE(O77)&gt;1,TYPE(MATCH(O77,U$11:U$203,0))&gt;1),0,MATCH(O77,U$11:U$203,0))+IF(OR(TYPE(O77)&gt;1,TYPE(MATCH(O77,AA$11:AA$203,0))&gt;1),0,MATCH(O77,AA$11:AA$203,0))</f>
        <v>0</v>
      </c>
      <c r="AP77" s="72">
        <f ca="1">IF(OR(TYPE(U77)&gt;1,TYPE(MATCH(U77,I$11:I$203,0))&gt;1),0,MATCH(U77,I$11:I$203,0))+IF(OR(TYPE(U77)&gt;1,TYPE(MATCH(U77,O$11:O$203,0))&gt;1),0,MATCH(U77,O$11:O$203,0))+IF(OR(TYPE(U77)&gt;1,TYPE(MATCH(U77,U78:U$203,0))&gt;1),0,MATCH(U77,U78:U$203,0))+IF(OR(TYPE(U77)&gt;1,TYPE(MATCH(U77,AA$11:AA$203,0))&gt;1),0,MATCH(U77,AA$11:AA$203,0))</f>
        <v>0</v>
      </c>
      <c r="AQ77" s="72">
        <f ca="1">IF(OR(TYPE(AA77)&gt;1,TYPE(MATCH(AA77,I$11:I$203,0))&gt;1),0,MATCH(AA77,I$11:I$203,0))+IF(OR(TYPE(AA77)&gt;1,TYPE(MATCH(AA77,O$11:O$203,0))&gt;1),0,MATCH(AA77,O$11:O$203,0))+IF(OR(TYPE(AA77)&gt;1,TYPE(MATCH(AA77,U$11:U$203,0))&gt;1),0,MATCH(U77,U$11:U$203,0))+IF(OR(TYPE(AA77)&gt;1,TYPE(MATCH(AA77,AA78:AA$203,0))&gt;1),0,MATCH(AA77,AA78:AA$203,0))</f>
        <v>0</v>
      </c>
      <c r="AR77" s="72">
        <f t="shared" ca="1" si="44"/>
        <v>0</v>
      </c>
    </row>
    <row r="78" spans="1:44" ht="14.25">
      <c r="A78" s="103">
        <f t="shared" ca="1" si="30"/>
        <v>0</v>
      </c>
      <c r="B78" s="103">
        <f t="shared" ca="1" si="31"/>
        <v>0</v>
      </c>
      <c r="C78" s="156">
        <f t="shared" ca="1" si="32"/>
        <v>0</v>
      </c>
      <c r="D78" s="103">
        <f t="shared" ca="1" si="33"/>
        <v>99999</v>
      </c>
      <c r="E78" s="103">
        <f t="shared" ca="1" si="34"/>
        <v>9999</v>
      </c>
      <c r="F78" s="104" t="str">
        <f t="shared" ca="1" si="35"/>
        <v>00000000000000000000600550</v>
      </c>
      <c r="G78" s="145">
        <f t="shared" ca="1" si="36"/>
        <v>1</v>
      </c>
      <c r="H78" s="146">
        <f t="shared" si="37"/>
        <v>68</v>
      </c>
      <c r="I78" s="147" t="str">
        <f t="shared" ca="1" si="38"/>
        <v/>
      </c>
      <c r="J78" s="148" t="str">
        <f ca="1">IF(N(I78)&gt;0,VLOOKUP(I78,Hraci!$A$1:$I$1000,2,0),IF(TYPE(INDIRECT(ADDRESS(ROW() + $A$9-9 + (ROW()-11)*4,2,1,1,"Internet")))&gt;1,INDIRECT(ADDRESS(ROW() + $A$9-9 + (ROW()-11)*4,2,1,1,"Internet"))," "))</f>
        <v xml:space="preserve"> </v>
      </c>
      <c r="K78" s="149" t="str">
        <f ca="1">IF(N(I78)&gt;0,VLOOKUP(I78,Hraci!$A$1:$I$1000,3,0)," ")</f>
        <v xml:space="preserve"> </v>
      </c>
      <c r="L78" s="149" t="str">
        <f ca="1">IF(N(I78)&gt;0,VLOOKUP(I78,Hraci!$A$1:$I$1000,5,0),IF(TYPE(INDIRECT(ADDRESS(ROW() + $A$9-9 + (ROW()-11)*4,3,1,1,"Internet")))&gt;1,INDIRECT(ADDRESS(ROW() + $A$9-9 + (ROW()-11)*4,3,1,1,"Internet"))," "))</f>
        <v xml:space="preserve"> </v>
      </c>
      <c r="M78" s="149">
        <f ca="1">IF(N(I78)=0,9999,VLOOKUP(I78,Hraci!$A$1:$I$1000,8,0))</f>
        <v>9999</v>
      </c>
      <c r="N78" s="150">
        <f ca="1">IF(N(I78)=0,0,VLOOKUP(I78,Hraci!$A$1:$I$1000,9,0))</f>
        <v>0</v>
      </c>
      <c r="O78" s="147" t="str">
        <f t="shared" ca="1" si="39"/>
        <v/>
      </c>
      <c r="P78" s="148" t="str">
        <f ca="1">IF(N(O78)&gt;0,VLOOKUP(O78,Hraci!$A$1:$I$1000,2,0),IF(TYPE(INDIRECT(ADDRESS(ROW() + $A$9-8 + (ROW()-11)*4,2,1,1,"Internet")))&gt;1,INDIRECT(ADDRESS(ROW() + $A$9-8 + (ROW()-11)*4,2,1,1,"Internet"))," "))</f>
        <v xml:space="preserve"> </v>
      </c>
      <c r="Q78" s="149" t="str">
        <f ca="1">IF(N(O78)&gt;0,VLOOKUP(O78,Hraci!$A$1:$I$1000,3,0)," ")</f>
        <v xml:space="preserve"> </v>
      </c>
      <c r="R78" s="149" t="str">
        <f ca="1">IF(N(O78)&gt;0,VLOOKUP(O78,Hraci!$A$1:$I$1000,5,0),IF(TYPE(INDIRECT(ADDRESS(ROW() + $A$9-8 + (ROW()-11)*4,3,1,1,"Internet")))&gt;1,INDIRECT(ADDRESS(ROW() + $A$9-8 + (ROW()-11)*4,3,1,1,"Internet"))," "))</f>
        <v xml:space="preserve"> </v>
      </c>
      <c r="S78" s="149">
        <f ca="1">IF(N(O78)=0,9999,VLOOKUP(O78,Hraci!$A$1:$I$1000,8,0))</f>
        <v>9999</v>
      </c>
      <c r="T78" s="150">
        <f ca="1">IF(N(O78)=0,0,VLOOKUP(O78,Hraci!$A$1:$I$1000,9,0))</f>
        <v>0</v>
      </c>
      <c r="U78" s="147" t="str">
        <f t="shared" ca="1" si="40"/>
        <v/>
      </c>
      <c r="V78" s="148" t="str">
        <f ca="1">IF(N(U78)&gt;0,VLOOKUP(U78,Hraci!$A$1:$I$1000,2,0),IF(TYPE(INDIRECT(ADDRESS(ROW() + $A$9-7 + (ROW()-11)*4,2,1,1,"Internet")))&gt;1,INDIRECT(ADDRESS(ROW() + $A$9-7 + (ROW()-11)*4,2,1,1,"Internet"))," "))</f>
        <v xml:space="preserve"> </v>
      </c>
      <c r="W78" s="149" t="str">
        <f ca="1">IF(N(U78)&gt;0,VLOOKUP(U78,Hraci!$A$1:$I$1000,3,0)," ")</f>
        <v xml:space="preserve"> </v>
      </c>
      <c r="X78" s="149" t="str">
        <f ca="1">IF(N(U78)&gt;0,VLOOKUP(U78,Hraci!$A$1:$I$1000,5,0),IF(TYPE(INDIRECT(ADDRESS(ROW() + $A$9-7 + (ROW()-11)*4,3,1,1,"Internet")))&gt;1,INDIRECT(ADDRESS(ROW() + $A$9-7 + (ROW()-11)*4,3,1,1,"Internet"))," "))</f>
        <v xml:space="preserve"> </v>
      </c>
      <c r="Y78" s="149">
        <f ca="1">IF(N(U78)=0,9999,VLOOKUP(U78,Hraci!$A$1:$I$1000,8,0))</f>
        <v>9999</v>
      </c>
      <c r="Z78" s="150">
        <f ca="1">IF(N(U78)=0,0,VLOOKUP(U78,Hraci!$A$1:$I$1000,9,0))</f>
        <v>0</v>
      </c>
      <c r="AA78" s="147" t="str">
        <f t="shared" ca="1" si="41"/>
        <v/>
      </c>
      <c r="AB78" s="148" t="str">
        <f ca="1">IF(N(AA78)&gt;0,VLOOKUP(AA78,Hraci!$A$1:$I$1000,2,0)," ")</f>
        <v xml:space="preserve"> </v>
      </c>
      <c r="AC78" s="149" t="str">
        <f ca="1">IF(N(AA78)&gt;0,VLOOKUP(AA78,Hraci!$A$1:$I$1000,3,0)," ")</f>
        <v xml:space="preserve"> </v>
      </c>
      <c r="AD78" s="149" t="str">
        <f ca="1">IF(N(AA78)&gt;0,VLOOKUP(AA78,Hraci!$A$1:$I$1000,5,0)," ")</f>
        <v xml:space="preserve"> </v>
      </c>
      <c r="AE78" s="149">
        <f ca="1">IF(N(AA78)=0,9999,VLOOKUP(AA78,Hraci!$A$1:$I$1000,8,0))</f>
        <v>9999</v>
      </c>
      <c r="AF78" s="150">
        <f ca="1">IF(N(AA78)=0,0,VLOOKUP(AA78,Hraci!$A$1:$I$1000,9,0))</f>
        <v>0</v>
      </c>
      <c r="AG78" s="147"/>
      <c r="AH78" s="151">
        <f ca="1">IF(TYPE(VLOOKUP(H78,Nasazení!$A$3:$E$130,5,0))&lt;4,VLOOKUP(H78,Nasazení!$A$3:$E$130,5,0),0)</f>
        <v>0</v>
      </c>
      <c r="AI78" s="152" t="str">
        <f ca="1">IF(N($AH78)&gt;0,VLOOKUP($AH78,Body!$A$4:$F$259,5,0),"")</f>
        <v/>
      </c>
      <c r="AJ78" s="153" t="str">
        <f ca="1">IF(N($AH78)&gt;0,VLOOKUP($AH78,Body!$A$4:$F$259,6,0),"")</f>
        <v/>
      </c>
      <c r="AK78" s="152" t="str">
        <f ca="1">IF(N($AH78)&gt;0,VLOOKUP($AH78,Body!$A$4:$F$259,2,0),"")</f>
        <v/>
      </c>
      <c r="AL78" s="154" t="str">
        <f t="shared" ca="1" si="42"/>
        <v/>
      </c>
      <c r="AM78" s="155">
        <f t="shared" ca="1" si="43"/>
        <v>0</v>
      </c>
      <c r="AN78" s="72">
        <f ca="1">IF(OR(TYPE(I78)&gt;1,TYPE(MATCH(I78,I79:I$203,0))&gt;1),0,MATCH(I78,I79:I$203,0))+IF(OR(TYPE(I78)&gt;1,TYPE(MATCH(I78,O$11:O$203,0))&gt;1),0,MATCH(I78,O$11:O$203,0))+IF(OR(TYPE(I78)&gt;1,TYPE(MATCH(I78,U$11:U$203,0))&gt;1),0,MATCH(I78,U$11:U$203,0))+IF(OR(TYPE(I78)&gt;1,TYPE(MATCH(I78,AA$11:AA$203,0))&gt;1),0,MATCH(I78,AA$11:AA$203,0))</f>
        <v>0</v>
      </c>
      <c r="AO78" s="72">
        <f ca="1">IF(OR(TYPE(O78)&gt;1,TYPE(MATCH(O78,I$11:I$203,0))&gt;1),0,MATCH(O78,I$11:I$203,0))+IF(OR(TYPE(O78)&gt;1,TYPE(MATCH(O78,O79:O$203,0))&gt;1),0,MATCH(O78,O79:O$203,0))+IF(OR(TYPE(O78)&gt;1,TYPE(MATCH(O78,U$11:U$203,0))&gt;1),0,MATCH(O78,U$11:U$203,0))+IF(OR(TYPE(O78)&gt;1,TYPE(MATCH(O78,AA$11:AA$203,0))&gt;1),0,MATCH(O78,AA$11:AA$203,0))</f>
        <v>0</v>
      </c>
      <c r="AP78" s="72">
        <f ca="1">IF(OR(TYPE(U78)&gt;1,TYPE(MATCH(U78,I$11:I$203,0))&gt;1),0,MATCH(U78,I$11:I$203,0))+IF(OR(TYPE(U78)&gt;1,TYPE(MATCH(U78,O$11:O$203,0))&gt;1),0,MATCH(U78,O$11:O$203,0))+IF(OR(TYPE(U78)&gt;1,TYPE(MATCH(U78,U79:U$203,0))&gt;1),0,MATCH(U78,U79:U$203,0))+IF(OR(TYPE(U78)&gt;1,TYPE(MATCH(U78,AA$11:AA$203,0))&gt;1),0,MATCH(U78,AA$11:AA$203,0))</f>
        <v>0</v>
      </c>
      <c r="AQ78" s="72">
        <f ca="1">IF(OR(TYPE(AA78)&gt;1,TYPE(MATCH(AA78,I$11:I$203,0))&gt;1),0,MATCH(AA78,I$11:I$203,0))+IF(OR(TYPE(AA78)&gt;1,TYPE(MATCH(AA78,O$11:O$203,0))&gt;1),0,MATCH(AA78,O$11:O$203,0))+IF(OR(TYPE(AA78)&gt;1,TYPE(MATCH(AA78,U$11:U$203,0))&gt;1),0,MATCH(U78,U$11:U$203,0))+IF(OR(TYPE(AA78)&gt;1,TYPE(MATCH(AA78,AA79:AA$203,0))&gt;1),0,MATCH(AA78,AA79:AA$203,0))</f>
        <v>0</v>
      </c>
      <c r="AR78" s="72">
        <f t="shared" ca="1" si="44"/>
        <v>0</v>
      </c>
    </row>
    <row r="79" spans="1:44" ht="14.25">
      <c r="A79" s="103">
        <f t="shared" ca="1" si="30"/>
        <v>0</v>
      </c>
      <c r="B79" s="103">
        <f t="shared" ca="1" si="31"/>
        <v>0</v>
      </c>
      <c r="C79" s="156">
        <f t="shared" ca="1" si="32"/>
        <v>0</v>
      </c>
      <c r="D79" s="103">
        <f t="shared" ca="1" si="33"/>
        <v>99999</v>
      </c>
      <c r="E79" s="103">
        <f t="shared" ca="1" si="34"/>
        <v>9999</v>
      </c>
      <c r="F79" s="104" t="str">
        <f t="shared" ca="1" si="35"/>
        <v>00000000000000000000276827</v>
      </c>
      <c r="G79" s="145">
        <f t="shared" ca="1" si="36"/>
        <v>1</v>
      </c>
      <c r="H79" s="146">
        <f t="shared" si="37"/>
        <v>69</v>
      </c>
      <c r="I79" s="147" t="str">
        <f t="shared" ca="1" si="38"/>
        <v/>
      </c>
      <c r="J79" s="148" t="str">
        <f ca="1">IF(N(I79)&gt;0,VLOOKUP(I79,Hraci!$A$1:$I$1000,2,0),IF(TYPE(INDIRECT(ADDRESS(ROW() + $A$9-9 + (ROW()-11)*4,2,1,1,"Internet")))&gt;1,INDIRECT(ADDRESS(ROW() + $A$9-9 + (ROW()-11)*4,2,1,1,"Internet"))," "))</f>
        <v xml:space="preserve"> </v>
      </c>
      <c r="K79" s="149" t="str">
        <f ca="1">IF(N(I79)&gt;0,VLOOKUP(I79,Hraci!$A$1:$I$1000,3,0)," ")</f>
        <v xml:space="preserve"> </v>
      </c>
      <c r="L79" s="149" t="str">
        <f ca="1">IF(N(I79)&gt;0,VLOOKUP(I79,Hraci!$A$1:$I$1000,5,0),IF(TYPE(INDIRECT(ADDRESS(ROW() + $A$9-9 + (ROW()-11)*4,3,1,1,"Internet")))&gt;1,INDIRECT(ADDRESS(ROW() + $A$9-9 + (ROW()-11)*4,3,1,1,"Internet"))," "))</f>
        <v xml:space="preserve"> </v>
      </c>
      <c r="M79" s="149">
        <f ca="1">IF(N(I79)=0,9999,VLOOKUP(I79,Hraci!$A$1:$I$1000,8,0))</f>
        <v>9999</v>
      </c>
      <c r="N79" s="150">
        <f ca="1">IF(N(I79)=0,0,VLOOKUP(I79,Hraci!$A$1:$I$1000,9,0))</f>
        <v>0</v>
      </c>
      <c r="O79" s="147" t="str">
        <f t="shared" ca="1" si="39"/>
        <v/>
      </c>
      <c r="P79" s="148" t="str">
        <f ca="1">IF(N(O79)&gt;0,VLOOKUP(O79,Hraci!$A$1:$I$1000,2,0),IF(TYPE(INDIRECT(ADDRESS(ROW() + $A$9-8 + (ROW()-11)*4,2,1,1,"Internet")))&gt;1,INDIRECT(ADDRESS(ROW() + $A$9-8 + (ROW()-11)*4,2,1,1,"Internet"))," "))</f>
        <v xml:space="preserve"> </v>
      </c>
      <c r="Q79" s="149" t="str">
        <f ca="1">IF(N(O79)&gt;0,VLOOKUP(O79,Hraci!$A$1:$I$1000,3,0)," ")</f>
        <v xml:space="preserve"> </v>
      </c>
      <c r="R79" s="149" t="str">
        <f ca="1">IF(N(O79)&gt;0,VLOOKUP(O79,Hraci!$A$1:$I$1000,5,0),IF(TYPE(INDIRECT(ADDRESS(ROW() + $A$9-8 + (ROW()-11)*4,3,1,1,"Internet")))&gt;1,INDIRECT(ADDRESS(ROW() + $A$9-8 + (ROW()-11)*4,3,1,1,"Internet"))," "))</f>
        <v xml:space="preserve"> </v>
      </c>
      <c r="S79" s="149">
        <f ca="1">IF(N(O79)=0,9999,VLOOKUP(O79,Hraci!$A$1:$I$1000,8,0))</f>
        <v>9999</v>
      </c>
      <c r="T79" s="150">
        <f ca="1">IF(N(O79)=0,0,VLOOKUP(O79,Hraci!$A$1:$I$1000,9,0))</f>
        <v>0</v>
      </c>
      <c r="U79" s="147" t="str">
        <f t="shared" ca="1" si="40"/>
        <v/>
      </c>
      <c r="V79" s="148" t="str">
        <f ca="1">IF(N(U79)&gt;0,VLOOKUP(U79,Hraci!$A$1:$I$1000,2,0),IF(TYPE(INDIRECT(ADDRESS(ROW() + $A$9-7 + (ROW()-11)*4,2,1,1,"Internet")))&gt;1,INDIRECT(ADDRESS(ROW() + $A$9-7 + (ROW()-11)*4,2,1,1,"Internet"))," "))</f>
        <v xml:space="preserve"> </v>
      </c>
      <c r="W79" s="149" t="str">
        <f ca="1">IF(N(U79)&gt;0,VLOOKUP(U79,Hraci!$A$1:$I$1000,3,0)," ")</f>
        <v xml:space="preserve"> </v>
      </c>
      <c r="X79" s="149" t="str">
        <f ca="1">IF(N(U79)&gt;0,VLOOKUP(U79,Hraci!$A$1:$I$1000,5,0),IF(TYPE(INDIRECT(ADDRESS(ROW() + $A$9-7 + (ROW()-11)*4,3,1,1,"Internet")))&gt;1,INDIRECT(ADDRESS(ROW() + $A$9-7 + (ROW()-11)*4,3,1,1,"Internet"))," "))</f>
        <v xml:space="preserve"> </v>
      </c>
      <c r="Y79" s="149">
        <f ca="1">IF(N(U79)=0,9999,VLOOKUP(U79,Hraci!$A$1:$I$1000,8,0))</f>
        <v>9999</v>
      </c>
      <c r="Z79" s="150">
        <f ca="1">IF(N(U79)=0,0,VLOOKUP(U79,Hraci!$A$1:$I$1000,9,0))</f>
        <v>0</v>
      </c>
      <c r="AA79" s="147" t="str">
        <f t="shared" ca="1" si="41"/>
        <v/>
      </c>
      <c r="AB79" s="148" t="str">
        <f ca="1">IF(N(AA79)&gt;0,VLOOKUP(AA79,Hraci!$A$1:$I$1000,2,0)," ")</f>
        <v xml:space="preserve"> </v>
      </c>
      <c r="AC79" s="149" t="str">
        <f ca="1">IF(N(AA79)&gt;0,VLOOKUP(AA79,Hraci!$A$1:$I$1000,3,0)," ")</f>
        <v xml:space="preserve"> </v>
      </c>
      <c r="AD79" s="149" t="str">
        <f ca="1">IF(N(AA79)&gt;0,VLOOKUP(AA79,Hraci!$A$1:$I$1000,5,0)," ")</f>
        <v xml:space="preserve"> </v>
      </c>
      <c r="AE79" s="149">
        <f ca="1">IF(N(AA79)=0,9999,VLOOKUP(AA79,Hraci!$A$1:$I$1000,8,0))</f>
        <v>9999</v>
      </c>
      <c r="AF79" s="150">
        <f ca="1">IF(N(AA79)=0,0,VLOOKUP(AA79,Hraci!$A$1:$I$1000,9,0))</f>
        <v>0</v>
      </c>
      <c r="AG79" s="147"/>
      <c r="AH79" s="151">
        <f ca="1">IF(TYPE(VLOOKUP(H79,Nasazení!$A$3:$E$130,5,0))&lt;4,VLOOKUP(H79,Nasazení!$A$3:$E$130,5,0),0)</f>
        <v>0</v>
      </c>
      <c r="AI79" s="152" t="str">
        <f ca="1">IF(N($AH79)&gt;0,VLOOKUP($AH79,Body!$A$4:$F$259,5,0),"")</f>
        <v/>
      </c>
      <c r="AJ79" s="153" t="str">
        <f ca="1">IF(N($AH79)&gt;0,VLOOKUP($AH79,Body!$A$4:$F$259,6,0),"")</f>
        <v/>
      </c>
      <c r="AK79" s="152" t="str">
        <f ca="1">IF(N($AH79)&gt;0,VLOOKUP($AH79,Body!$A$4:$F$259,2,0),"")</f>
        <v/>
      </c>
      <c r="AL79" s="154" t="str">
        <f t="shared" ca="1" si="42"/>
        <v/>
      </c>
      <c r="AM79" s="155">
        <f t="shared" ca="1" si="43"/>
        <v>0</v>
      </c>
      <c r="AN79" s="72">
        <f ca="1">IF(OR(TYPE(I79)&gt;1,TYPE(MATCH(I79,I80:I$203,0))&gt;1),0,MATCH(I79,I80:I$203,0))+IF(OR(TYPE(I79)&gt;1,TYPE(MATCH(I79,O$11:O$203,0))&gt;1),0,MATCH(I79,O$11:O$203,0))+IF(OR(TYPE(I79)&gt;1,TYPE(MATCH(I79,U$11:U$203,0))&gt;1),0,MATCH(I79,U$11:U$203,0))+IF(OR(TYPE(I79)&gt;1,TYPE(MATCH(I79,AA$11:AA$203,0))&gt;1),0,MATCH(I79,AA$11:AA$203,0))</f>
        <v>0</v>
      </c>
      <c r="AO79" s="72">
        <f ca="1">IF(OR(TYPE(O79)&gt;1,TYPE(MATCH(O79,I$11:I$203,0))&gt;1),0,MATCH(O79,I$11:I$203,0))+IF(OR(TYPE(O79)&gt;1,TYPE(MATCH(O79,O80:O$203,0))&gt;1),0,MATCH(O79,O80:O$203,0))+IF(OR(TYPE(O79)&gt;1,TYPE(MATCH(O79,U$11:U$203,0))&gt;1),0,MATCH(O79,U$11:U$203,0))+IF(OR(TYPE(O79)&gt;1,TYPE(MATCH(O79,AA$11:AA$203,0))&gt;1),0,MATCH(O79,AA$11:AA$203,0))</f>
        <v>0</v>
      </c>
      <c r="AP79" s="72">
        <f ca="1">IF(OR(TYPE(U79)&gt;1,TYPE(MATCH(U79,I$11:I$203,0))&gt;1),0,MATCH(U79,I$11:I$203,0))+IF(OR(TYPE(U79)&gt;1,TYPE(MATCH(U79,O$11:O$203,0))&gt;1),0,MATCH(U79,O$11:O$203,0))+IF(OR(TYPE(U79)&gt;1,TYPE(MATCH(U79,U80:U$203,0))&gt;1),0,MATCH(U79,U80:U$203,0))+IF(OR(TYPE(U79)&gt;1,TYPE(MATCH(U79,AA$11:AA$203,0))&gt;1),0,MATCH(U79,AA$11:AA$203,0))</f>
        <v>0</v>
      </c>
      <c r="AQ79" s="72">
        <f ca="1">IF(OR(TYPE(AA79)&gt;1,TYPE(MATCH(AA79,I$11:I$203,0))&gt;1),0,MATCH(AA79,I$11:I$203,0))+IF(OR(TYPE(AA79)&gt;1,TYPE(MATCH(AA79,O$11:O$203,0))&gt;1),0,MATCH(AA79,O$11:O$203,0))+IF(OR(TYPE(AA79)&gt;1,TYPE(MATCH(AA79,U$11:U$203,0))&gt;1),0,MATCH(U79,U$11:U$203,0))+IF(OR(TYPE(AA79)&gt;1,TYPE(MATCH(AA79,AA80:AA$203,0))&gt;1),0,MATCH(AA79,AA80:AA$203,0))</f>
        <v>0</v>
      </c>
      <c r="AR79" s="72">
        <f t="shared" ca="1" si="44"/>
        <v>0</v>
      </c>
    </row>
    <row r="80" spans="1:44" ht="14.25">
      <c r="A80" s="103">
        <f t="shared" ca="1" si="30"/>
        <v>0</v>
      </c>
      <c r="B80" s="103">
        <f t="shared" ca="1" si="31"/>
        <v>0</v>
      </c>
      <c r="C80" s="156">
        <f t="shared" ca="1" si="32"/>
        <v>0</v>
      </c>
      <c r="D80" s="103">
        <f t="shared" ca="1" si="33"/>
        <v>99999</v>
      </c>
      <c r="E80" s="103">
        <f t="shared" ca="1" si="34"/>
        <v>9999</v>
      </c>
      <c r="F80" s="104" t="str">
        <f t="shared" ca="1" si="35"/>
        <v>00000000000000000000838498</v>
      </c>
      <c r="G80" s="145">
        <f t="shared" ca="1" si="36"/>
        <v>1</v>
      </c>
      <c r="H80" s="146">
        <f t="shared" si="37"/>
        <v>70</v>
      </c>
      <c r="I80" s="147" t="str">
        <f t="shared" ca="1" si="38"/>
        <v/>
      </c>
      <c r="J80" s="148" t="str">
        <f ca="1">IF(N(I80)&gt;0,VLOOKUP(I80,Hraci!$A$1:$I$1000,2,0),IF(TYPE(INDIRECT(ADDRESS(ROW() + $A$9-9 + (ROW()-11)*4,2,1,1,"Internet")))&gt;1,INDIRECT(ADDRESS(ROW() + $A$9-9 + (ROW()-11)*4,2,1,1,"Internet"))," "))</f>
        <v xml:space="preserve"> </v>
      </c>
      <c r="K80" s="149" t="str">
        <f ca="1">IF(N(I80)&gt;0,VLOOKUP(I80,Hraci!$A$1:$I$1000,3,0)," ")</f>
        <v xml:space="preserve"> </v>
      </c>
      <c r="L80" s="149" t="str">
        <f ca="1">IF(N(I80)&gt;0,VLOOKUP(I80,Hraci!$A$1:$I$1000,5,0),IF(TYPE(INDIRECT(ADDRESS(ROW() + $A$9-9 + (ROW()-11)*4,3,1,1,"Internet")))&gt;1,INDIRECT(ADDRESS(ROW() + $A$9-9 + (ROW()-11)*4,3,1,1,"Internet"))," "))</f>
        <v xml:space="preserve"> </v>
      </c>
      <c r="M80" s="149">
        <f ca="1">IF(N(I80)=0,9999,VLOOKUP(I80,Hraci!$A$1:$I$1000,8,0))</f>
        <v>9999</v>
      </c>
      <c r="N80" s="150">
        <f ca="1">IF(N(I80)=0,0,VLOOKUP(I80,Hraci!$A$1:$I$1000,9,0))</f>
        <v>0</v>
      </c>
      <c r="O80" s="147" t="str">
        <f t="shared" ca="1" si="39"/>
        <v/>
      </c>
      <c r="P80" s="148" t="str">
        <f ca="1">IF(N(O80)&gt;0,VLOOKUP(O80,Hraci!$A$1:$I$1000,2,0),IF(TYPE(INDIRECT(ADDRESS(ROW() + $A$9-8 + (ROW()-11)*4,2,1,1,"Internet")))&gt;1,INDIRECT(ADDRESS(ROW() + $A$9-8 + (ROW()-11)*4,2,1,1,"Internet"))," "))</f>
        <v xml:space="preserve"> </v>
      </c>
      <c r="Q80" s="149" t="str">
        <f ca="1">IF(N(O80)&gt;0,VLOOKUP(O80,Hraci!$A$1:$I$1000,3,0)," ")</f>
        <v xml:space="preserve"> </v>
      </c>
      <c r="R80" s="149" t="str">
        <f ca="1">IF(N(O80)&gt;0,VLOOKUP(O80,Hraci!$A$1:$I$1000,5,0),IF(TYPE(INDIRECT(ADDRESS(ROW() + $A$9-8 + (ROW()-11)*4,3,1,1,"Internet")))&gt;1,INDIRECT(ADDRESS(ROW() + $A$9-8 + (ROW()-11)*4,3,1,1,"Internet"))," "))</f>
        <v xml:space="preserve"> </v>
      </c>
      <c r="S80" s="149">
        <f ca="1">IF(N(O80)=0,9999,VLOOKUP(O80,Hraci!$A$1:$I$1000,8,0))</f>
        <v>9999</v>
      </c>
      <c r="T80" s="150">
        <f ca="1">IF(N(O80)=0,0,VLOOKUP(O80,Hraci!$A$1:$I$1000,9,0))</f>
        <v>0</v>
      </c>
      <c r="U80" s="147" t="str">
        <f t="shared" ca="1" si="40"/>
        <v/>
      </c>
      <c r="V80" s="148" t="str">
        <f ca="1">IF(N(U80)&gt;0,VLOOKUP(U80,Hraci!$A$1:$I$1000,2,0),IF(TYPE(INDIRECT(ADDRESS(ROW() + $A$9-7 + (ROW()-11)*4,2,1,1,"Internet")))&gt;1,INDIRECT(ADDRESS(ROW() + $A$9-7 + (ROW()-11)*4,2,1,1,"Internet"))," "))</f>
        <v xml:space="preserve"> </v>
      </c>
      <c r="W80" s="149" t="str">
        <f ca="1">IF(N(U80)&gt;0,VLOOKUP(U80,Hraci!$A$1:$I$1000,3,0)," ")</f>
        <v xml:space="preserve"> </v>
      </c>
      <c r="X80" s="149" t="str">
        <f ca="1">IF(N(U80)&gt;0,VLOOKUP(U80,Hraci!$A$1:$I$1000,5,0),IF(TYPE(INDIRECT(ADDRESS(ROW() + $A$9-7 + (ROW()-11)*4,3,1,1,"Internet")))&gt;1,INDIRECT(ADDRESS(ROW() + $A$9-7 + (ROW()-11)*4,3,1,1,"Internet"))," "))</f>
        <v xml:space="preserve"> </v>
      </c>
      <c r="Y80" s="149">
        <f ca="1">IF(N(U80)=0,9999,VLOOKUP(U80,Hraci!$A$1:$I$1000,8,0))</f>
        <v>9999</v>
      </c>
      <c r="Z80" s="150">
        <f ca="1">IF(N(U80)=0,0,VLOOKUP(U80,Hraci!$A$1:$I$1000,9,0))</f>
        <v>0</v>
      </c>
      <c r="AA80" s="147" t="str">
        <f t="shared" ca="1" si="41"/>
        <v/>
      </c>
      <c r="AB80" s="148" t="str">
        <f ca="1">IF(N(AA80)&gt;0,VLOOKUP(AA80,Hraci!$A$1:$I$1000,2,0)," ")</f>
        <v xml:space="preserve"> </v>
      </c>
      <c r="AC80" s="149" t="str">
        <f ca="1">IF(N(AA80)&gt;0,VLOOKUP(AA80,Hraci!$A$1:$I$1000,3,0)," ")</f>
        <v xml:space="preserve"> </v>
      </c>
      <c r="AD80" s="149" t="str">
        <f ca="1">IF(N(AA80)&gt;0,VLOOKUP(AA80,Hraci!$A$1:$I$1000,5,0)," ")</f>
        <v xml:space="preserve"> </v>
      </c>
      <c r="AE80" s="149">
        <f ca="1">IF(N(AA80)=0,9999,VLOOKUP(AA80,Hraci!$A$1:$I$1000,8,0))</f>
        <v>9999</v>
      </c>
      <c r="AF80" s="150">
        <f ca="1">IF(N(AA80)=0,0,VLOOKUP(AA80,Hraci!$A$1:$I$1000,9,0))</f>
        <v>0</v>
      </c>
      <c r="AG80" s="147"/>
      <c r="AH80" s="151">
        <f ca="1">IF(TYPE(VLOOKUP(H80,Nasazení!$A$3:$E$130,5,0))&lt;4,VLOOKUP(H80,Nasazení!$A$3:$E$130,5,0),0)</f>
        <v>0</v>
      </c>
      <c r="AI80" s="152" t="str">
        <f ca="1">IF(N($AH80)&gt;0,VLOOKUP($AH80,Body!$A$4:$F$259,5,0),"")</f>
        <v/>
      </c>
      <c r="AJ80" s="153" t="str">
        <f ca="1">IF(N($AH80)&gt;0,VLOOKUP($AH80,Body!$A$4:$F$259,6,0),"")</f>
        <v/>
      </c>
      <c r="AK80" s="152" t="str">
        <f ca="1">IF(N($AH80)&gt;0,VLOOKUP($AH80,Body!$A$4:$F$259,2,0),"")</f>
        <v/>
      </c>
      <c r="AL80" s="154" t="str">
        <f t="shared" ca="1" si="42"/>
        <v/>
      </c>
      <c r="AM80" s="155">
        <f t="shared" ca="1" si="43"/>
        <v>0</v>
      </c>
      <c r="AN80" s="72">
        <f ca="1">IF(OR(TYPE(I80)&gt;1,TYPE(MATCH(I80,I81:I$203,0))&gt;1),0,MATCH(I80,I81:I$203,0))+IF(OR(TYPE(I80)&gt;1,TYPE(MATCH(I80,O$11:O$203,0))&gt;1),0,MATCH(I80,O$11:O$203,0))+IF(OR(TYPE(I80)&gt;1,TYPE(MATCH(I80,U$11:U$203,0))&gt;1),0,MATCH(I80,U$11:U$203,0))+IF(OR(TYPE(I80)&gt;1,TYPE(MATCH(I80,AA$11:AA$203,0))&gt;1),0,MATCH(I80,AA$11:AA$203,0))</f>
        <v>0</v>
      </c>
      <c r="AO80" s="72">
        <f ca="1">IF(OR(TYPE(O80)&gt;1,TYPE(MATCH(O80,I$11:I$203,0))&gt;1),0,MATCH(O80,I$11:I$203,0))+IF(OR(TYPE(O80)&gt;1,TYPE(MATCH(O80,O81:O$203,0))&gt;1),0,MATCH(O80,O81:O$203,0))+IF(OR(TYPE(O80)&gt;1,TYPE(MATCH(O80,U$11:U$203,0))&gt;1),0,MATCH(O80,U$11:U$203,0))+IF(OR(TYPE(O80)&gt;1,TYPE(MATCH(O80,AA$11:AA$203,0))&gt;1),0,MATCH(O80,AA$11:AA$203,0))</f>
        <v>0</v>
      </c>
      <c r="AP80" s="72">
        <f ca="1">IF(OR(TYPE(U80)&gt;1,TYPE(MATCH(U80,I$11:I$203,0))&gt;1),0,MATCH(U80,I$11:I$203,0))+IF(OR(TYPE(U80)&gt;1,TYPE(MATCH(U80,O$11:O$203,0))&gt;1),0,MATCH(U80,O$11:O$203,0))+IF(OR(TYPE(U80)&gt;1,TYPE(MATCH(U80,U81:U$203,0))&gt;1),0,MATCH(U80,U81:U$203,0))+IF(OR(TYPE(U80)&gt;1,TYPE(MATCH(U80,AA$11:AA$203,0))&gt;1),0,MATCH(U80,AA$11:AA$203,0))</f>
        <v>0</v>
      </c>
      <c r="AQ80" s="72">
        <f ca="1">IF(OR(TYPE(AA80)&gt;1,TYPE(MATCH(AA80,I$11:I$203,0))&gt;1),0,MATCH(AA80,I$11:I$203,0))+IF(OR(TYPE(AA80)&gt;1,TYPE(MATCH(AA80,O$11:O$203,0))&gt;1),0,MATCH(AA80,O$11:O$203,0))+IF(OR(TYPE(AA80)&gt;1,TYPE(MATCH(AA80,U$11:U$203,0))&gt;1),0,MATCH(U80,U$11:U$203,0))+IF(OR(TYPE(AA80)&gt;1,TYPE(MATCH(AA80,AA81:AA$203,0))&gt;1),0,MATCH(AA80,AA81:AA$203,0))</f>
        <v>0</v>
      </c>
      <c r="AR80" s="72">
        <f t="shared" ca="1" si="44"/>
        <v>0</v>
      </c>
    </row>
    <row r="81" spans="1:44" ht="14.25">
      <c r="A81" s="103">
        <f t="shared" ca="1" si="30"/>
        <v>0</v>
      </c>
      <c r="B81" s="103">
        <f t="shared" ca="1" si="31"/>
        <v>0</v>
      </c>
      <c r="C81" s="156">
        <f t="shared" ca="1" si="32"/>
        <v>0</v>
      </c>
      <c r="D81" s="103">
        <f t="shared" ca="1" si="33"/>
        <v>99999</v>
      </c>
      <c r="E81" s="103">
        <f t="shared" ca="1" si="34"/>
        <v>9999</v>
      </c>
      <c r="F81" s="104" t="str">
        <f t="shared" ca="1" si="35"/>
        <v>00000000000000000000856660</v>
      </c>
      <c r="G81" s="145">
        <f t="shared" ca="1" si="36"/>
        <v>1</v>
      </c>
      <c r="H81" s="146">
        <f t="shared" si="37"/>
        <v>71</v>
      </c>
      <c r="I81" s="147" t="str">
        <f t="shared" ca="1" si="38"/>
        <v/>
      </c>
      <c r="J81" s="148" t="str">
        <f ca="1">IF(N(I81)&gt;0,VLOOKUP(I81,Hraci!$A$1:$I$1000,2,0),IF(TYPE(INDIRECT(ADDRESS(ROW() + $A$9-9 + (ROW()-11)*4,2,1,1,"Internet")))&gt;1,INDIRECT(ADDRESS(ROW() + $A$9-9 + (ROW()-11)*4,2,1,1,"Internet"))," "))</f>
        <v xml:space="preserve"> </v>
      </c>
      <c r="K81" s="149" t="str">
        <f ca="1">IF(N(I81)&gt;0,VLOOKUP(I81,Hraci!$A$1:$I$1000,3,0)," ")</f>
        <v xml:space="preserve"> </v>
      </c>
      <c r="L81" s="149" t="str">
        <f ca="1">IF(N(I81)&gt;0,VLOOKUP(I81,Hraci!$A$1:$I$1000,5,0),IF(TYPE(INDIRECT(ADDRESS(ROW() + $A$9-9 + (ROW()-11)*4,3,1,1,"Internet")))&gt;1,INDIRECT(ADDRESS(ROW() + $A$9-9 + (ROW()-11)*4,3,1,1,"Internet"))," "))</f>
        <v xml:space="preserve"> </v>
      </c>
      <c r="M81" s="149">
        <f ca="1">IF(N(I81)=0,9999,VLOOKUP(I81,Hraci!$A$1:$I$1000,8,0))</f>
        <v>9999</v>
      </c>
      <c r="N81" s="150">
        <f ca="1">IF(N(I81)=0,0,VLOOKUP(I81,Hraci!$A$1:$I$1000,9,0))</f>
        <v>0</v>
      </c>
      <c r="O81" s="147" t="str">
        <f t="shared" ca="1" si="39"/>
        <v/>
      </c>
      <c r="P81" s="148" t="str">
        <f ca="1">IF(N(O81)&gt;0,VLOOKUP(O81,Hraci!$A$1:$I$1000,2,0),IF(TYPE(INDIRECT(ADDRESS(ROW() + $A$9-8 + (ROW()-11)*4,2,1,1,"Internet")))&gt;1,INDIRECT(ADDRESS(ROW() + $A$9-8 + (ROW()-11)*4,2,1,1,"Internet"))," "))</f>
        <v xml:space="preserve"> </v>
      </c>
      <c r="Q81" s="149" t="str">
        <f ca="1">IF(N(O81)&gt;0,VLOOKUP(O81,Hraci!$A$1:$I$1000,3,0)," ")</f>
        <v xml:space="preserve"> </v>
      </c>
      <c r="R81" s="149" t="str">
        <f ca="1">IF(N(O81)&gt;0,VLOOKUP(O81,Hraci!$A$1:$I$1000,5,0),IF(TYPE(INDIRECT(ADDRESS(ROW() + $A$9-8 + (ROW()-11)*4,3,1,1,"Internet")))&gt;1,INDIRECT(ADDRESS(ROW() + $A$9-8 + (ROW()-11)*4,3,1,1,"Internet"))," "))</f>
        <v xml:space="preserve"> </v>
      </c>
      <c r="S81" s="149">
        <f ca="1">IF(N(O81)=0,9999,VLOOKUP(O81,Hraci!$A$1:$I$1000,8,0))</f>
        <v>9999</v>
      </c>
      <c r="T81" s="150">
        <f ca="1">IF(N(O81)=0,0,VLOOKUP(O81,Hraci!$A$1:$I$1000,9,0))</f>
        <v>0</v>
      </c>
      <c r="U81" s="147" t="str">
        <f t="shared" ca="1" si="40"/>
        <v/>
      </c>
      <c r="V81" s="148" t="str">
        <f ca="1">IF(N(U81)&gt;0,VLOOKUP(U81,Hraci!$A$1:$I$1000,2,0),IF(TYPE(INDIRECT(ADDRESS(ROW() + $A$9-7 + (ROW()-11)*4,2,1,1,"Internet")))&gt;1,INDIRECT(ADDRESS(ROW() + $A$9-7 + (ROW()-11)*4,2,1,1,"Internet"))," "))</f>
        <v xml:space="preserve"> </v>
      </c>
      <c r="W81" s="149" t="str">
        <f ca="1">IF(N(U81)&gt;0,VLOOKUP(U81,Hraci!$A$1:$I$1000,3,0)," ")</f>
        <v xml:space="preserve"> </v>
      </c>
      <c r="X81" s="149" t="str">
        <f ca="1">IF(N(U81)&gt;0,VLOOKUP(U81,Hraci!$A$1:$I$1000,5,0),IF(TYPE(INDIRECT(ADDRESS(ROW() + $A$9-7 + (ROW()-11)*4,3,1,1,"Internet")))&gt;1,INDIRECT(ADDRESS(ROW() + $A$9-7 + (ROW()-11)*4,3,1,1,"Internet"))," "))</f>
        <v xml:space="preserve"> </v>
      </c>
      <c r="Y81" s="149">
        <f ca="1">IF(N(U81)=0,9999,VLOOKUP(U81,Hraci!$A$1:$I$1000,8,0))</f>
        <v>9999</v>
      </c>
      <c r="Z81" s="150">
        <f ca="1">IF(N(U81)=0,0,VLOOKUP(U81,Hraci!$A$1:$I$1000,9,0))</f>
        <v>0</v>
      </c>
      <c r="AA81" s="147" t="str">
        <f t="shared" ca="1" si="41"/>
        <v/>
      </c>
      <c r="AB81" s="148" t="str">
        <f ca="1">IF(N(AA81)&gt;0,VLOOKUP(AA81,Hraci!$A$1:$I$1000,2,0)," ")</f>
        <v xml:space="preserve"> </v>
      </c>
      <c r="AC81" s="149" t="str">
        <f ca="1">IF(N(AA81)&gt;0,VLOOKUP(AA81,Hraci!$A$1:$I$1000,3,0)," ")</f>
        <v xml:space="preserve"> </v>
      </c>
      <c r="AD81" s="149" t="str">
        <f ca="1">IF(N(AA81)&gt;0,VLOOKUP(AA81,Hraci!$A$1:$I$1000,5,0)," ")</f>
        <v xml:space="preserve"> </v>
      </c>
      <c r="AE81" s="149">
        <f ca="1">IF(N(AA81)=0,9999,VLOOKUP(AA81,Hraci!$A$1:$I$1000,8,0))</f>
        <v>9999</v>
      </c>
      <c r="AF81" s="150">
        <f ca="1">IF(N(AA81)=0,0,VLOOKUP(AA81,Hraci!$A$1:$I$1000,9,0))</f>
        <v>0</v>
      </c>
      <c r="AG81" s="147"/>
      <c r="AH81" s="151">
        <f ca="1">IF(TYPE(VLOOKUP(H81,Nasazení!$A$3:$E$130,5,0))&lt;4,VLOOKUP(H81,Nasazení!$A$3:$E$130,5,0),0)</f>
        <v>0</v>
      </c>
      <c r="AI81" s="152" t="str">
        <f ca="1">IF(N($AH81)&gt;0,VLOOKUP($AH81,Body!$A$4:$F$259,5,0),"")</f>
        <v/>
      </c>
      <c r="AJ81" s="153" t="str">
        <f ca="1">IF(N($AH81)&gt;0,VLOOKUP($AH81,Body!$A$4:$F$259,6,0),"")</f>
        <v/>
      </c>
      <c r="AK81" s="152" t="str">
        <f ca="1">IF(N($AH81)&gt;0,VLOOKUP($AH81,Body!$A$4:$F$259,2,0),"")</f>
        <v/>
      </c>
      <c r="AL81" s="154" t="str">
        <f t="shared" ca="1" si="42"/>
        <v/>
      </c>
      <c r="AM81" s="155">
        <f t="shared" ca="1" si="43"/>
        <v>0</v>
      </c>
      <c r="AN81" s="72">
        <f ca="1">IF(OR(TYPE(I81)&gt;1,TYPE(MATCH(I81,I82:I$203,0))&gt;1),0,MATCH(I81,I82:I$203,0))+IF(OR(TYPE(I81)&gt;1,TYPE(MATCH(I81,O$11:O$203,0))&gt;1),0,MATCH(I81,O$11:O$203,0))+IF(OR(TYPE(I81)&gt;1,TYPE(MATCH(I81,U$11:U$203,0))&gt;1),0,MATCH(I81,U$11:U$203,0))+IF(OR(TYPE(I81)&gt;1,TYPE(MATCH(I81,AA$11:AA$203,0))&gt;1),0,MATCH(I81,AA$11:AA$203,0))</f>
        <v>0</v>
      </c>
      <c r="AO81" s="72">
        <f ca="1">IF(OR(TYPE(O81)&gt;1,TYPE(MATCH(O81,I$11:I$203,0))&gt;1),0,MATCH(O81,I$11:I$203,0))+IF(OR(TYPE(O81)&gt;1,TYPE(MATCH(O81,O82:O$203,0))&gt;1),0,MATCH(O81,O82:O$203,0))+IF(OR(TYPE(O81)&gt;1,TYPE(MATCH(O81,U$11:U$203,0))&gt;1),0,MATCH(O81,U$11:U$203,0))+IF(OR(TYPE(O81)&gt;1,TYPE(MATCH(O81,AA$11:AA$203,0))&gt;1),0,MATCH(O81,AA$11:AA$203,0))</f>
        <v>0</v>
      </c>
      <c r="AP81" s="72">
        <f ca="1">IF(OR(TYPE(U81)&gt;1,TYPE(MATCH(U81,I$11:I$203,0))&gt;1),0,MATCH(U81,I$11:I$203,0))+IF(OR(TYPE(U81)&gt;1,TYPE(MATCH(U81,O$11:O$203,0))&gt;1),0,MATCH(U81,O$11:O$203,0))+IF(OR(TYPE(U81)&gt;1,TYPE(MATCH(U81,U82:U$203,0))&gt;1),0,MATCH(U81,U82:U$203,0))+IF(OR(TYPE(U81)&gt;1,TYPE(MATCH(U81,AA$11:AA$203,0))&gt;1),0,MATCH(U81,AA$11:AA$203,0))</f>
        <v>0</v>
      </c>
      <c r="AQ81" s="72">
        <f ca="1">IF(OR(TYPE(AA81)&gt;1,TYPE(MATCH(AA81,I$11:I$203,0))&gt;1),0,MATCH(AA81,I$11:I$203,0))+IF(OR(TYPE(AA81)&gt;1,TYPE(MATCH(AA81,O$11:O$203,0))&gt;1),0,MATCH(AA81,O$11:O$203,0))+IF(OR(TYPE(AA81)&gt;1,TYPE(MATCH(AA81,U$11:U$203,0))&gt;1),0,MATCH(U81,U$11:U$203,0))+IF(OR(TYPE(AA81)&gt;1,TYPE(MATCH(AA81,AA82:AA$203,0))&gt;1),0,MATCH(AA81,AA82:AA$203,0))</f>
        <v>0</v>
      </c>
      <c r="AR81" s="72">
        <f t="shared" ca="1" si="44"/>
        <v>0</v>
      </c>
    </row>
    <row r="82" spans="1:44" ht="14.25">
      <c r="A82" s="103">
        <f t="shared" ca="1" si="30"/>
        <v>0</v>
      </c>
      <c r="B82" s="103">
        <f t="shared" ca="1" si="31"/>
        <v>0</v>
      </c>
      <c r="C82" s="156">
        <f t="shared" ca="1" si="32"/>
        <v>0</v>
      </c>
      <c r="D82" s="103">
        <f t="shared" ca="1" si="33"/>
        <v>99999</v>
      </c>
      <c r="E82" s="103">
        <f t="shared" ca="1" si="34"/>
        <v>9999</v>
      </c>
      <c r="F82" s="104" t="str">
        <f t="shared" ca="1" si="35"/>
        <v>00000000000000000000877948</v>
      </c>
      <c r="G82" s="145">
        <f t="shared" ca="1" si="36"/>
        <v>1</v>
      </c>
      <c r="H82" s="146">
        <f t="shared" si="37"/>
        <v>72</v>
      </c>
      <c r="I82" s="147" t="str">
        <f t="shared" ca="1" si="38"/>
        <v/>
      </c>
      <c r="J82" s="148" t="str">
        <f ca="1">IF(N(I82)&gt;0,VLOOKUP(I82,Hraci!$A$1:$I$1000,2,0),IF(TYPE(INDIRECT(ADDRESS(ROW() + $A$9-9 + (ROW()-11)*4,2,1,1,"Internet")))&gt;1,INDIRECT(ADDRESS(ROW() + $A$9-9 + (ROW()-11)*4,2,1,1,"Internet"))," "))</f>
        <v xml:space="preserve"> </v>
      </c>
      <c r="K82" s="149" t="str">
        <f ca="1">IF(N(I82)&gt;0,VLOOKUP(I82,Hraci!$A$1:$I$1000,3,0)," ")</f>
        <v xml:space="preserve"> </v>
      </c>
      <c r="L82" s="149" t="str">
        <f ca="1">IF(N(I82)&gt;0,VLOOKUP(I82,Hraci!$A$1:$I$1000,5,0),IF(TYPE(INDIRECT(ADDRESS(ROW() + $A$9-9 + (ROW()-11)*4,3,1,1,"Internet")))&gt;1,INDIRECT(ADDRESS(ROW() + $A$9-9 + (ROW()-11)*4,3,1,1,"Internet"))," "))</f>
        <v xml:space="preserve"> </v>
      </c>
      <c r="M82" s="149">
        <f ca="1">IF(N(I82)=0,9999,VLOOKUP(I82,Hraci!$A$1:$I$1000,8,0))</f>
        <v>9999</v>
      </c>
      <c r="N82" s="150">
        <f ca="1">IF(N(I82)=0,0,VLOOKUP(I82,Hraci!$A$1:$I$1000,9,0))</f>
        <v>0</v>
      </c>
      <c r="O82" s="147" t="str">
        <f t="shared" ca="1" si="39"/>
        <v/>
      </c>
      <c r="P82" s="148" t="str">
        <f ca="1">IF(N(O82)&gt;0,VLOOKUP(O82,Hraci!$A$1:$I$1000,2,0),IF(TYPE(INDIRECT(ADDRESS(ROW() + $A$9-8 + (ROW()-11)*4,2,1,1,"Internet")))&gt;1,INDIRECT(ADDRESS(ROW() + $A$9-8 + (ROW()-11)*4,2,1,1,"Internet"))," "))</f>
        <v xml:space="preserve"> </v>
      </c>
      <c r="Q82" s="149" t="str">
        <f ca="1">IF(N(O82)&gt;0,VLOOKUP(O82,Hraci!$A$1:$I$1000,3,0)," ")</f>
        <v xml:space="preserve"> </v>
      </c>
      <c r="R82" s="149" t="str">
        <f ca="1">IF(N(O82)&gt;0,VLOOKUP(O82,Hraci!$A$1:$I$1000,5,0),IF(TYPE(INDIRECT(ADDRESS(ROW() + $A$9-8 + (ROW()-11)*4,3,1,1,"Internet")))&gt;1,INDIRECT(ADDRESS(ROW() + $A$9-8 + (ROW()-11)*4,3,1,1,"Internet"))," "))</f>
        <v xml:space="preserve"> </v>
      </c>
      <c r="S82" s="149">
        <f ca="1">IF(N(O82)=0,9999,VLOOKUP(O82,Hraci!$A$1:$I$1000,8,0))</f>
        <v>9999</v>
      </c>
      <c r="T82" s="150">
        <f ca="1">IF(N(O82)=0,0,VLOOKUP(O82,Hraci!$A$1:$I$1000,9,0))</f>
        <v>0</v>
      </c>
      <c r="U82" s="147" t="str">
        <f t="shared" ca="1" si="40"/>
        <v/>
      </c>
      <c r="V82" s="148" t="str">
        <f ca="1">IF(N(U82)&gt;0,VLOOKUP(U82,Hraci!$A$1:$I$1000,2,0),IF(TYPE(INDIRECT(ADDRESS(ROW() + $A$9-7 + (ROW()-11)*4,2,1,1,"Internet")))&gt;1,INDIRECT(ADDRESS(ROW() + $A$9-7 + (ROW()-11)*4,2,1,1,"Internet"))," "))</f>
        <v xml:space="preserve"> </v>
      </c>
      <c r="W82" s="149" t="str">
        <f ca="1">IF(N(U82)&gt;0,VLOOKUP(U82,Hraci!$A$1:$I$1000,3,0)," ")</f>
        <v xml:space="preserve"> </v>
      </c>
      <c r="X82" s="149" t="str">
        <f ca="1">IF(N(U82)&gt;0,VLOOKUP(U82,Hraci!$A$1:$I$1000,5,0),IF(TYPE(INDIRECT(ADDRESS(ROW() + $A$9-7 + (ROW()-11)*4,3,1,1,"Internet")))&gt;1,INDIRECT(ADDRESS(ROW() + $A$9-7 + (ROW()-11)*4,3,1,1,"Internet"))," "))</f>
        <v xml:space="preserve"> </v>
      </c>
      <c r="Y82" s="149">
        <f ca="1">IF(N(U82)=0,9999,VLOOKUP(U82,Hraci!$A$1:$I$1000,8,0))</f>
        <v>9999</v>
      </c>
      <c r="Z82" s="150">
        <f ca="1">IF(N(U82)=0,0,VLOOKUP(U82,Hraci!$A$1:$I$1000,9,0))</f>
        <v>0</v>
      </c>
      <c r="AA82" s="147" t="str">
        <f t="shared" ca="1" si="41"/>
        <v/>
      </c>
      <c r="AB82" s="148" t="str">
        <f ca="1">IF(N(AA82)&gt;0,VLOOKUP(AA82,Hraci!$A$1:$I$1000,2,0)," ")</f>
        <v xml:space="preserve"> </v>
      </c>
      <c r="AC82" s="149" t="str">
        <f ca="1">IF(N(AA82)&gt;0,VLOOKUP(AA82,Hraci!$A$1:$I$1000,3,0)," ")</f>
        <v xml:space="preserve"> </v>
      </c>
      <c r="AD82" s="149" t="str">
        <f ca="1">IF(N(AA82)&gt;0,VLOOKUP(AA82,Hraci!$A$1:$I$1000,5,0)," ")</f>
        <v xml:space="preserve"> </v>
      </c>
      <c r="AE82" s="149">
        <f ca="1">IF(N(AA82)=0,9999,VLOOKUP(AA82,Hraci!$A$1:$I$1000,8,0))</f>
        <v>9999</v>
      </c>
      <c r="AF82" s="150">
        <f ca="1">IF(N(AA82)=0,0,VLOOKUP(AA82,Hraci!$A$1:$I$1000,9,0))</f>
        <v>0</v>
      </c>
      <c r="AG82" s="147"/>
      <c r="AH82" s="151">
        <f ca="1">IF(TYPE(VLOOKUP(H82,Nasazení!$A$3:$E$130,5,0))&lt;4,VLOOKUP(H82,Nasazení!$A$3:$E$130,5,0),0)</f>
        <v>0</v>
      </c>
      <c r="AI82" s="152" t="str">
        <f ca="1">IF(N($AH82)&gt;0,VLOOKUP($AH82,Body!$A$4:$F$259,5,0),"")</f>
        <v/>
      </c>
      <c r="AJ82" s="153" t="str">
        <f ca="1">IF(N($AH82)&gt;0,VLOOKUP($AH82,Body!$A$4:$F$259,6,0),"")</f>
        <v/>
      </c>
      <c r="AK82" s="152" t="str">
        <f ca="1">IF(N($AH82)&gt;0,VLOOKUP($AH82,Body!$A$4:$F$259,2,0),"")</f>
        <v/>
      </c>
      <c r="AL82" s="154" t="str">
        <f t="shared" ca="1" si="42"/>
        <v/>
      </c>
      <c r="AM82" s="155">
        <f t="shared" ca="1" si="43"/>
        <v>0</v>
      </c>
      <c r="AN82" s="72">
        <f ca="1">IF(OR(TYPE(I82)&gt;1,TYPE(MATCH(I82,I83:I$203,0))&gt;1),0,MATCH(I82,I83:I$203,0))+IF(OR(TYPE(I82)&gt;1,TYPE(MATCH(I82,O$11:O$203,0))&gt;1),0,MATCH(I82,O$11:O$203,0))+IF(OR(TYPE(I82)&gt;1,TYPE(MATCH(I82,U$11:U$203,0))&gt;1),0,MATCH(I82,U$11:U$203,0))+IF(OR(TYPE(I82)&gt;1,TYPE(MATCH(I82,AA$11:AA$203,0))&gt;1),0,MATCH(I82,AA$11:AA$203,0))</f>
        <v>0</v>
      </c>
      <c r="AO82" s="72">
        <f ca="1">IF(OR(TYPE(O82)&gt;1,TYPE(MATCH(O82,I$11:I$203,0))&gt;1),0,MATCH(O82,I$11:I$203,0))+IF(OR(TYPE(O82)&gt;1,TYPE(MATCH(O82,O83:O$203,0))&gt;1),0,MATCH(O82,O83:O$203,0))+IF(OR(TYPE(O82)&gt;1,TYPE(MATCH(O82,U$11:U$203,0))&gt;1),0,MATCH(O82,U$11:U$203,0))+IF(OR(TYPE(O82)&gt;1,TYPE(MATCH(O82,AA$11:AA$203,0))&gt;1),0,MATCH(O82,AA$11:AA$203,0))</f>
        <v>0</v>
      </c>
      <c r="AP82" s="72">
        <f ca="1">IF(OR(TYPE(U82)&gt;1,TYPE(MATCH(U82,I$11:I$203,0))&gt;1),0,MATCH(U82,I$11:I$203,0))+IF(OR(TYPE(U82)&gt;1,TYPE(MATCH(U82,O$11:O$203,0))&gt;1),0,MATCH(U82,O$11:O$203,0))+IF(OR(TYPE(U82)&gt;1,TYPE(MATCH(U82,U83:U$203,0))&gt;1),0,MATCH(U82,U83:U$203,0))+IF(OR(TYPE(U82)&gt;1,TYPE(MATCH(U82,AA$11:AA$203,0))&gt;1),0,MATCH(U82,AA$11:AA$203,0))</f>
        <v>0</v>
      </c>
      <c r="AQ82" s="72">
        <f ca="1">IF(OR(TYPE(AA82)&gt;1,TYPE(MATCH(AA82,I$11:I$203,0))&gt;1),0,MATCH(AA82,I$11:I$203,0))+IF(OR(TYPE(AA82)&gt;1,TYPE(MATCH(AA82,O$11:O$203,0))&gt;1),0,MATCH(AA82,O$11:O$203,0))+IF(OR(TYPE(AA82)&gt;1,TYPE(MATCH(AA82,U$11:U$203,0))&gt;1),0,MATCH(U82,U$11:U$203,0))+IF(OR(TYPE(AA82)&gt;1,TYPE(MATCH(AA82,AA83:AA$203,0))&gt;1),0,MATCH(AA82,AA83:AA$203,0))</f>
        <v>0</v>
      </c>
      <c r="AR82" s="72">
        <f t="shared" ca="1" si="44"/>
        <v>0</v>
      </c>
    </row>
    <row r="83" spans="1:44" ht="14.25">
      <c r="A83" s="103">
        <f t="shared" ca="1" si="30"/>
        <v>0</v>
      </c>
      <c r="B83" s="103">
        <f t="shared" ca="1" si="31"/>
        <v>0</v>
      </c>
      <c r="C83" s="156">
        <f t="shared" ca="1" si="32"/>
        <v>0</v>
      </c>
      <c r="D83" s="103">
        <f t="shared" ca="1" si="33"/>
        <v>99999</v>
      </c>
      <c r="E83" s="103">
        <f t="shared" ca="1" si="34"/>
        <v>9999</v>
      </c>
      <c r="F83" s="104" t="str">
        <f t="shared" ca="1" si="35"/>
        <v>00000000000000000000355579</v>
      </c>
      <c r="G83" s="145">
        <f t="shared" ca="1" si="36"/>
        <v>1</v>
      </c>
      <c r="H83" s="146">
        <f t="shared" si="37"/>
        <v>73</v>
      </c>
      <c r="I83" s="147" t="str">
        <f t="shared" ca="1" si="38"/>
        <v/>
      </c>
      <c r="J83" s="148" t="str">
        <f ca="1">IF(N(I83)&gt;0,VLOOKUP(I83,Hraci!$A$1:$I$1000,2,0),IF(TYPE(INDIRECT(ADDRESS(ROW() + $A$9-9 + (ROW()-11)*4,2,1,1,"Internet")))&gt;1,INDIRECT(ADDRESS(ROW() + $A$9-9 + (ROW()-11)*4,2,1,1,"Internet"))," "))</f>
        <v xml:space="preserve"> </v>
      </c>
      <c r="K83" s="149" t="str">
        <f ca="1">IF(N(I83)&gt;0,VLOOKUP(I83,Hraci!$A$1:$I$1000,3,0)," ")</f>
        <v xml:space="preserve"> </v>
      </c>
      <c r="L83" s="149" t="str">
        <f ca="1">IF(N(I83)&gt;0,VLOOKUP(I83,Hraci!$A$1:$I$1000,5,0),IF(TYPE(INDIRECT(ADDRESS(ROW() + $A$9-9 + (ROW()-11)*4,3,1,1,"Internet")))&gt;1,INDIRECT(ADDRESS(ROW() + $A$9-9 + (ROW()-11)*4,3,1,1,"Internet"))," "))</f>
        <v xml:space="preserve"> </v>
      </c>
      <c r="M83" s="149">
        <f ca="1">IF(N(I83)=0,9999,VLOOKUP(I83,Hraci!$A$1:$I$1000,8,0))</f>
        <v>9999</v>
      </c>
      <c r="N83" s="150">
        <f ca="1">IF(N(I83)=0,0,VLOOKUP(I83,Hraci!$A$1:$I$1000,9,0))</f>
        <v>0</v>
      </c>
      <c r="O83" s="147" t="str">
        <f t="shared" ca="1" si="39"/>
        <v/>
      </c>
      <c r="P83" s="148" t="str">
        <f ca="1">IF(N(O83)&gt;0,VLOOKUP(O83,Hraci!$A$1:$I$1000,2,0),IF(TYPE(INDIRECT(ADDRESS(ROW() + $A$9-8 + (ROW()-11)*4,2,1,1,"Internet")))&gt;1,INDIRECT(ADDRESS(ROW() + $A$9-8 + (ROW()-11)*4,2,1,1,"Internet"))," "))</f>
        <v xml:space="preserve"> </v>
      </c>
      <c r="Q83" s="149" t="str">
        <f ca="1">IF(N(O83)&gt;0,VLOOKUP(O83,Hraci!$A$1:$I$1000,3,0)," ")</f>
        <v xml:space="preserve"> </v>
      </c>
      <c r="R83" s="149" t="str">
        <f ca="1">IF(N(O83)&gt;0,VLOOKUP(O83,Hraci!$A$1:$I$1000,5,0),IF(TYPE(INDIRECT(ADDRESS(ROW() + $A$9-8 + (ROW()-11)*4,3,1,1,"Internet")))&gt;1,INDIRECT(ADDRESS(ROW() + $A$9-8 + (ROW()-11)*4,3,1,1,"Internet"))," "))</f>
        <v xml:space="preserve"> </v>
      </c>
      <c r="S83" s="149">
        <f ca="1">IF(N(O83)=0,9999,VLOOKUP(O83,Hraci!$A$1:$I$1000,8,0))</f>
        <v>9999</v>
      </c>
      <c r="T83" s="150">
        <f ca="1">IF(N(O83)=0,0,VLOOKUP(O83,Hraci!$A$1:$I$1000,9,0))</f>
        <v>0</v>
      </c>
      <c r="U83" s="147" t="str">
        <f t="shared" ca="1" si="40"/>
        <v/>
      </c>
      <c r="V83" s="148" t="str">
        <f ca="1">IF(N(U83)&gt;0,VLOOKUP(U83,Hraci!$A$1:$I$1000,2,0),IF(TYPE(INDIRECT(ADDRESS(ROW() + $A$9-7 + (ROW()-11)*4,2,1,1,"Internet")))&gt;1,INDIRECT(ADDRESS(ROW() + $A$9-7 + (ROW()-11)*4,2,1,1,"Internet"))," "))</f>
        <v xml:space="preserve"> </v>
      </c>
      <c r="W83" s="149" t="str">
        <f ca="1">IF(N(U83)&gt;0,VLOOKUP(U83,Hraci!$A$1:$I$1000,3,0)," ")</f>
        <v xml:space="preserve"> </v>
      </c>
      <c r="X83" s="149" t="str">
        <f ca="1">IF(N(U83)&gt;0,VLOOKUP(U83,Hraci!$A$1:$I$1000,5,0),IF(TYPE(INDIRECT(ADDRESS(ROW() + $A$9-7 + (ROW()-11)*4,3,1,1,"Internet")))&gt;1,INDIRECT(ADDRESS(ROW() + $A$9-7 + (ROW()-11)*4,3,1,1,"Internet"))," "))</f>
        <v xml:space="preserve"> </v>
      </c>
      <c r="Y83" s="149">
        <f ca="1">IF(N(U83)=0,9999,VLOOKUP(U83,Hraci!$A$1:$I$1000,8,0))</f>
        <v>9999</v>
      </c>
      <c r="Z83" s="150">
        <f ca="1">IF(N(U83)=0,0,VLOOKUP(U83,Hraci!$A$1:$I$1000,9,0))</f>
        <v>0</v>
      </c>
      <c r="AA83" s="147" t="str">
        <f t="shared" ca="1" si="41"/>
        <v/>
      </c>
      <c r="AB83" s="148" t="str">
        <f ca="1">IF(N(AA83)&gt;0,VLOOKUP(AA83,Hraci!$A$1:$I$1000,2,0)," ")</f>
        <v xml:space="preserve"> </v>
      </c>
      <c r="AC83" s="149" t="str">
        <f ca="1">IF(N(AA83)&gt;0,VLOOKUP(AA83,Hraci!$A$1:$I$1000,3,0)," ")</f>
        <v xml:space="preserve"> </v>
      </c>
      <c r="AD83" s="149" t="str">
        <f ca="1">IF(N(AA83)&gt;0,VLOOKUP(AA83,Hraci!$A$1:$I$1000,5,0)," ")</f>
        <v xml:space="preserve"> </v>
      </c>
      <c r="AE83" s="149">
        <f ca="1">IF(N(AA83)=0,9999,VLOOKUP(AA83,Hraci!$A$1:$I$1000,8,0))</f>
        <v>9999</v>
      </c>
      <c r="AF83" s="150">
        <f ca="1">IF(N(AA83)=0,0,VLOOKUP(AA83,Hraci!$A$1:$I$1000,9,0))</f>
        <v>0</v>
      </c>
      <c r="AG83" s="147"/>
      <c r="AH83" s="151">
        <f ca="1">IF(TYPE(VLOOKUP(H83,Nasazení!$A$3:$E$130,5,0))&lt;4,VLOOKUP(H83,Nasazení!$A$3:$E$130,5,0),0)</f>
        <v>0</v>
      </c>
      <c r="AI83" s="152" t="str">
        <f ca="1">IF(N($AH83)&gt;0,VLOOKUP($AH83,Body!$A$4:$F$259,5,0),"")</f>
        <v/>
      </c>
      <c r="AJ83" s="153" t="str">
        <f ca="1">IF(N($AH83)&gt;0,VLOOKUP($AH83,Body!$A$4:$F$259,6,0),"")</f>
        <v/>
      </c>
      <c r="AK83" s="152" t="str">
        <f ca="1">IF(N($AH83)&gt;0,VLOOKUP($AH83,Body!$A$4:$F$259,2,0),"")</f>
        <v/>
      </c>
      <c r="AL83" s="154" t="str">
        <f t="shared" ca="1" si="42"/>
        <v/>
      </c>
      <c r="AM83" s="155">
        <f t="shared" ca="1" si="43"/>
        <v>0</v>
      </c>
      <c r="AN83" s="72">
        <f ca="1">IF(OR(TYPE(I83)&gt;1,TYPE(MATCH(I83,I84:I$203,0))&gt;1),0,MATCH(I83,I84:I$203,0))+IF(OR(TYPE(I83)&gt;1,TYPE(MATCH(I83,O$11:O$203,0))&gt;1),0,MATCH(I83,O$11:O$203,0))+IF(OR(TYPE(I83)&gt;1,TYPE(MATCH(I83,U$11:U$203,0))&gt;1),0,MATCH(I83,U$11:U$203,0))+IF(OR(TYPE(I83)&gt;1,TYPE(MATCH(I83,AA$11:AA$203,0))&gt;1),0,MATCH(I83,AA$11:AA$203,0))</f>
        <v>0</v>
      </c>
      <c r="AO83" s="72">
        <f ca="1">IF(OR(TYPE(O83)&gt;1,TYPE(MATCH(O83,I$11:I$203,0))&gt;1),0,MATCH(O83,I$11:I$203,0))+IF(OR(TYPE(O83)&gt;1,TYPE(MATCH(O83,O84:O$203,0))&gt;1),0,MATCH(O83,O84:O$203,0))+IF(OR(TYPE(O83)&gt;1,TYPE(MATCH(O83,U$11:U$203,0))&gt;1),0,MATCH(O83,U$11:U$203,0))+IF(OR(TYPE(O83)&gt;1,TYPE(MATCH(O83,AA$11:AA$203,0))&gt;1),0,MATCH(O83,AA$11:AA$203,0))</f>
        <v>0</v>
      </c>
      <c r="AP83" s="72">
        <f ca="1">IF(OR(TYPE(U83)&gt;1,TYPE(MATCH(U83,I$11:I$203,0))&gt;1),0,MATCH(U83,I$11:I$203,0))+IF(OR(TYPE(U83)&gt;1,TYPE(MATCH(U83,O$11:O$203,0))&gt;1),0,MATCH(U83,O$11:O$203,0))+IF(OR(TYPE(U83)&gt;1,TYPE(MATCH(U83,U84:U$203,0))&gt;1),0,MATCH(U83,U84:U$203,0))+IF(OR(TYPE(U83)&gt;1,TYPE(MATCH(U83,AA$11:AA$203,0))&gt;1),0,MATCH(U83,AA$11:AA$203,0))</f>
        <v>0</v>
      </c>
      <c r="AQ83" s="72">
        <f ca="1">IF(OR(TYPE(AA83)&gt;1,TYPE(MATCH(AA83,I$11:I$203,0))&gt;1),0,MATCH(AA83,I$11:I$203,0))+IF(OR(TYPE(AA83)&gt;1,TYPE(MATCH(AA83,O$11:O$203,0))&gt;1),0,MATCH(AA83,O$11:O$203,0))+IF(OR(TYPE(AA83)&gt;1,TYPE(MATCH(AA83,U$11:U$203,0))&gt;1),0,MATCH(U83,U$11:U$203,0))+IF(OR(TYPE(AA83)&gt;1,TYPE(MATCH(AA83,AA84:AA$203,0))&gt;1),0,MATCH(AA83,AA84:AA$203,0))</f>
        <v>0</v>
      </c>
      <c r="AR83" s="72">
        <f t="shared" ca="1" si="44"/>
        <v>0</v>
      </c>
    </row>
    <row r="84" spans="1:44" ht="14.25">
      <c r="A84" s="103">
        <f t="shared" ca="1" si="30"/>
        <v>0</v>
      </c>
      <c r="B84" s="103">
        <f t="shared" ca="1" si="31"/>
        <v>0</v>
      </c>
      <c r="C84" s="156">
        <f t="shared" ca="1" si="32"/>
        <v>0</v>
      </c>
      <c r="D84" s="103">
        <f t="shared" ca="1" si="33"/>
        <v>99999</v>
      </c>
      <c r="E84" s="103">
        <f t="shared" ca="1" si="34"/>
        <v>9999</v>
      </c>
      <c r="F84" s="104" t="str">
        <f t="shared" ca="1" si="35"/>
        <v>00000000000000000000720942</v>
      </c>
      <c r="G84" s="145">
        <f t="shared" ca="1" si="36"/>
        <v>1</v>
      </c>
      <c r="H84" s="146">
        <f t="shared" si="37"/>
        <v>74</v>
      </c>
      <c r="I84" s="147" t="str">
        <f t="shared" ca="1" si="38"/>
        <v/>
      </c>
      <c r="J84" s="148" t="str">
        <f ca="1">IF(N(I84)&gt;0,VLOOKUP(I84,Hraci!$A$1:$I$1000,2,0),IF(TYPE(INDIRECT(ADDRESS(ROW() + $A$9-9 + (ROW()-11)*4,2,1,1,"Internet")))&gt;1,INDIRECT(ADDRESS(ROW() + $A$9-9 + (ROW()-11)*4,2,1,1,"Internet"))," "))</f>
        <v xml:space="preserve"> </v>
      </c>
      <c r="K84" s="149" t="str">
        <f ca="1">IF(N(I84)&gt;0,VLOOKUP(I84,Hraci!$A$1:$I$1000,3,0)," ")</f>
        <v xml:space="preserve"> </v>
      </c>
      <c r="L84" s="149" t="str">
        <f ca="1">IF(N(I84)&gt;0,VLOOKUP(I84,Hraci!$A$1:$I$1000,5,0),IF(TYPE(INDIRECT(ADDRESS(ROW() + $A$9-9 + (ROW()-11)*4,3,1,1,"Internet")))&gt;1,INDIRECT(ADDRESS(ROW() + $A$9-9 + (ROW()-11)*4,3,1,1,"Internet"))," "))</f>
        <v xml:space="preserve"> </v>
      </c>
      <c r="M84" s="149">
        <f ca="1">IF(N(I84)=0,9999,VLOOKUP(I84,Hraci!$A$1:$I$1000,8,0))</f>
        <v>9999</v>
      </c>
      <c r="N84" s="150">
        <f ca="1">IF(N(I84)=0,0,VLOOKUP(I84,Hraci!$A$1:$I$1000,9,0))</f>
        <v>0</v>
      </c>
      <c r="O84" s="147" t="str">
        <f t="shared" ca="1" si="39"/>
        <v/>
      </c>
      <c r="P84" s="148" t="str">
        <f ca="1">IF(N(O84)&gt;0,VLOOKUP(O84,Hraci!$A$1:$I$1000,2,0),IF(TYPE(INDIRECT(ADDRESS(ROW() + $A$9-8 + (ROW()-11)*4,2,1,1,"Internet")))&gt;1,INDIRECT(ADDRESS(ROW() + $A$9-8 + (ROW()-11)*4,2,1,1,"Internet"))," "))</f>
        <v xml:space="preserve"> </v>
      </c>
      <c r="Q84" s="149" t="str">
        <f ca="1">IF(N(O84)&gt;0,VLOOKUP(O84,Hraci!$A$1:$I$1000,3,0)," ")</f>
        <v xml:space="preserve"> </v>
      </c>
      <c r="R84" s="149" t="str">
        <f ca="1">IF(N(O84)&gt;0,VLOOKUP(O84,Hraci!$A$1:$I$1000,5,0),IF(TYPE(INDIRECT(ADDRESS(ROW() + $A$9-8 + (ROW()-11)*4,3,1,1,"Internet")))&gt;1,INDIRECT(ADDRESS(ROW() + $A$9-8 + (ROW()-11)*4,3,1,1,"Internet"))," "))</f>
        <v xml:space="preserve"> </v>
      </c>
      <c r="S84" s="149">
        <f ca="1">IF(N(O84)=0,9999,VLOOKUP(O84,Hraci!$A$1:$I$1000,8,0))</f>
        <v>9999</v>
      </c>
      <c r="T84" s="150">
        <f ca="1">IF(N(O84)=0,0,VLOOKUP(O84,Hraci!$A$1:$I$1000,9,0))</f>
        <v>0</v>
      </c>
      <c r="U84" s="147" t="str">
        <f t="shared" ca="1" si="40"/>
        <v/>
      </c>
      <c r="V84" s="148" t="str">
        <f ca="1">IF(N(U84)&gt;0,VLOOKUP(U84,Hraci!$A$1:$I$1000,2,0),IF(TYPE(INDIRECT(ADDRESS(ROW() + $A$9-7 + (ROW()-11)*4,2,1,1,"Internet")))&gt;1,INDIRECT(ADDRESS(ROW() + $A$9-7 + (ROW()-11)*4,2,1,1,"Internet"))," "))</f>
        <v xml:space="preserve"> </v>
      </c>
      <c r="W84" s="149" t="str">
        <f ca="1">IF(N(U84)&gt;0,VLOOKUP(U84,Hraci!$A$1:$I$1000,3,0)," ")</f>
        <v xml:space="preserve"> </v>
      </c>
      <c r="X84" s="149" t="str">
        <f ca="1">IF(N(U84)&gt;0,VLOOKUP(U84,Hraci!$A$1:$I$1000,5,0),IF(TYPE(INDIRECT(ADDRESS(ROW() + $A$9-7 + (ROW()-11)*4,3,1,1,"Internet")))&gt;1,INDIRECT(ADDRESS(ROW() + $A$9-7 + (ROW()-11)*4,3,1,1,"Internet"))," "))</f>
        <v xml:space="preserve"> </v>
      </c>
      <c r="Y84" s="149">
        <f ca="1">IF(N(U84)=0,9999,VLOOKUP(U84,Hraci!$A$1:$I$1000,8,0))</f>
        <v>9999</v>
      </c>
      <c r="Z84" s="150">
        <f ca="1">IF(N(U84)=0,0,VLOOKUP(U84,Hraci!$A$1:$I$1000,9,0))</f>
        <v>0</v>
      </c>
      <c r="AA84" s="147" t="str">
        <f t="shared" ca="1" si="41"/>
        <v/>
      </c>
      <c r="AB84" s="148" t="str">
        <f ca="1">IF(N(AA84)&gt;0,VLOOKUP(AA84,Hraci!$A$1:$I$1000,2,0)," ")</f>
        <v xml:space="preserve"> </v>
      </c>
      <c r="AC84" s="149" t="str">
        <f ca="1">IF(N(AA84)&gt;0,VLOOKUP(AA84,Hraci!$A$1:$I$1000,3,0)," ")</f>
        <v xml:space="preserve"> </v>
      </c>
      <c r="AD84" s="149" t="str">
        <f ca="1">IF(N(AA84)&gt;0,VLOOKUP(AA84,Hraci!$A$1:$I$1000,5,0)," ")</f>
        <v xml:space="preserve"> </v>
      </c>
      <c r="AE84" s="149">
        <f ca="1">IF(N(AA84)=0,9999,VLOOKUP(AA84,Hraci!$A$1:$I$1000,8,0))</f>
        <v>9999</v>
      </c>
      <c r="AF84" s="150">
        <f ca="1">IF(N(AA84)=0,0,VLOOKUP(AA84,Hraci!$A$1:$I$1000,9,0))</f>
        <v>0</v>
      </c>
      <c r="AG84" s="147"/>
      <c r="AH84" s="151">
        <f ca="1">IF(TYPE(VLOOKUP(H84,Nasazení!$A$3:$E$130,5,0))&lt;4,VLOOKUP(H84,Nasazení!$A$3:$E$130,5,0),0)</f>
        <v>0</v>
      </c>
      <c r="AI84" s="152" t="str">
        <f ca="1">IF(N($AH84)&gt;0,VLOOKUP($AH84,Body!$A$4:$F$259,5,0),"")</f>
        <v/>
      </c>
      <c r="AJ84" s="153" t="str">
        <f ca="1">IF(N($AH84)&gt;0,VLOOKUP($AH84,Body!$A$4:$F$259,6,0),"")</f>
        <v/>
      </c>
      <c r="AK84" s="152" t="str">
        <f ca="1">IF(N($AH84)&gt;0,VLOOKUP($AH84,Body!$A$4:$F$259,2,0),"")</f>
        <v/>
      </c>
      <c r="AL84" s="154" t="str">
        <f t="shared" ca="1" si="42"/>
        <v/>
      </c>
      <c r="AM84" s="155">
        <f t="shared" ca="1" si="43"/>
        <v>0</v>
      </c>
      <c r="AN84" s="72">
        <f ca="1">IF(OR(TYPE(I84)&gt;1,TYPE(MATCH(I84,I85:I$203,0))&gt;1),0,MATCH(I84,I85:I$203,0))+IF(OR(TYPE(I84)&gt;1,TYPE(MATCH(I84,O$11:O$203,0))&gt;1),0,MATCH(I84,O$11:O$203,0))+IF(OR(TYPE(I84)&gt;1,TYPE(MATCH(I84,U$11:U$203,0))&gt;1),0,MATCH(I84,U$11:U$203,0))+IF(OR(TYPE(I84)&gt;1,TYPE(MATCH(I84,AA$11:AA$203,0))&gt;1),0,MATCH(I84,AA$11:AA$203,0))</f>
        <v>0</v>
      </c>
      <c r="AO84" s="72">
        <f ca="1">IF(OR(TYPE(O84)&gt;1,TYPE(MATCH(O84,I$11:I$203,0))&gt;1),0,MATCH(O84,I$11:I$203,0))+IF(OR(TYPE(O84)&gt;1,TYPE(MATCH(O84,O85:O$203,0))&gt;1),0,MATCH(O84,O85:O$203,0))+IF(OR(TYPE(O84)&gt;1,TYPE(MATCH(O84,U$11:U$203,0))&gt;1),0,MATCH(O84,U$11:U$203,0))+IF(OR(TYPE(O84)&gt;1,TYPE(MATCH(O84,AA$11:AA$203,0))&gt;1),0,MATCH(O84,AA$11:AA$203,0))</f>
        <v>0</v>
      </c>
      <c r="AP84" s="72">
        <f ca="1">IF(OR(TYPE(U84)&gt;1,TYPE(MATCH(U84,I$11:I$203,0))&gt;1),0,MATCH(U84,I$11:I$203,0))+IF(OR(TYPE(U84)&gt;1,TYPE(MATCH(U84,O$11:O$203,0))&gt;1),0,MATCH(U84,O$11:O$203,0))+IF(OR(TYPE(U84)&gt;1,TYPE(MATCH(U84,U85:U$203,0))&gt;1),0,MATCH(U84,U85:U$203,0))+IF(OR(TYPE(U84)&gt;1,TYPE(MATCH(U84,AA$11:AA$203,0))&gt;1),0,MATCH(U84,AA$11:AA$203,0))</f>
        <v>0</v>
      </c>
      <c r="AQ84" s="72">
        <f ca="1">IF(OR(TYPE(AA84)&gt;1,TYPE(MATCH(AA84,I$11:I$203,0))&gt;1),0,MATCH(AA84,I$11:I$203,0))+IF(OR(TYPE(AA84)&gt;1,TYPE(MATCH(AA84,O$11:O$203,0))&gt;1),0,MATCH(AA84,O$11:O$203,0))+IF(OR(TYPE(AA84)&gt;1,TYPE(MATCH(AA84,U$11:U$203,0))&gt;1),0,MATCH(U84,U$11:U$203,0))+IF(OR(TYPE(AA84)&gt;1,TYPE(MATCH(AA84,AA85:AA$203,0))&gt;1),0,MATCH(AA84,AA85:AA$203,0))</f>
        <v>0</v>
      </c>
      <c r="AR84" s="72">
        <f t="shared" ca="1" si="44"/>
        <v>0</v>
      </c>
    </row>
    <row r="85" spans="1:44" ht="14.25">
      <c r="A85" s="103">
        <f t="shared" ca="1" si="30"/>
        <v>0</v>
      </c>
      <c r="B85" s="103">
        <f t="shared" ca="1" si="31"/>
        <v>0</v>
      </c>
      <c r="C85" s="156">
        <f t="shared" ca="1" si="32"/>
        <v>0</v>
      </c>
      <c r="D85" s="103">
        <f t="shared" ca="1" si="33"/>
        <v>99999</v>
      </c>
      <c r="E85" s="103">
        <f t="shared" ca="1" si="34"/>
        <v>9999</v>
      </c>
      <c r="F85" s="104" t="str">
        <f t="shared" ca="1" si="35"/>
        <v>00000000000000000000395393</v>
      </c>
      <c r="G85" s="145">
        <f t="shared" ca="1" si="36"/>
        <v>1</v>
      </c>
      <c r="H85" s="146">
        <f t="shared" si="37"/>
        <v>75</v>
      </c>
      <c r="I85" s="147" t="str">
        <f t="shared" ca="1" si="38"/>
        <v/>
      </c>
      <c r="J85" s="148" t="str">
        <f ca="1">IF(N(I85)&gt;0,VLOOKUP(I85,Hraci!$A$1:$I$1000,2,0),IF(TYPE(INDIRECT(ADDRESS(ROW() + $A$9-9 + (ROW()-11)*4,2,1,1,"Internet")))&gt;1,INDIRECT(ADDRESS(ROW() + $A$9-9 + (ROW()-11)*4,2,1,1,"Internet"))," "))</f>
        <v xml:space="preserve"> </v>
      </c>
      <c r="K85" s="149" t="str">
        <f ca="1">IF(N(I85)&gt;0,VLOOKUP(I85,Hraci!$A$1:$I$1000,3,0)," ")</f>
        <v xml:space="preserve"> </v>
      </c>
      <c r="L85" s="149" t="str">
        <f ca="1">IF(N(I85)&gt;0,VLOOKUP(I85,Hraci!$A$1:$I$1000,5,0),IF(TYPE(INDIRECT(ADDRESS(ROW() + $A$9-9 + (ROW()-11)*4,3,1,1,"Internet")))&gt;1,INDIRECT(ADDRESS(ROW() + $A$9-9 + (ROW()-11)*4,3,1,1,"Internet"))," "))</f>
        <v xml:space="preserve"> </v>
      </c>
      <c r="M85" s="149">
        <f ca="1">IF(N(I85)=0,9999,VLOOKUP(I85,Hraci!$A$1:$I$1000,8,0))</f>
        <v>9999</v>
      </c>
      <c r="N85" s="150">
        <f ca="1">IF(N(I85)=0,0,VLOOKUP(I85,Hraci!$A$1:$I$1000,9,0))</f>
        <v>0</v>
      </c>
      <c r="O85" s="147" t="str">
        <f t="shared" ca="1" si="39"/>
        <v/>
      </c>
      <c r="P85" s="148" t="str">
        <f ca="1">IF(N(O85)&gt;0,VLOOKUP(O85,Hraci!$A$1:$I$1000,2,0),IF(TYPE(INDIRECT(ADDRESS(ROW() + $A$9-8 + (ROW()-11)*4,2,1,1,"Internet")))&gt;1,INDIRECT(ADDRESS(ROW() + $A$9-8 + (ROW()-11)*4,2,1,1,"Internet"))," "))</f>
        <v xml:space="preserve"> </v>
      </c>
      <c r="Q85" s="149" t="str">
        <f ca="1">IF(N(O85)&gt;0,VLOOKUP(O85,Hraci!$A$1:$I$1000,3,0)," ")</f>
        <v xml:space="preserve"> </v>
      </c>
      <c r="R85" s="149" t="str">
        <f ca="1">IF(N(O85)&gt;0,VLOOKUP(O85,Hraci!$A$1:$I$1000,5,0),IF(TYPE(INDIRECT(ADDRESS(ROW() + $A$9-8 + (ROW()-11)*4,3,1,1,"Internet")))&gt;1,INDIRECT(ADDRESS(ROW() + $A$9-8 + (ROW()-11)*4,3,1,1,"Internet"))," "))</f>
        <v xml:space="preserve"> </v>
      </c>
      <c r="S85" s="149">
        <f ca="1">IF(N(O85)=0,9999,VLOOKUP(O85,Hraci!$A$1:$I$1000,8,0))</f>
        <v>9999</v>
      </c>
      <c r="T85" s="150">
        <f ca="1">IF(N(O85)=0,0,VLOOKUP(O85,Hraci!$A$1:$I$1000,9,0))</f>
        <v>0</v>
      </c>
      <c r="U85" s="147" t="str">
        <f t="shared" ca="1" si="40"/>
        <v/>
      </c>
      <c r="V85" s="148" t="str">
        <f ca="1">IF(N(U85)&gt;0,VLOOKUP(U85,Hraci!$A$1:$I$1000,2,0),IF(TYPE(INDIRECT(ADDRESS(ROW() + $A$9-7 + (ROW()-11)*4,2,1,1,"Internet")))&gt;1,INDIRECT(ADDRESS(ROW() + $A$9-7 + (ROW()-11)*4,2,1,1,"Internet"))," "))</f>
        <v xml:space="preserve"> </v>
      </c>
      <c r="W85" s="149" t="str">
        <f ca="1">IF(N(U85)&gt;0,VLOOKUP(U85,Hraci!$A$1:$I$1000,3,0)," ")</f>
        <v xml:space="preserve"> </v>
      </c>
      <c r="X85" s="149" t="str">
        <f ca="1">IF(N(U85)&gt;0,VLOOKUP(U85,Hraci!$A$1:$I$1000,5,0),IF(TYPE(INDIRECT(ADDRESS(ROW() + $A$9-7 + (ROW()-11)*4,3,1,1,"Internet")))&gt;1,INDIRECT(ADDRESS(ROW() + $A$9-7 + (ROW()-11)*4,3,1,1,"Internet"))," "))</f>
        <v xml:space="preserve"> </v>
      </c>
      <c r="Y85" s="149">
        <f ca="1">IF(N(U85)=0,9999,VLOOKUP(U85,Hraci!$A$1:$I$1000,8,0))</f>
        <v>9999</v>
      </c>
      <c r="Z85" s="150">
        <f ca="1">IF(N(U85)=0,0,VLOOKUP(U85,Hraci!$A$1:$I$1000,9,0))</f>
        <v>0</v>
      </c>
      <c r="AA85" s="147" t="str">
        <f t="shared" ca="1" si="41"/>
        <v/>
      </c>
      <c r="AB85" s="148" t="str">
        <f ca="1">IF(N(AA85)&gt;0,VLOOKUP(AA85,Hraci!$A$1:$I$1000,2,0)," ")</f>
        <v xml:space="preserve"> </v>
      </c>
      <c r="AC85" s="149" t="str">
        <f ca="1">IF(N(AA85)&gt;0,VLOOKUP(AA85,Hraci!$A$1:$I$1000,3,0)," ")</f>
        <v xml:space="preserve"> </v>
      </c>
      <c r="AD85" s="149" t="str">
        <f ca="1">IF(N(AA85)&gt;0,VLOOKUP(AA85,Hraci!$A$1:$I$1000,5,0)," ")</f>
        <v xml:space="preserve"> </v>
      </c>
      <c r="AE85" s="149">
        <f ca="1">IF(N(AA85)=0,9999,VLOOKUP(AA85,Hraci!$A$1:$I$1000,8,0))</f>
        <v>9999</v>
      </c>
      <c r="AF85" s="150">
        <f ca="1">IF(N(AA85)=0,0,VLOOKUP(AA85,Hraci!$A$1:$I$1000,9,0))</f>
        <v>0</v>
      </c>
      <c r="AG85" s="147"/>
      <c r="AH85" s="151">
        <f ca="1">IF(TYPE(VLOOKUP(H85,Nasazení!$A$3:$E$130,5,0))&lt;4,VLOOKUP(H85,Nasazení!$A$3:$E$130,5,0),0)</f>
        <v>0</v>
      </c>
      <c r="AI85" s="152" t="str">
        <f ca="1">IF(N($AH85)&gt;0,VLOOKUP($AH85,Body!$A$4:$F$259,5,0),"")</f>
        <v/>
      </c>
      <c r="AJ85" s="153" t="str">
        <f ca="1">IF(N($AH85)&gt;0,VLOOKUP($AH85,Body!$A$4:$F$259,6,0),"")</f>
        <v/>
      </c>
      <c r="AK85" s="152" t="str">
        <f ca="1">IF(N($AH85)&gt;0,VLOOKUP($AH85,Body!$A$4:$F$259,2,0),"")</f>
        <v/>
      </c>
      <c r="AL85" s="154" t="str">
        <f t="shared" ca="1" si="42"/>
        <v/>
      </c>
      <c r="AM85" s="155">
        <f t="shared" ca="1" si="43"/>
        <v>0</v>
      </c>
      <c r="AN85" s="72">
        <f ca="1">IF(OR(TYPE(I85)&gt;1,TYPE(MATCH(I85,I86:I$203,0))&gt;1),0,MATCH(I85,I86:I$203,0))+IF(OR(TYPE(I85)&gt;1,TYPE(MATCH(I85,O$11:O$203,0))&gt;1),0,MATCH(I85,O$11:O$203,0))+IF(OR(TYPE(I85)&gt;1,TYPE(MATCH(I85,U$11:U$203,0))&gt;1),0,MATCH(I85,U$11:U$203,0))+IF(OR(TYPE(I85)&gt;1,TYPE(MATCH(I85,AA$11:AA$203,0))&gt;1),0,MATCH(I85,AA$11:AA$203,0))</f>
        <v>0</v>
      </c>
      <c r="AO85" s="72">
        <f ca="1">IF(OR(TYPE(O85)&gt;1,TYPE(MATCH(O85,I$11:I$203,0))&gt;1),0,MATCH(O85,I$11:I$203,0))+IF(OR(TYPE(O85)&gt;1,TYPE(MATCH(O85,O86:O$203,0))&gt;1),0,MATCH(O85,O86:O$203,0))+IF(OR(TYPE(O85)&gt;1,TYPE(MATCH(O85,U$11:U$203,0))&gt;1),0,MATCH(O85,U$11:U$203,0))+IF(OR(TYPE(O85)&gt;1,TYPE(MATCH(O85,AA$11:AA$203,0))&gt;1),0,MATCH(O85,AA$11:AA$203,0))</f>
        <v>0</v>
      </c>
      <c r="AP85" s="72">
        <f ca="1">IF(OR(TYPE(U85)&gt;1,TYPE(MATCH(U85,I$11:I$203,0))&gt;1),0,MATCH(U85,I$11:I$203,0))+IF(OR(TYPE(U85)&gt;1,TYPE(MATCH(U85,O$11:O$203,0))&gt;1),0,MATCH(U85,O$11:O$203,0))+IF(OR(TYPE(U85)&gt;1,TYPE(MATCH(U85,U86:U$203,0))&gt;1),0,MATCH(U85,U86:U$203,0))+IF(OR(TYPE(U85)&gt;1,TYPE(MATCH(U85,AA$11:AA$203,0))&gt;1),0,MATCH(U85,AA$11:AA$203,0))</f>
        <v>0</v>
      </c>
      <c r="AQ85" s="72">
        <f ca="1">IF(OR(TYPE(AA85)&gt;1,TYPE(MATCH(AA85,I$11:I$203,0))&gt;1),0,MATCH(AA85,I$11:I$203,0))+IF(OR(TYPE(AA85)&gt;1,TYPE(MATCH(AA85,O$11:O$203,0))&gt;1),0,MATCH(AA85,O$11:O$203,0))+IF(OR(TYPE(AA85)&gt;1,TYPE(MATCH(AA85,U$11:U$203,0))&gt;1),0,MATCH(U85,U$11:U$203,0))+IF(OR(TYPE(AA85)&gt;1,TYPE(MATCH(AA85,AA86:AA$203,0))&gt;1),0,MATCH(AA85,AA86:AA$203,0))</f>
        <v>0</v>
      </c>
      <c r="AR85" s="72">
        <f t="shared" ca="1" si="44"/>
        <v>0</v>
      </c>
    </row>
    <row r="86" spans="1:44" ht="14.25">
      <c r="A86" s="103">
        <f t="shared" ca="1" si="30"/>
        <v>0</v>
      </c>
      <c r="B86" s="103">
        <f t="shared" ca="1" si="31"/>
        <v>0</v>
      </c>
      <c r="C86" s="156">
        <f t="shared" ca="1" si="32"/>
        <v>0</v>
      </c>
      <c r="D86" s="103">
        <f t="shared" ca="1" si="33"/>
        <v>99999</v>
      </c>
      <c r="E86" s="103">
        <f t="shared" ca="1" si="34"/>
        <v>9999</v>
      </c>
      <c r="F86" s="104" t="str">
        <f t="shared" ca="1" si="35"/>
        <v>00000000000000000000606032</v>
      </c>
      <c r="G86" s="145">
        <f t="shared" ca="1" si="36"/>
        <v>1</v>
      </c>
      <c r="H86" s="146">
        <f t="shared" si="37"/>
        <v>76</v>
      </c>
      <c r="I86" s="147" t="str">
        <f t="shared" ca="1" si="38"/>
        <v/>
      </c>
      <c r="J86" s="148" t="str">
        <f ca="1">IF(N(I86)&gt;0,VLOOKUP(I86,Hraci!$A$1:$I$1000,2,0),IF(TYPE(INDIRECT(ADDRESS(ROW() + $A$9-9 + (ROW()-11)*4,2,1,1,"Internet")))&gt;1,INDIRECT(ADDRESS(ROW() + $A$9-9 + (ROW()-11)*4,2,1,1,"Internet"))," "))</f>
        <v xml:space="preserve"> </v>
      </c>
      <c r="K86" s="149" t="str">
        <f ca="1">IF(N(I86)&gt;0,VLOOKUP(I86,Hraci!$A$1:$I$1000,3,0)," ")</f>
        <v xml:space="preserve"> </v>
      </c>
      <c r="L86" s="149" t="str">
        <f ca="1">IF(N(I86)&gt;0,VLOOKUP(I86,Hraci!$A$1:$I$1000,5,0),IF(TYPE(INDIRECT(ADDRESS(ROW() + $A$9-9 + (ROW()-11)*4,3,1,1,"Internet")))&gt;1,INDIRECT(ADDRESS(ROW() + $A$9-9 + (ROW()-11)*4,3,1,1,"Internet"))," "))</f>
        <v xml:space="preserve"> </v>
      </c>
      <c r="M86" s="149">
        <f ca="1">IF(N(I86)=0,9999,VLOOKUP(I86,Hraci!$A$1:$I$1000,8,0))</f>
        <v>9999</v>
      </c>
      <c r="N86" s="150">
        <f ca="1">IF(N(I86)=0,0,VLOOKUP(I86,Hraci!$A$1:$I$1000,9,0))</f>
        <v>0</v>
      </c>
      <c r="O86" s="147" t="str">
        <f t="shared" ca="1" si="39"/>
        <v/>
      </c>
      <c r="P86" s="148" t="str">
        <f ca="1">IF(N(O86)&gt;0,VLOOKUP(O86,Hraci!$A$1:$I$1000,2,0),IF(TYPE(INDIRECT(ADDRESS(ROW() + $A$9-8 + (ROW()-11)*4,2,1,1,"Internet")))&gt;1,INDIRECT(ADDRESS(ROW() + $A$9-8 + (ROW()-11)*4,2,1,1,"Internet"))," "))</f>
        <v xml:space="preserve"> </v>
      </c>
      <c r="Q86" s="149" t="str">
        <f ca="1">IF(N(O86)&gt;0,VLOOKUP(O86,Hraci!$A$1:$I$1000,3,0)," ")</f>
        <v xml:space="preserve"> </v>
      </c>
      <c r="R86" s="149" t="str">
        <f ca="1">IF(N(O86)&gt;0,VLOOKUP(O86,Hraci!$A$1:$I$1000,5,0),IF(TYPE(INDIRECT(ADDRESS(ROW() + $A$9-8 + (ROW()-11)*4,3,1,1,"Internet")))&gt;1,INDIRECT(ADDRESS(ROW() + $A$9-8 + (ROW()-11)*4,3,1,1,"Internet"))," "))</f>
        <v xml:space="preserve"> </v>
      </c>
      <c r="S86" s="149">
        <f ca="1">IF(N(O86)=0,9999,VLOOKUP(O86,Hraci!$A$1:$I$1000,8,0))</f>
        <v>9999</v>
      </c>
      <c r="T86" s="150">
        <f ca="1">IF(N(O86)=0,0,VLOOKUP(O86,Hraci!$A$1:$I$1000,9,0))</f>
        <v>0</v>
      </c>
      <c r="U86" s="147" t="str">
        <f t="shared" ca="1" si="40"/>
        <v/>
      </c>
      <c r="V86" s="148" t="str">
        <f ca="1">IF(N(U86)&gt;0,VLOOKUP(U86,Hraci!$A$1:$I$1000,2,0),IF(TYPE(INDIRECT(ADDRESS(ROW() + $A$9-7 + (ROW()-11)*4,2,1,1,"Internet")))&gt;1,INDIRECT(ADDRESS(ROW() + $A$9-7 + (ROW()-11)*4,2,1,1,"Internet"))," "))</f>
        <v xml:space="preserve"> </v>
      </c>
      <c r="W86" s="149" t="str">
        <f ca="1">IF(N(U86)&gt;0,VLOOKUP(U86,Hraci!$A$1:$I$1000,3,0)," ")</f>
        <v xml:space="preserve"> </v>
      </c>
      <c r="X86" s="149" t="str">
        <f ca="1">IF(N(U86)&gt;0,VLOOKUP(U86,Hraci!$A$1:$I$1000,5,0),IF(TYPE(INDIRECT(ADDRESS(ROW() + $A$9-7 + (ROW()-11)*4,3,1,1,"Internet")))&gt;1,INDIRECT(ADDRESS(ROW() + $A$9-7 + (ROW()-11)*4,3,1,1,"Internet"))," "))</f>
        <v xml:space="preserve"> </v>
      </c>
      <c r="Y86" s="149">
        <f ca="1">IF(N(U86)=0,9999,VLOOKUP(U86,Hraci!$A$1:$I$1000,8,0))</f>
        <v>9999</v>
      </c>
      <c r="Z86" s="150">
        <f ca="1">IF(N(U86)=0,0,VLOOKUP(U86,Hraci!$A$1:$I$1000,9,0))</f>
        <v>0</v>
      </c>
      <c r="AA86" s="147" t="str">
        <f t="shared" ca="1" si="41"/>
        <v/>
      </c>
      <c r="AB86" s="148" t="str">
        <f ca="1">IF(N(AA86)&gt;0,VLOOKUP(AA86,Hraci!$A$1:$I$1000,2,0)," ")</f>
        <v xml:space="preserve"> </v>
      </c>
      <c r="AC86" s="149" t="str">
        <f ca="1">IF(N(AA86)&gt;0,VLOOKUP(AA86,Hraci!$A$1:$I$1000,3,0)," ")</f>
        <v xml:space="preserve"> </v>
      </c>
      <c r="AD86" s="149" t="str">
        <f ca="1">IF(N(AA86)&gt;0,VLOOKUP(AA86,Hraci!$A$1:$I$1000,5,0)," ")</f>
        <v xml:space="preserve"> </v>
      </c>
      <c r="AE86" s="149">
        <f ca="1">IF(N(AA86)=0,9999,VLOOKUP(AA86,Hraci!$A$1:$I$1000,8,0))</f>
        <v>9999</v>
      </c>
      <c r="AF86" s="150">
        <f ca="1">IF(N(AA86)=0,0,VLOOKUP(AA86,Hraci!$A$1:$I$1000,9,0))</f>
        <v>0</v>
      </c>
      <c r="AG86" s="147"/>
      <c r="AH86" s="151">
        <f ca="1">IF(TYPE(VLOOKUP(H86,Nasazení!$A$3:$E$130,5,0))&lt;4,VLOOKUP(H86,Nasazení!$A$3:$E$130,5,0),0)</f>
        <v>0</v>
      </c>
      <c r="AI86" s="152" t="str">
        <f ca="1">IF(N($AH86)&gt;0,VLOOKUP($AH86,Body!$A$4:$F$259,5,0),"")</f>
        <v/>
      </c>
      <c r="AJ86" s="153" t="str">
        <f ca="1">IF(N($AH86)&gt;0,VLOOKUP($AH86,Body!$A$4:$F$259,6,0),"")</f>
        <v/>
      </c>
      <c r="AK86" s="152" t="str">
        <f ca="1">IF(N($AH86)&gt;0,VLOOKUP($AH86,Body!$A$4:$F$259,2,0),"")</f>
        <v/>
      </c>
      <c r="AL86" s="154" t="str">
        <f t="shared" ca="1" si="42"/>
        <v/>
      </c>
      <c r="AM86" s="155">
        <f t="shared" ca="1" si="43"/>
        <v>0</v>
      </c>
      <c r="AN86" s="72">
        <f ca="1">IF(OR(TYPE(I86)&gt;1,TYPE(MATCH(I86,I87:I$203,0))&gt;1),0,MATCH(I86,I87:I$203,0))+IF(OR(TYPE(I86)&gt;1,TYPE(MATCH(I86,O$11:O$203,0))&gt;1),0,MATCH(I86,O$11:O$203,0))+IF(OR(TYPE(I86)&gt;1,TYPE(MATCH(I86,U$11:U$203,0))&gt;1),0,MATCH(I86,U$11:U$203,0))+IF(OR(TYPE(I86)&gt;1,TYPE(MATCH(I86,AA$11:AA$203,0))&gt;1),0,MATCH(I86,AA$11:AA$203,0))</f>
        <v>0</v>
      </c>
      <c r="AO86" s="72">
        <f ca="1">IF(OR(TYPE(O86)&gt;1,TYPE(MATCH(O86,I$11:I$203,0))&gt;1),0,MATCH(O86,I$11:I$203,0))+IF(OR(TYPE(O86)&gt;1,TYPE(MATCH(O86,O87:O$203,0))&gt;1),0,MATCH(O86,O87:O$203,0))+IF(OR(TYPE(O86)&gt;1,TYPE(MATCH(O86,U$11:U$203,0))&gt;1),0,MATCH(O86,U$11:U$203,0))+IF(OR(TYPE(O86)&gt;1,TYPE(MATCH(O86,AA$11:AA$203,0))&gt;1),0,MATCH(O86,AA$11:AA$203,0))</f>
        <v>0</v>
      </c>
      <c r="AP86" s="72">
        <f ca="1">IF(OR(TYPE(U86)&gt;1,TYPE(MATCH(U86,I$11:I$203,0))&gt;1),0,MATCH(U86,I$11:I$203,0))+IF(OR(TYPE(U86)&gt;1,TYPE(MATCH(U86,O$11:O$203,0))&gt;1),0,MATCH(U86,O$11:O$203,0))+IF(OR(TYPE(U86)&gt;1,TYPE(MATCH(U86,U87:U$203,0))&gt;1),0,MATCH(U86,U87:U$203,0))+IF(OR(TYPE(U86)&gt;1,TYPE(MATCH(U86,AA$11:AA$203,0))&gt;1),0,MATCH(U86,AA$11:AA$203,0))</f>
        <v>0</v>
      </c>
      <c r="AQ86" s="72">
        <f ca="1">IF(OR(TYPE(AA86)&gt;1,TYPE(MATCH(AA86,I$11:I$203,0))&gt;1),0,MATCH(AA86,I$11:I$203,0))+IF(OR(TYPE(AA86)&gt;1,TYPE(MATCH(AA86,O$11:O$203,0))&gt;1),0,MATCH(AA86,O$11:O$203,0))+IF(OR(TYPE(AA86)&gt;1,TYPE(MATCH(AA86,U$11:U$203,0))&gt;1),0,MATCH(U86,U$11:U$203,0))+IF(OR(TYPE(AA86)&gt;1,TYPE(MATCH(AA86,AA87:AA$203,0))&gt;1),0,MATCH(AA86,AA87:AA$203,0))</f>
        <v>0</v>
      </c>
      <c r="AR86" s="72">
        <f t="shared" ca="1" si="44"/>
        <v>0</v>
      </c>
    </row>
    <row r="87" spans="1:44" ht="14.25">
      <c r="A87" s="103">
        <f t="shared" ca="1" si="30"/>
        <v>0</v>
      </c>
      <c r="B87" s="103">
        <f t="shared" ca="1" si="31"/>
        <v>0</v>
      </c>
      <c r="C87" s="156">
        <f t="shared" ca="1" si="32"/>
        <v>0</v>
      </c>
      <c r="D87" s="103">
        <f t="shared" ca="1" si="33"/>
        <v>99999</v>
      </c>
      <c r="E87" s="103">
        <f t="shared" ca="1" si="34"/>
        <v>9999</v>
      </c>
      <c r="F87" s="104" t="str">
        <f t="shared" ca="1" si="35"/>
        <v>00000000000000000000272349</v>
      </c>
      <c r="G87" s="145">
        <f t="shared" ca="1" si="36"/>
        <v>1</v>
      </c>
      <c r="H87" s="146">
        <f t="shared" si="37"/>
        <v>77</v>
      </c>
      <c r="I87" s="147" t="str">
        <f t="shared" ca="1" si="38"/>
        <v/>
      </c>
      <c r="J87" s="148" t="str">
        <f ca="1">IF(N(I87)&gt;0,VLOOKUP(I87,Hraci!$A$1:$I$1000,2,0),IF(TYPE(INDIRECT(ADDRESS(ROW() + $A$9-9 + (ROW()-11)*4,2,1,1,"Internet")))&gt;1,INDIRECT(ADDRESS(ROW() + $A$9-9 + (ROW()-11)*4,2,1,1,"Internet"))," "))</f>
        <v xml:space="preserve"> </v>
      </c>
      <c r="K87" s="149" t="str">
        <f ca="1">IF(N(I87)&gt;0,VLOOKUP(I87,Hraci!$A$1:$I$1000,3,0)," ")</f>
        <v xml:space="preserve"> </v>
      </c>
      <c r="L87" s="149" t="str">
        <f ca="1">IF(N(I87)&gt;0,VLOOKUP(I87,Hraci!$A$1:$I$1000,5,0),IF(TYPE(INDIRECT(ADDRESS(ROW() + $A$9-9 + (ROW()-11)*4,3,1,1,"Internet")))&gt;1,INDIRECT(ADDRESS(ROW() + $A$9-9 + (ROW()-11)*4,3,1,1,"Internet"))," "))</f>
        <v xml:space="preserve"> </v>
      </c>
      <c r="M87" s="149">
        <f ca="1">IF(N(I87)=0,9999,VLOOKUP(I87,Hraci!$A$1:$I$1000,8,0))</f>
        <v>9999</v>
      </c>
      <c r="N87" s="150">
        <f ca="1">IF(N(I87)=0,0,VLOOKUP(I87,Hraci!$A$1:$I$1000,9,0))</f>
        <v>0</v>
      </c>
      <c r="O87" s="147" t="str">
        <f t="shared" ca="1" si="39"/>
        <v/>
      </c>
      <c r="P87" s="148" t="str">
        <f ca="1">IF(N(O87)&gt;0,VLOOKUP(O87,Hraci!$A$1:$I$1000,2,0),IF(TYPE(INDIRECT(ADDRESS(ROW() + $A$9-8 + (ROW()-11)*4,2,1,1,"Internet")))&gt;1,INDIRECT(ADDRESS(ROW() + $A$9-8 + (ROW()-11)*4,2,1,1,"Internet"))," "))</f>
        <v xml:space="preserve"> </v>
      </c>
      <c r="Q87" s="149" t="str">
        <f ca="1">IF(N(O87)&gt;0,VLOOKUP(O87,Hraci!$A$1:$I$1000,3,0)," ")</f>
        <v xml:space="preserve"> </v>
      </c>
      <c r="R87" s="149" t="str">
        <f ca="1">IF(N(O87)&gt;0,VLOOKUP(O87,Hraci!$A$1:$I$1000,5,0),IF(TYPE(INDIRECT(ADDRESS(ROW() + $A$9-8 + (ROW()-11)*4,3,1,1,"Internet")))&gt;1,INDIRECT(ADDRESS(ROW() + $A$9-8 + (ROW()-11)*4,3,1,1,"Internet"))," "))</f>
        <v xml:space="preserve"> </v>
      </c>
      <c r="S87" s="149">
        <f ca="1">IF(N(O87)=0,9999,VLOOKUP(O87,Hraci!$A$1:$I$1000,8,0))</f>
        <v>9999</v>
      </c>
      <c r="T87" s="150">
        <f ca="1">IF(N(O87)=0,0,VLOOKUP(O87,Hraci!$A$1:$I$1000,9,0))</f>
        <v>0</v>
      </c>
      <c r="U87" s="147" t="str">
        <f t="shared" ca="1" si="40"/>
        <v/>
      </c>
      <c r="V87" s="148" t="str">
        <f ca="1">IF(N(U87)&gt;0,VLOOKUP(U87,Hraci!$A$1:$I$1000,2,0),IF(TYPE(INDIRECT(ADDRESS(ROW() + $A$9-7 + (ROW()-11)*4,2,1,1,"Internet")))&gt;1,INDIRECT(ADDRESS(ROW() + $A$9-7 + (ROW()-11)*4,2,1,1,"Internet"))," "))</f>
        <v xml:space="preserve"> </v>
      </c>
      <c r="W87" s="149" t="str">
        <f ca="1">IF(N(U87)&gt;0,VLOOKUP(U87,Hraci!$A$1:$I$1000,3,0)," ")</f>
        <v xml:space="preserve"> </v>
      </c>
      <c r="X87" s="149" t="str">
        <f ca="1">IF(N(U87)&gt;0,VLOOKUP(U87,Hraci!$A$1:$I$1000,5,0),IF(TYPE(INDIRECT(ADDRESS(ROW() + $A$9-7 + (ROW()-11)*4,3,1,1,"Internet")))&gt;1,INDIRECT(ADDRESS(ROW() + $A$9-7 + (ROW()-11)*4,3,1,1,"Internet"))," "))</f>
        <v xml:space="preserve"> </v>
      </c>
      <c r="Y87" s="149">
        <f ca="1">IF(N(U87)=0,9999,VLOOKUP(U87,Hraci!$A$1:$I$1000,8,0))</f>
        <v>9999</v>
      </c>
      <c r="Z87" s="150">
        <f ca="1">IF(N(U87)=0,0,VLOOKUP(U87,Hraci!$A$1:$I$1000,9,0))</f>
        <v>0</v>
      </c>
      <c r="AA87" s="147" t="str">
        <f t="shared" ca="1" si="41"/>
        <v/>
      </c>
      <c r="AB87" s="148" t="str">
        <f ca="1">IF(N(AA87)&gt;0,VLOOKUP(AA87,Hraci!$A$1:$I$1000,2,0)," ")</f>
        <v xml:space="preserve"> </v>
      </c>
      <c r="AC87" s="149" t="str">
        <f ca="1">IF(N(AA87)&gt;0,VLOOKUP(AA87,Hraci!$A$1:$I$1000,3,0)," ")</f>
        <v xml:space="preserve"> </v>
      </c>
      <c r="AD87" s="149" t="str">
        <f ca="1">IF(N(AA87)&gt;0,VLOOKUP(AA87,Hraci!$A$1:$I$1000,5,0)," ")</f>
        <v xml:space="preserve"> </v>
      </c>
      <c r="AE87" s="149">
        <f ca="1">IF(N(AA87)=0,9999,VLOOKUP(AA87,Hraci!$A$1:$I$1000,8,0))</f>
        <v>9999</v>
      </c>
      <c r="AF87" s="150">
        <f ca="1">IF(N(AA87)=0,0,VLOOKUP(AA87,Hraci!$A$1:$I$1000,9,0))</f>
        <v>0</v>
      </c>
      <c r="AG87" s="147"/>
      <c r="AH87" s="151">
        <f ca="1">IF(TYPE(VLOOKUP(H87,Nasazení!$A$3:$E$130,5,0))&lt;4,VLOOKUP(H87,Nasazení!$A$3:$E$130,5,0),0)</f>
        <v>0</v>
      </c>
      <c r="AI87" s="152" t="str">
        <f ca="1">IF(N($AH87)&gt;0,VLOOKUP($AH87,Body!$A$4:$F$259,5,0),"")</f>
        <v/>
      </c>
      <c r="AJ87" s="153" t="str">
        <f ca="1">IF(N($AH87)&gt;0,VLOOKUP($AH87,Body!$A$4:$F$259,6,0),"")</f>
        <v/>
      </c>
      <c r="AK87" s="152" t="str">
        <f ca="1">IF(N($AH87)&gt;0,VLOOKUP($AH87,Body!$A$4:$F$259,2,0),"")</f>
        <v/>
      </c>
      <c r="AL87" s="154" t="str">
        <f t="shared" ca="1" si="42"/>
        <v/>
      </c>
      <c r="AM87" s="155">
        <f t="shared" ca="1" si="43"/>
        <v>0</v>
      </c>
      <c r="AN87" s="72">
        <f ca="1">IF(OR(TYPE(I87)&gt;1,TYPE(MATCH(I87,I88:I$203,0))&gt;1),0,MATCH(I87,I88:I$203,0))+IF(OR(TYPE(I87)&gt;1,TYPE(MATCH(I87,O$11:O$203,0))&gt;1),0,MATCH(I87,O$11:O$203,0))+IF(OR(TYPE(I87)&gt;1,TYPE(MATCH(I87,U$11:U$203,0))&gt;1),0,MATCH(I87,U$11:U$203,0))+IF(OR(TYPE(I87)&gt;1,TYPE(MATCH(I87,AA$11:AA$203,0))&gt;1),0,MATCH(I87,AA$11:AA$203,0))</f>
        <v>0</v>
      </c>
      <c r="AO87" s="72">
        <f ca="1">IF(OR(TYPE(O87)&gt;1,TYPE(MATCH(O87,I$11:I$203,0))&gt;1),0,MATCH(O87,I$11:I$203,0))+IF(OR(TYPE(O87)&gt;1,TYPE(MATCH(O87,O88:O$203,0))&gt;1),0,MATCH(O87,O88:O$203,0))+IF(OR(TYPE(O87)&gt;1,TYPE(MATCH(O87,U$11:U$203,0))&gt;1),0,MATCH(O87,U$11:U$203,0))+IF(OR(TYPE(O87)&gt;1,TYPE(MATCH(O87,AA$11:AA$203,0))&gt;1),0,MATCH(O87,AA$11:AA$203,0))</f>
        <v>0</v>
      </c>
      <c r="AP87" s="72">
        <f ca="1">IF(OR(TYPE(U87)&gt;1,TYPE(MATCH(U87,I$11:I$203,0))&gt;1),0,MATCH(U87,I$11:I$203,0))+IF(OR(TYPE(U87)&gt;1,TYPE(MATCH(U87,O$11:O$203,0))&gt;1),0,MATCH(U87,O$11:O$203,0))+IF(OR(TYPE(U87)&gt;1,TYPE(MATCH(U87,U88:U$203,0))&gt;1),0,MATCH(U87,U88:U$203,0))+IF(OR(TYPE(U87)&gt;1,TYPE(MATCH(U87,AA$11:AA$203,0))&gt;1),0,MATCH(U87,AA$11:AA$203,0))</f>
        <v>0</v>
      </c>
      <c r="AQ87" s="72">
        <f ca="1">IF(OR(TYPE(AA87)&gt;1,TYPE(MATCH(AA87,I$11:I$203,0))&gt;1),0,MATCH(AA87,I$11:I$203,0))+IF(OR(TYPE(AA87)&gt;1,TYPE(MATCH(AA87,O$11:O$203,0))&gt;1),0,MATCH(AA87,O$11:O$203,0))+IF(OR(TYPE(AA87)&gt;1,TYPE(MATCH(AA87,U$11:U$203,0))&gt;1),0,MATCH(U87,U$11:U$203,0))+IF(OR(TYPE(AA87)&gt;1,TYPE(MATCH(AA87,AA88:AA$203,0))&gt;1),0,MATCH(AA87,AA88:AA$203,0))</f>
        <v>0</v>
      </c>
      <c r="AR87" s="72">
        <f t="shared" ca="1" si="44"/>
        <v>0</v>
      </c>
    </row>
    <row r="88" spans="1:44" ht="14.25">
      <c r="A88" s="103">
        <f t="shared" ca="1" si="30"/>
        <v>0</v>
      </c>
      <c r="B88" s="103">
        <f t="shared" ca="1" si="31"/>
        <v>0</v>
      </c>
      <c r="C88" s="156">
        <f t="shared" ca="1" si="32"/>
        <v>0</v>
      </c>
      <c r="D88" s="103">
        <f t="shared" ca="1" si="33"/>
        <v>99999</v>
      </c>
      <c r="E88" s="103">
        <f t="shared" ca="1" si="34"/>
        <v>9999</v>
      </c>
      <c r="F88" s="104" t="str">
        <f t="shared" ca="1" si="35"/>
        <v>00000000000000000000594362</v>
      </c>
      <c r="G88" s="145">
        <f t="shared" ca="1" si="36"/>
        <v>1</v>
      </c>
      <c r="H88" s="146">
        <f t="shared" si="37"/>
        <v>78</v>
      </c>
      <c r="I88" s="147" t="str">
        <f t="shared" ca="1" si="38"/>
        <v/>
      </c>
      <c r="J88" s="148" t="str">
        <f ca="1">IF(N(I88)&gt;0,VLOOKUP(I88,Hraci!$A$1:$I$1000,2,0),IF(TYPE(INDIRECT(ADDRESS(ROW() + $A$9-9 + (ROW()-11)*4,2,1,1,"Internet")))&gt;1,INDIRECT(ADDRESS(ROW() + $A$9-9 + (ROW()-11)*4,2,1,1,"Internet"))," "))</f>
        <v xml:space="preserve"> </v>
      </c>
      <c r="K88" s="149" t="str">
        <f ca="1">IF(N(I88)&gt;0,VLOOKUP(I88,Hraci!$A$1:$I$1000,3,0)," ")</f>
        <v xml:space="preserve"> </v>
      </c>
      <c r="L88" s="149" t="str">
        <f ca="1">IF(N(I88)&gt;0,VLOOKUP(I88,Hraci!$A$1:$I$1000,5,0),IF(TYPE(INDIRECT(ADDRESS(ROW() + $A$9-9 + (ROW()-11)*4,3,1,1,"Internet")))&gt;1,INDIRECT(ADDRESS(ROW() + $A$9-9 + (ROW()-11)*4,3,1,1,"Internet"))," "))</f>
        <v xml:space="preserve"> </v>
      </c>
      <c r="M88" s="149">
        <f ca="1">IF(N(I88)=0,9999,VLOOKUP(I88,Hraci!$A$1:$I$1000,8,0))</f>
        <v>9999</v>
      </c>
      <c r="N88" s="150">
        <f ca="1">IF(N(I88)=0,0,VLOOKUP(I88,Hraci!$A$1:$I$1000,9,0))</f>
        <v>0</v>
      </c>
      <c r="O88" s="147" t="str">
        <f t="shared" ca="1" si="39"/>
        <v/>
      </c>
      <c r="P88" s="148" t="str">
        <f ca="1">IF(N(O88)&gt;0,VLOOKUP(O88,Hraci!$A$1:$I$1000,2,0),IF(TYPE(INDIRECT(ADDRESS(ROW() + $A$9-8 + (ROW()-11)*4,2,1,1,"Internet")))&gt;1,INDIRECT(ADDRESS(ROW() + $A$9-8 + (ROW()-11)*4,2,1,1,"Internet"))," "))</f>
        <v xml:space="preserve"> </v>
      </c>
      <c r="Q88" s="149" t="str">
        <f ca="1">IF(N(O88)&gt;0,VLOOKUP(O88,Hraci!$A$1:$I$1000,3,0)," ")</f>
        <v xml:space="preserve"> </v>
      </c>
      <c r="R88" s="149" t="str">
        <f ca="1">IF(N(O88)&gt;0,VLOOKUP(O88,Hraci!$A$1:$I$1000,5,0),IF(TYPE(INDIRECT(ADDRESS(ROW() + $A$9-8 + (ROW()-11)*4,3,1,1,"Internet")))&gt;1,INDIRECT(ADDRESS(ROW() + $A$9-8 + (ROW()-11)*4,3,1,1,"Internet"))," "))</f>
        <v xml:space="preserve"> </v>
      </c>
      <c r="S88" s="149">
        <f ca="1">IF(N(O88)=0,9999,VLOOKUP(O88,Hraci!$A$1:$I$1000,8,0))</f>
        <v>9999</v>
      </c>
      <c r="T88" s="150">
        <f ca="1">IF(N(O88)=0,0,VLOOKUP(O88,Hraci!$A$1:$I$1000,9,0))</f>
        <v>0</v>
      </c>
      <c r="U88" s="147" t="str">
        <f t="shared" ca="1" si="40"/>
        <v/>
      </c>
      <c r="V88" s="148" t="str">
        <f ca="1">IF(N(U88)&gt;0,VLOOKUP(U88,Hraci!$A$1:$I$1000,2,0),IF(TYPE(INDIRECT(ADDRESS(ROW() + $A$9-7 + (ROW()-11)*4,2,1,1,"Internet")))&gt;1,INDIRECT(ADDRESS(ROW() + $A$9-7 + (ROW()-11)*4,2,1,1,"Internet"))," "))</f>
        <v xml:space="preserve"> </v>
      </c>
      <c r="W88" s="149" t="str">
        <f ca="1">IF(N(U88)&gt;0,VLOOKUP(U88,Hraci!$A$1:$I$1000,3,0)," ")</f>
        <v xml:space="preserve"> </v>
      </c>
      <c r="X88" s="149" t="str">
        <f ca="1">IF(N(U88)&gt;0,VLOOKUP(U88,Hraci!$A$1:$I$1000,5,0),IF(TYPE(INDIRECT(ADDRESS(ROW() + $A$9-7 + (ROW()-11)*4,3,1,1,"Internet")))&gt;1,INDIRECT(ADDRESS(ROW() + $A$9-7 + (ROW()-11)*4,3,1,1,"Internet"))," "))</f>
        <v xml:space="preserve"> </v>
      </c>
      <c r="Y88" s="149">
        <f ca="1">IF(N(U88)=0,9999,VLOOKUP(U88,Hraci!$A$1:$I$1000,8,0))</f>
        <v>9999</v>
      </c>
      <c r="Z88" s="150">
        <f ca="1">IF(N(U88)=0,0,VLOOKUP(U88,Hraci!$A$1:$I$1000,9,0))</f>
        <v>0</v>
      </c>
      <c r="AA88" s="147" t="str">
        <f t="shared" ca="1" si="41"/>
        <v/>
      </c>
      <c r="AB88" s="148" t="str">
        <f ca="1">IF(N(AA88)&gt;0,VLOOKUP(AA88,Hraci!$A$1:$I$1000,2,0)," ")</f>
        <v xml:space="preserve"> </v>
      </c>
      <c r="AC88" s="149" t="str">
        <f ca="1">IF(N(AA88)&gt;0,VLOOKUP(AA88,Hraci!$A$1:$I$1000,3,0)," ")</f>
        <v xml:space="preserve"> </v>
      </c>
      <c r="AD88" s="149" t="str">
        <f ca="1">IF(N(AA88)&gt;0,VLOOKUP(AA88,Hraci!$A$1:$I$1000,5,0)," ")</f>
        <v xml:space="preserve"> </v>
      </c>
      <c r="AE88" s="149">
        <f ca="1">IF(N(AA88)=0,9999,VLOOKUP(AA88,Hraci!$A$1:$I$1000,8,0))</f>
        <v>9999</v>
      </c>
      <c r="AF88" s="150">
        <f ca="1">IF(N(AA88)=0,0,VLOOKUP(AA88,Hraci!$A$1:$I$1000,9,0))</f>
        <v>0</v>
      </c>
      <c r="AG88" s="147"/>
      <c r="AH88" s="151">
        <f ca="1">IF(TYPE(VLOOKUP(H88,Nasazení!$A$3:$E$130,5,0))&lt;4,VLOOKUP(H88,Nasazení!$A$3:$E$130,5,0),0)</f>
        <v>0</v>
      </c>
      <c r="AI88" s="152" t="str">
        <f ca="1">IF(N($AH88)&gt;0,VLOOKUP($AH88,Body!$A$4:$F$259,5,0),"")</f>
        <v/>
      </c>
      <c r="AJ88" s="153" t="str">
        <f ca="1">IF(N($AH88)&gt;0,VLOOKUP($AH88,Body!$A$4:$F$259,6,0),"")</f>
        <v/>
      </c>
      <c r="AK88" s="152" t="str">
        <f ca="1">IF(N($AH88)&gt;0,VLOOKUP($AH88,Body!$A$4:$F$259,2,0),"")</f>
        <v/>
      </c>
      <c r="AL88" s="154" t="str">
        <f t="shared" ca="1" si="42"/>
        <v/>
      </c>
      <c r="AM88" s="155">
        <f t="shared" ca="1" si="43"/>
        <v>0</v>
      </c>
      <c r="AN88" s="72">
        <f ca="1">IF(OR(TYPE(I88)&gt;1,TYPE(MATCH(I88,I89:I$203,0))&gt;1),0,MATCH(I88,I89:I$203,0))+IF(OR(TYPE(I88)&gt;1,TYPE(MATCH(I88,O$11:O$203,0))&gt;1),0,MATCH(I88,O$11:O$203,0))+IF(OR(TYPE(I88)&gt;1,TYPE(MATCH(I88,U$11:U$203,0))&gt;1),0,MATCH(I88,U$11:U$203,0))+IF(OR(TYPE(I88)&gt;1,TYPE(MATCH(I88,AA$11:AA$203,0))&gt;1),0,MATCH(I88,AA$11:AA$203,0))</f>
        <v>0</v>
      </c>
      <c r="AO88" s="72">
        <f ca="1">IF(OR(TYPE(O88)&gt;1,TYPE(MATCH(O88,I$11:I$203,0))&gt;1),0,MATCH(O88,I$11:I$203,0))+IF(OR(TYPE(O88)&gt;1,TYPE(MATCH(O88,O89:O$203,0))&gt;1),0,MATCH(O88,O89:O$203,0))+IF(OR(TYPE(O88)&gt;1,TYPE(MATCH(O88,U$11:U$203,0))&gt;1),0,MATCH(O88,U$11:U$203,0))+IF(OR(TYPE(O88)&gt;1,TYPE(MATCH(O88,AA$11:AA$203,0))&gt;1),0,MATCH(O88,AA$11:AA$203,0))</f>
        <v>0</v>
      </c>
      <c r="AP88" s="72">
        <f ca="1">IF(OR(TYPE(U88)&gt;1,TYPE(MATCH(U88,I$11:I$203,0))&gt;1),0,MATCH(U88,I$11:I$203,0))+IF(OR(TYPE(U88)&gt;1,TYPE(MATCH(U88,O$11:O$203,0))&gt;1),0,MATCH(U88,O$11:O$203,0))+IF(OR(TYPE(U88)&gt;1,TYPE(MATCH(U88,U89:U$203,0))&gt;1),0,MATCH(U88,U89:U$203,0))+IF(OR(TYPE(U88)&gt;1,TYPE(MATCH(U88,AA$11:AA$203,0))&gt;1),0,MATCH(U88,AA$11:AA$203,0))</f>
        <v>0</v>
      </c>
      <c r="AQ88" s="72">
        <f ca="1">IF(OR(TYPE(AA88)&gt;1,TYPE(MATCH(AA88,I$11:I$203,0))&gt;1),0,MATCH(AA88,I$11:I$203,0))+IF(OR(TYPE(AA88)&gt;1,TYPE(MATCH(AA88,O$11:O$203,0))&gt;1),0,MATCH(AA88,O$11:O$203,0))+IF(OR(TYPE(AA88)&gt;1,TYPE(MATCH(AA88,U$11:U$203,0))&gt;1),0,MATCH(U88,U$11:U$203,0))+IF(OR(TYPE(AA88)&gt;1,TYPE(MATCH(AA88,AA89:AA$203,0))&gt;1),0,MATCH(AA88,AA89:AA$203,0))</f>
        <v>0</v>
      </c>
      <c r="AR88" s="72">
        <f t="shared" ca="1" si="44"/>
        <v>0</v>
      </c>
    </row>
    <row r="89" spans="1:44" ht="14.25">
      <c r="A89" s="103">
        <f t="shared" ca="1" si="30"/>
        <v>0</v>
      </c>
      <c r="B89" s="103">
        <f t="shared" ca="1" si="31"/>
        <v>0</v>
      </c>
      <c r="C89" s="156">
        <f t="shared" ca="1" si="32"/>
        <v>0</v>
      </c>
      <c r="D89" s="103">
        <f t="shared" ca="1" si="33"/>
        <v>99999</v>
      </c>
      <c r="E89" s="103">
        <f t="shared" ca="1" si="34"/>
        <v>9999</v>
      </c>
      <c r="F89" s="104" t="str">
        <f t="shared" ca="1" si="35"/>
        <v>00000000000000000000859161</v>
      </c>
      <c r="G89" s="145">
        <f t="shared" ca="1" si="36"/>
        <v>1</v>
      </c>
      <c r="H89" s="146">
        <f t="shared" si="37"/>
        <v>79</v>
      </c>
      <c r="I89" s="147" t="str">
        <f t="shared" ca="1" si="38"/>
        <v/>
      </c>
      <c r="J89" s="148" t="str">
        <f ca="1">IF(N(I89)&gt;0,VLOOKUP(I89,Hraci!$A$1:$I$1000,2,0),IF(TYPE(INDIRECT(ADDRESS(ROW() + $A$9-9 + (ROW()-11)*4,2,1,1,"Internet")))&gt;1,INDIRECT(ADDRESS(ROW() + $A$9-9 + (ROW()-11)*4,2,1,1,"Internet"))," "))</f>
        <v xml:space="preserve"> </v>
      </c>
      <c r="K89" s="149" t="str">
        <f ca="1">IF(N(I89)&gt;0,VLOOKUP(I89,Hraci!$A$1:$I$1000,3,0)," ")</f>
        <v xml:space="preserve"> </v>
      </c>
      <c r="L89" s="149" t="str">
        <f ca="1">IF(N(I89)&gt;0,VLOOKUP(I89,Hraci!$A$1:$I$1000,5,0),IF(TYPE(INDIRECT(ADDRESS(ROW() + $A$9-9 + (ROW()-11)*4,3,1,1,"Internet")))&gt;1,INDIRECT(ADDRESS(ROW() + $A$9-9 + (ROW()-11)*4,3,1,1,"Internet"))," "))</f>
        <v xml:space="preserve"> </v>
      </c>
      <c r="M89" s="149">
        <f ca="1">IF(N(I89)=0,9999,VLOOKUP(I89,Hraci!$A$1:$I$1000,8,0))</f>
        <v>9999</v>
      </c>
      <c r="N89" s="150">
        <f ca="1">IF(N(I89)=0,0,VLOOKUP(I89,Hraci!$A$1:$I$1000,9,0))</f>
        <v>0</v>
      </c>
      <c r="O89" s="147" t="str">
        <f t="shared" ca="1" si="39"/>
        <v/>
      </c>
      <c r="P89" s="148" t="str">
        <f ca="1">IF(N(O89)&gt;0,VLOOKUP(O89,Hraci!$A$1:$I$1000,2,0),IF(TYPE(INDIRECT(ADDRESS(ROW() + $A$9-8 + (ROW()-11)*4,2,1,1,"Internet")))&gt;1,INDIRECT(ADDRESS(ROW() + $A$9-8 + (ROW()-11)*4,2,1,1,"Internet"))," "))</f>
        <v xml:space="preserve"> </v>
      </c>
      <c r="Q89" s="149" t="str">
        <f ca="1">IF(N(O89)&gt;0,VLOOKUP(O89,Hraci!$A$1:$I$1000,3,0)," ")</f>
        <v xml:space="preserve"> </v>
      </c>
      <c r="R89" s="149" t="str">
        <f ca="1">IF(N(O89)&gt;0,VLOOKUP(O89,Hraci!$A$1:$I$1000,5,0),IF(TYPE(INDIRECT(ADDRESS(ROW() + $A$9-8 + (ROW()-11)*4,3,1,1,"Internet")))&gt;1,INDIRECT(ADDRESS(ROW() + $A$9-8 + (ROW()-11)*4,3,1,1,"Internet"))," "))</f>
        <v xml:space="preserve"> </v>
      </c>
      <c r="S89" s="149">
        <f ca="1">IF(N(O89)=0,9999,VLOOKUP(O89,Hraci!$A$1:$I$1000,8,0))</f>
        <v>9999</v>
      </c>
      <c r="T89" s="150">
        <f ca="1">IF(N(O89)=0,0,VLOOKUP(O89,Hraci!$A$1:$I$1000,9,0))</f>
        <v>0</v>
      </c>
      <c r="U89" s="147" t="str">
        <f t="shared" ca="1" si="40"/>
        <v/>
      </c>
      <c r="V89" s="148" t="str">
        <f ca="1">IF(N(U89)&gt;0,VLOOKUP(U89,Hraci!$A$1:$I$1000,2,0),IF(TYPE(INDIRECT(ADDRESS(ROW() + $A$9-7 + (ROW()-11)*4,2,1,1,"Internet")))&gt;1,INDIRECT(ADDRESS(ROW() + $A$9-7 + (ROW()-11)*4,2,1,1,"Internet"))," "))</f>
        <v xml:space="preserve"> </v>
      </c>
      <c r="W89" s="149" t="str">
        <f ca="1">IF(N(U89)&gt;0,VLOOKUP(U89,Hraci!$A$1:$I$1000,3,0)," ")</f>
        <v xml:space="preserve"> </v>
      </c>
      <c r="X89" s="149" t="str">
        <f ca="1">IF(N(U89)&gt;0,VLOOKUP(U89,Hraci!$A$1:$I$1000,5,0),IF(TYPE(INDIRECT(ADDRESS(ROW() + $A$9-7 + (ROW()-11)*4,3,1,1,"Internet")))&gt;1,INDIRECT(ADDRESS(ROW() + $A$9-7 + (ROW()-11)*4,3,1,1,"Internet"))," "))</f>
        <v xml:space="preserve"> </v>
      </c>
      <c r="Y89" s="149">
        <f ca="1">IF(N(U89)=0,9999,VLOOKUP(U89,Hraci!$A$1:$I$1000,8,0))</f>
        <v>9999</v>
      </c>
      <c r="Z89" s="150">
        <f ca="1">IF(N(U89)=0,0,VLOOKUP(U89,Hraci!$A$1:$I$1000,9,0))</f>
        <v>0</v>
      </c>
      <c r="AA89" s="147" t="str">
        <f t="shared" ca="1" si="41"/>
        <v/>
      </c>
      <c r="AB89" s="148" t="str">
        <f ca="1">IF(N(AA89)&gt;0,VLOOKUP(AA89,Hraci!$A$1:$I$1000,2,0)," ")</f>
        <v xml:space="preserve"> </v>
      </c>
      <c r="AC89" s="149" t="str">
        <f ca="1">IF(N(AA89)&gt;0,VLOOKUP(AA89,Hraci!$A$1:$I$1000,3,0)," ")</f>
        <v xml:space="preserve"> </v>
      </c>
      <c r="AD89" s="149" t="str">
        <f ca="1">IF(N(AA89)&gt;0,VLOOKUP(AA89,Hraci!$A$1:$I$1000,5,0)," ")</f>
        <v xml:space="preserve"> </v>
      </c>
      <c r="AE89" s="149">
        <f ca="1">IF(N(AA89)=0,9999,VLOOKUP(AA89,Hraci!$A$1:$I$1000,8,0))</f>
        <v>9999</v>
      </c>
      <c r="AF89" s="150">
        <f ca="1">IF(N(AA89)=0,0,VLOOKUP(AA89,Hraci!$A$1:$I$1000,9,0))</f>
        <v>0</v>
      </c>
      <c r="AG89" s="147"/>
      <c r="AH89" s="151">
        <f ca="1">IF(TYPE(VLOOKUP(H89,Nasazení!$A$3:$E$130,5,0))&lt;4,VLOOKUP(H89,Nasazení!$A$3:$E$130,5,0),0)</f>
        <v>0</v>
      </c>
      <c r="AI89" s="152" t="str">
        <f ca="1">IF(N($AH89)&gt;0,VLOOKUP($AH89,Body!$A$4:$F$259,5,0),"")</f>
        <v/>
      </c>
      <c r="AJ89" s="153" t="str">
        <f ca="1">IF(N($AH89)&gt;0,VLOOKUP($AH89,Body!$A$4:$F$259,6,0),"")</f>
        <v/>
      </c>
      <c r="AK89" s="152" t="str">
        <f ca="1">IF(N($AH89)&gt;0,VLOOKUP($AH89,Body!$A$4:$F$259,2,0),"")</f>
        <v/>
      </c>
      <c r="AL89" s="154" t="str">
        <f t="shared" ca="1" si="42"/>
        <v/>
      </c>
      <c r="AM89" s="155">
        <f t="shared" ca="1" si="43"/>
        <v>0</v>
      </c>
      <c r="AN89" s="72">
        <f ca="1">IF(OR(TYPE(I89)&gt;1,TYPE(MATCH(I89,I90:I$203,0))&gt;1),0,MATCH(I89,I90:I$203,0))+IF(OR(TYPE(I89)&gt;1,TYPE(MATCH(I89,O$11:O$203,0))&gt;1),0,MATCH(I89,O$11:O$203,0))+IF(OR(TYPE(I89)&gt;1,TYPE(MATCH(I89,U$11:U$203,0))&gt;1),0,MATCH(I89,U$11:U$203,0))+IF(OR(TYPE(I89)&gt;1,TYPE(MATCH(I89,AA$11:AA$203,0))&gt;1),0,MATCH(I89,AA$11:AA$203,0))</f>
        <v>0</v>
      </c>
      <c r="AO89" s="72">
        <f ca="1">IF(OR(TYPE(O89)&gt;1,TYPE(MATCH(O89,I$11:I$203,0))&gt;1),0,MATCH(O89,I$11:I$203,0))+IF(OR(TYPE(O89)&gt;1,TYPE(MATCH(O89,O90:O$203,0))&gt;1),0,MATCH(O89,O90:O$203,0))+IF(OR(TYPE(O89)&gt;1,TYPE(MATCH(O89,U$11:U$203,0))&gt;1),0,MATCH(O89,U$11:U$203,0))+IF(OR(TYPE(O89)&gt;1,TYPE(MATCH(O89,AA$11:AA$203,0))&gt;1),0,MATCH(O89,AA$11:AA$203,0))</f>
        <v>0</v>
      </c>
      <c r="AP89" s="72">
        <f ca="1">IF(OR(TYPE(U89)&gt;1,TYPE(MATCH(U89,I$11:I$203,0))&gt;1),0,MATCH(U89,I$11:I$203,0))+IF(OR(TYPE(U89)&gt;1,TYPE(MATCH(U89,O$11:O$203,0))&gt;1),0,MATCH(U89,O$11:O$203,0))+IF(OR(TYPE(U89)&gt;1,TYPE(MATCH(U89,U90:U$203,0))&gt;1),0,MATCH(U89,U90:U$203,0))+IF(OR(TYPE(U89)&gt;1,TYPE(MATCH(U89,AA$11:AA$203,0))&gt;1),0,MATCH(U89,AA$11:AA$203,0))</f>
        <v>0</v>
      </c>
      <c r="AQ89" s="72">
        <f ca="1">IF(OR(TYPE(AA89)&gt;1,TYPE(MATCH(AA89,I$11:I$203,0))&gt;1),0,MATCH(AA89,I$11:I$203,0))+IF(OR(TYPE(AA89)&gt;1,TYPE(MATCH(AA89,O$11:O$203,0))&gt;1),0,MATCH(AA89,O$11:O$203,0))+IF(OR(TYPE(AA89)&gt;1,TYPE(MATCH(AA89,U$11:U$203,0))&gt;1),0,MATCH(U89,U$11:U$203,0))+IF(OR(TYPE(AA89)&gt;1,TYPE(MATCH(AA89,AA90:AA$203,0))&gt;1),0,MATCH(AA89,AA90:AA$203,0))</f>
        <v>0</v>
      </c>
      <c r="AR89" s="72">
        <f t="shared" ca="1" si="44"/>
        <v>0</v>
      </c>
    </row>
    <row r="90" spans="1:44" ht="14.25">
      <c r="A90" s="103">
        <f t="shared" ca="1" si="30"/>
        <v>0</v>
      </c>
      <c r="B90" s="103">
        <f t="shared" ca="1" si="31"/>
        <v>0</v>
      </c>
      <c r="C90" s="156">
        <f t="shared" ca="1" si="32"/>
        <v>0</v>
      </c>
      <c r="D90" s="103">
        <f t="shared" ca="1" si="33"/>
        <v>99999</v>
      </c>
      <c r="E90" s="103">
        <f t="shared" ca="1" si="34"/>
        <v>9999</v>
      </c>
      <c r="F90" s="104" t="str">
        <f t="shared" ca="1" si="35"/>
        <v>00000000000000000000088437</v>
      </c>
      <c r="G90" s="145">
        <f t="shared" ca="1" si="36"/>
        <v>1</v>
      </c>
      <c r="H90" s="146">
        <f t="shared" si="37"/>
        <v>80</v>
      </c>
      <c r="I90" s="147" t="str">
        <f t="shared" ca="1" si="38"/>
        <v/>
      </c>
      <c r="J90" s="148" t="str">
        <f ca="1">IF(N(I90)&gt;0,VLOOKUP(I90,Hraci!$A$1:$I$1000,2,0),IF(TYPE(INDIRECT(ADDRESS(ROW() + $A$9-9 + (ROW()-11)*4,2,1,1,"Internet")))&gt;1,INDIRECT(ADDRESS(ROW() + $A$9-9 + (ROW()-11)*4,2,1,1,"Internet"))," "))</f>
        <v xml:space="preserve"> </v>
      </c>
      <c r="K90" s="149" t="str">
        <f ca="1">IF(N(I90)&gt;0,VLOOKUP(I90,Hraci!$A$1:$I$1000,3,0)," ")</f>
        <v xml:space="preserve"> </v>
      </c>
      <c r="L90" s="149" t="str">
        <f ca="1">IF(N(I90)&gt;0,VLOOKUP(I90,Hraci!$A$1:$I$1000,5,0),IF(TYPE(INDIRECT(ADDRESS(ROW() + $A$9-9 + (ROW()-11)*4,3,1,1,"Internet")))&gt;1,INDIRECT(ADDRESS(ROW() + $A$9-9 + (ROW()-11)*4,3,1,1,"Internet"))," "))</f>
        <v xml:space="preserve"> </v>
      </c>
      <c r="M90" s="149">
        <f ca="1">IF(N(I90)=0,9999,VLOOKUP(I90,Hraci!$A$1:$I$1000,8,0))</f>
        <v>9999</v>
      </c>
      <c r="N90" s="150">
        <f ca="1">IF(N(I90)=0,0,VLOOKUP(I90,Hraci!$A$1:$I$1000,9,0))</f>
        <v>0</v>
      </c>
      <c r="O90" s="147" t="str">
        <f t="shared" ca="1" si="39"/>
        <v/>
      </c>
      <c r="P90" s="148" t="str">
        <f ca="1">IF(N(O90)&gt;0,VLOOKUP(O90,Hraci!$A$1:$I$1000,2,0),IF(TYPE(INDIRECT(ADDRESS(ROW() + $A$9-8 + (ROW()-11)*4,2,1,1,"Internet")))&gt;1,INDIRECT(ADDRESS(ROW() + $A$9-8 + (ROW()-11)*4,2,1,1,"Internet"))," "))</f>
        <v xml:space="preserve"> </v>
      </c>
      <c r="Q90" s="149" t="str">
        <f ca="1">IF(N(O90)&gt;0,VLOOKUP(O90,Hraci!$A$1:$I$1000,3,0)," ")</f>
        <v xml:space="preserve"> </v>
      </c>
      <c r="R90" s="149" t="str">
        <f ca="1">IF(N(O90)&gt;0,VLOOKUP(O90,Hraci!$A$1:$I$1000,5,0),IF(TYPE(INDIRECT(ADDRESS(ROW() + $A$9-8 + (ROW()-11)*4,3,1,1,"Internet")))&gt;1,INDIRECT(ADDRESS(ROW() + $A$9-8 + (ROW()-11)*4,3,1,1,"Internet"))," "))</f>
        <v xml:space="preserve"> </v>
      </c>
      <c r="S90" s="149">
        <f ca="1">IF(N(O90)=0,9999,VLOOKUP(O90,Hraci!$A$1:$I$1000,8,0))</f>
        <v>9999</v>
      </c>
      <c r="T90" s="150">
        <f ca="1">IF(N(O90)=0,0,VLOOKUP(O90,Hraci!$A$1:$I$1000,9,0))</f>
        <v>0</v>
      </c>
      <c r="U90" s="147" t="str">
        <f t="shared" ca="1" si="40"/>
        <v/>
      </c>
      <c r="V90" s="148" t="str">
        <f ca="1">IF(N(U90)&gt;0,VLOOKUP(U90,Hraci!$A$1:$I$1000,2,0),IF(TYPE(INDIRECT(ADDRESS(ROW() + $A$9-7 + (ROW()-11)*4,2,1,1,"Internet")))&gt;1,INDIRECT(ADDRESS(ROW() + $A$9-7 + (ROW()-11)*4,2,1,1,"Internet"))," "))</f>
        <v xml:space="preserve"> </v>
      </c>
      <c r="W90" s="149" t="str">
        <f ca="1">IF(N(U90)&gt;0,VLOOKUP(U90,Hraci!$A$1:$I$1000,3,0)," ")</f>
        <v xml:space="preserve"> </v>
      </c>
      <c r="X90" s="149" t="str">
        <f ca="1">IF(N(U90)&gt;0,VLOOKUP(U90,Hraci!$A$1:$I$1000,5,0),IF(TYPE(INDIRECT(ADDRESS(ROW() + $A$9-7 + (ROW()-11)*4,3,1,1,"Internet")))&gt;1,INDIRECT(ADDRESS(ROW() + $A$9-7 + (ROW()-11)*4,3,1,1,"Internet"))," "))</f>
        <v xml:space="preserve"> </v>
      </c>
      <c r="Y90" s="149">
        <f ca="1">IF(N(U90)=0,9999,VLOOKUP(U90,Hraci!$A$1:$I$1000,8,0))</f>
        <v>9999</v>
      </c>
      <c r="Z90" s="150">
        <f ca="1">IF(N(U90)=0,0,VLOOKUP(U90,Hraci!$A$1:$I$1000,9,0))</f>
        <v>0</v>
      </c>
      <c r="AA90" s="147" t="str">
        <f t="shared" ca="1" si="41"/>
        <v/>
      </c>
      <c r="AB90" s="148" t="str">
        <f ca="1">IF(N(AA90)&gt;0,VLOOKUP(AA90,Hraci!$A$1:$I$1000,2,0)," ")</f>
        <v xml:space="preserve"> </v>
      </c>
      <c r="AC90" s="149" t="str">
        <f ca="1">IF(N(AA90)&gt;0,VLOOKUP(AA90,Hraci!$A$1:$I$1000,3,0)," ")</f>
        <v xml:space="preserve"> </v>
      </c>
      <c r="AD90" s="149" t="str">
        <f ca="1">IF(N(AA90)&gt;0,VLOOKUP(AA90,Hraci!$A$1:$I$1000,5,0)," ")</f>
        <v xml:space="preserve"> </v>
      </c>
      <c r="AE90" s="149">
        <f ca="1">IF(N(AA90)=0,9999,VLOOKUP(AA90,Hraci!$A$1:$I$1000,8,0))</f>
        <v>9999</v>
      </c>
      <c r="AF90" s="150">
        <f ca="1">IF(N(AA90)=0,0,VLOOKUP(AA90,Hraci!$A$1:$I$1000,9,0))</f>
        <v>0</v>
      </c>
      <c r="AG90" s="147"/>
      <c r="AH90" s="151">
        <f ca="1">IF(TYPE(VLOOKUP(H90,Nasazení!$A$3:$E$130,5,0))&lt;4,VLOOKUP(H90,Nasazení!$A$3:$E$130,5,0),0)</f>
        <v>0</v>
      </c>
      <c r="AI90" s="152" t="str">
        <f ca="1">IF(N($AH90)&gt;0,VLOOKUP($AH90,Body!$A$4:$F$259,5,0),"")</f>
        <v/>
      </c>
      <c r="AJ90" s="153" t="str">
        <f ca="1">IF(N($AH90)&gt;0,VLOOKUP($AH90,Body!$A$4:$F$259,6,0),"")</f>
        <v/>
      </c>
      <c r="AK90" s="152" t="str">
        <f ca="1">IF(N($AH90)&gt;0,VLOOKUP($AH90,Body!$A$4:$F$259,2,0),"")</f>
        <v/>
      </c>
      <c r="AL90" s="154" t="str">
        <f t="shared" ca="1" si="42"/>
        <v/>
      </c>
      <c r="AM90" s="155">
        <f t="shared" ca="1" si="43"/>
        <v>0</v>
      </c>
      <c r="AN90" s="72">
        <f ca="1">IF(OR(TYPE(I90)&gt;1,TYPE(MATCH(I90,I91:I$203,0))&gt;1),0,MATCH(I90,I91:I$203,0))+IF(OR(TYPE(I90)&gt;1,TYPE(MATCH(I90,O$11:O$203,0))&gt;1),0,MATCH(I90,O$11:O$203,0))+IF(OR(TYPE(I90)&gt;1,TYPE(MATCH(I90,U$11:U$203,0))&gt;1),0,MATCH(I90,U$11:U$203,0))+IF(OR(TYPE(I90)&gt;1,TYPE(MATCH(I90,AA$11:AA$203,0))&gt;1),0,MATCH(I90,AA$11:AA$203,0))</f>
        <v>0</v>
      </c>
      <c r="AO90" s="72">
        <f ca="1">IF(OR(TYPE(O90)&gt;1,TYPE(MATCH(O90,I$11:I$203,0))&gt;1),0,MATCH(O90,I$11:I$203,0))+IF(OR(TYPE(O90)&gt;1,TYPE(MATCH(O90,O91:O$203,0))&gt;1),0,MATCH(O90,O91:O$203,0))+IF(OR(TYPE(O90)&gt;1,TYPE(MATCH(O90,U$11:U$203,0))&gt;1),0,MATCH(O90,U$11:U$203,0))+IF(OR(TYPE(O90)&gt;1,TYPE(MATCH(O90,AA$11:AA$203,0))&gt;1),0,MATCH(O90,AA$11:AA$203,0))</f>
        <v>0</v>
      </c>
      <c r="AP90" s="72">
        <f ca="1">IF(OR(TYPE(U90)&gt;1,TYPE(MATCH(U90,I$11:I$203,0))&gt;1),0,MATCH(U90,I$11:I$203,0))+IF(OR(TYPE(U90)&gt;1,TYPE(MATCH(U90,O$11:O$203,0))&gt;1),0,MATCH(U90,O$11:O$203,0))+IF(OR(TYPE(U90)&gt;1,TYPE(MATCH(U90,U91:U$203,0))&gt;1),0,MATCH(U90,U91:U$203,0))+IF(OR(TYPE(U90)&gt;1,TYPE(MATCH(U90,AA$11:AA$203,0))&gt;1),0,MATCH(U90,AA$11:AA$203,0))</f>
        <v>0</v>
      </c>
      <c r="AQ90" s="72">
        <f ca="1">IF(OR(TYPE(AA90)&gt;1,TYPE(MATCH(AA90,I$11:I$203,0))&gt;1),0,MATCH(AA90,I$11:I$203,0))+IF(OR(TYPE(AA90)&gt;1,TYPE(MATCH(AA90,O$11:O$203,0))&gt;1),0,MATCH(AA90,O$11:O$203,0))+IF(OR(TYPE(AA90)&gt;1,TYPE(MATCH(AA90,U$11:U$203,0))&gt;1),0,MATCH(U90,U$11:U$203,0))+IF(OR(TYPE(AA90)&gt;1,TYPE(MATCH(AA90,AA91:AA$203,0))&gt;1),0,MATCH(AA90,AA91:AA$203,0))</f>
        <v>0</v>
      </c>
      <c r="AR90" s="72">
        <f t="shared" ca="1" si="44"/>
        <v>0</v>
      </c>
    </row>
    <row r="91" spans="1:44" ht="14.25">
      <c r="A91" s="103">
        <f t="shared" ca="1" si="30"/>
        <v>0</v>
      </c>
      <c r="B91" s="103">
        <f t="shared" ca="1" si="31"/>
        <v>0</v>
      </c>
      <c r="C91" s="156">
        <f t="shared" ca="1" si="32"/>
        <v>0</v>
      </c>
      <c r="D91" s="103">
        <f t="shared" ca="1" si="33"/>
        <v>99999</v>
      </c>
      <c r="E91" s="103">
        <f t="shared" ca="1" si="34"/>
        <v>9999</v>
      </c>
      <c r="F91" s="104" t="str">
        <f t="shared" ca="1" si="35"/>
        <v>00000000000000000000984870</v>
      </c>
      <c r="G91" s="145">
        <f t="shared" ca="1" si="36"/>
        <v>1</v>
      </c>
      <c r="H91" s="146">
        <f t="shared" si="37"/>
        <v>81</v>
      </c>
      <c r="I91" s="147" t="str">
        <f t="shared" ca="1" si="38"/>
        <v/>
      </c>
      <c r="J91" s="148" t="str">
        <f ca="1">IF(N(I91)&gt;0,VLOOKUP(I91,Hraci!$A$1:$I$1000,2,0),IF(TYPE(INDIRECT(ADDRESS(ROW() + $A$9-9 + (ROW()-11)*4,2,1,1,"Internet")))&gt;1,INDIRECT(ADDRESS(ROW() + $A$9-9 + (ROW()-11)*4,2,1,1,"Internet"))," "))</f>
        <v xml:space="preserve"> </v>
      </c>
      <c r="K91" s="149" t="str">
        <f ca="1">IF(N(I91)&gt;0,VLOOKUP(I91,Hraci!$A$1:$I$1000,3,0)," ")</f>
        <v xml:space="preserve"> </v>
      </c>
      <c r="L91" s="149" t="str">
        <f ca="1">IF(N(I91)&gt;0,VLOOKUP(I91,Hraci!$A$1:$I$1000,5,0),IF(TYPE(INDIRECT(ADDRESS(ROW() + $A$9-9 + (ROW()-11)*4,3,1,1,"Internet")))&gt;1,INDIRECT(ADDRESS(ROW() + $A$9-9 + (ROW()-11)*4,3,1,1,"Internet"))," "))</f>
        <v xml:space="preserve"> </v>
      </c>
      <c r="M91" s="149">
        <f ca="1">IF(N(I91)=0,9999,VLOOKUP(I91,Hraci!$A$1:$I$1000,8,0))</f>
        <v>9999</v>
      </c>
      <c r="N91" s="150">
        <f ca="1">IF(N(I91)=0,0,VLOOKUP(I91,Hraci!$A$1:$I$1000,9,0))</f>
        <v>0</v>
      </c>
      <c r="O91" s="147" t="str">
        <f t="shared" ca="1" si="39"/>
        <v/>
      </c>
      <c r="P91" s="148" t="str">
        <f ca="1">IF(N(O91)&gt;0,VLOOKUP(O91,Hraci!$A$1:$I$1000,2,0),IF(TYPE(INDIRECT(ADDRESS(ROW() + $A$9-8 + (ROW()-11)*4,2,1,1,"Internet")))&gt;1,INDIRECT(ADDRESS(ROW() + $A$9-8 + (ROW()-11)*4,2,1,1,"Internet"))," "))</f>
        <v xml:space="preserve"> </v>
      </c>
      <c r="Q91" s="149" t="str">
        <f ca="1">IF(N(O91)&gt;0,VLOOKUP(O91,Hraci!$A$1:$I$1000,3,0)," ")</f>
        <v xml:space="preserve"> </v>
      </c>
      <c r="R91" s="149" t="str">
        <f ca="1">IF(N(O91)&gt;0,VLOOKUP(O91,Hraci!$A$1:$I$1000,5,0),IF(TYPE(INDIRECT(ADDRESS(ROW() + $A$9-8 + (ROW()-11)*4,3,1,1,"Internet")))&gt;1,INDIRECT(ADDRESS(ROW() + $A$9-8 + (ROW()-11)*4,3,1,1,"Internet"))," "))</f>
        <v xml:space="preserve"> </v>
      </c>
      <c r="S91" s="149">
        <f ca="1">IF(N(O91)=0,9999,VLOOKUP(O91,Hraci!$A$1:$I$1000,8,0))</f>
        <v>9999</v>
      </c>
      <c r="T91" s="150">
        <f ca="1">IF(N(O91)=0,0,VLOOKUP(O91,Hraci!$A$1:$I$1000,9,0))</f>
        <v>0</v>
      </c>
      <c r="U91" s="147" t="str">
        <f t="shared" ca="1" si="40"/>
        <v/>
      </c>
      <c r="V91" s="148" t="str">
        <f ca="1">IF(N(U91)&gt;0,VLOOKUP(U91,Hraci!$A$1:$I$1000,2,0),IF(TYPE(INDIRECT(ADDRESS(ROW() + $A$9-7 + (ROW()-11)*4,2,1,1,"Internet")))&gt;1,INDIRECT(ADDRESS(ROW() + $A$9-7 + (ROW()-11)*4,2,1,1,"Internet"))," "))</f>
        <v xml:space="preserve"> </v>
      </c>
      <c r="W91" s="149" t="str">
        <f ca="1">IF(N(U91)&gt;0,VLOOKUP(U91,Hraci!$A$1:$I$1000,3,0)," ")</f>
        <v xml:space="preserve"> </v>
      </c>
      <c r="X91" s="149" t="str">
        <f ca="1">IF(N(U91)&gt;0,VLOOKUP(U91,Hraci!$A$1:$I$1000,5,0),IF(TYPE(INDIRECT(ADDRESS(ROW() + $A$9-7 + (ROW()-11)*4,3,1,1,"Internet")))&gt;1,INDIRECT(ADDRESS(ROW() + $A$9-7 + (ROW()-11)*4,3,1,1,"Internet"))," "))</f>
        <v xml:space="preserve"> </v>
      </c>
      <c r="Y91" s="149">
        <f ca="1">IF(N(U91)=0,9999,VLOOKUP(U91,Hraci!$A$1:$I$1000,8,0))</f>
        <v>9999</v>
      </c>
      <c r="Z91" s="150">
        <f ca="1">IF(N(U91)=0,0,VLOOKUP(U91,Hraci!$A$1:$I$1000,9,0))</f>
        <v>0</v>
      </c>
      <c r="AA91" s="147" t="str">
        <f t="shared" ca="1" si="41"/>
        <v/>
      </c>
      <c r="AB91" s="148" t="str">
        <f ca="1">IF(N(AA91)&gt;0,VLOOKUP(AA91,Hraci!$A$1:$I$1000,2,0)," ")</f>
        <v xml:space="preserve"> </v>
      </c>
      <c r="AC91" s="149" t="str">
        <f ca="1">IF(N(AA91)&gt;0,VLOOKUP(AA91,Hraci!$A$1:$I$1000,3,0)," ")</f>
        <v xml:space="preserve"> </v>
      </c>
      <c r="AD91" s="149" t="str">
        <f ca="1">IF(N(AA91)&gt;0,VLOOKUP(AA91,Hraci!$A$1:$I$1000,5,0)," ")</f>
        <v xml:space="preserve"> </v>
      </c>
      <c r="AE91" s="149">
        <f ca="1">IF(N(AA91)=0,9999,VLOOKUP(AA91,Hraci!$A$1:$I$1000,8,0))</f>
        <v>9999</v>
      </c>
      <c r="AF91" s="150">
        <f ca="1">IF(N(AA91)=0,0,VLOOKUP(AA91,Hraci!$A$1:$I$1000,9,0))</f>
        <v>0</v>
      </c>
      <c r="AG91" s="147"/>
      <c r="AH91" s="151">
        <f ca="1">IF(TYPE(VLOOKUP(H91,Nasazení!$A$3:$E$130,5,0))&lt;4,VLOOKUP(H91,Nasazení!$A$3:$E$130,5,0),0)</f>
        <v>0</v>
      </c>
      <c r="AI91" s="152" t="str">
        <f ca="1">IF(N($AH91)&gt;0,VLOOKUP($AH91,Body!$A$4:$F$259,5,0),"")</f>
        <v/>
      </c>
      <c r="AJ91" s="153" t="str">
        <f ca="1">IF(N($AH91)&gt;0,VLOOKUP($AH91,Body!$A$4:$F$259,6,0),"")</f>
        <v/>
      </c>
      <c r="AK91" s="152" t="str">
        <f ca="1">IF(N($AH91)&gt;0,VLOOKUP($AH91,Body!$A$4:$F$259,2,0),"")</f>
        <v/>
      </c>
      <c r="AL91" s="154" t="str">
        <f t="shared" ca="1" si="42"/>
        <v/>
      </c>
      <c r="AM91" s="155">
        <f t="shared" ca="1" si="43"/>
        <v>0</v>
      </c>
      <c r="AN91" s="72">
        <f ca="1">IF(OR(TYPE(I91)&gt;1,TYPE(MATCH(I91,I92:I$203,0))&gt;1),0,MATCH(I91,I92:I$203,0))+IF(OR(TYPE(I91)&gt;1,TYPE(MATCH(I91,O$11:O$203,0))&gt;1),0,MATCH(I91,O$11:O$203,0))+IF(OR(TYPE(I91)&gt;1,TYPE(MATCH(I91,U$11:U$203,0))&gt;1),0,MATCH(I91,U$11:U$203,0))+IF(OR(TYPE(I91)&gt;1,TYPE(MATCH(I91,AA$11:AA$203,0))&gt;1),0,MATCH(I91,AA$11:AA$203,0))</f>
        <v>0</v>
      </c>
      <c r="AO91" s="72">
        <f ca="1">IF(OR(TYPE(O91)&gt;1,TYPE(MATCH(O91,I$11:I$203,0))&gt;1),0,MATCH(O91,I$11:I$203,0))+IF(OR(TYPE(O91)&gt;1,TYPE(MATCH(O91,O92:O$203,0))&gt;1),0,MATCH(O91,O92:O$203,0))+IF(OR(TYPE(O91)&gt;1,TYPE(MATCH(O91,U$11:U$203,0))&gt;1),0,MATCH(O91,U$11:U$203,0))+IF(OR(TYPE(O91)&gt;1,TYPE(MATCH(O91,AA$11:AA$203,0))&gt;1),0,MATCH(O91,AA$11:AA$203,0))</f>
        <v>0</v>
      </c>
      <c r="AP91" s="72">
        <f ca="1">IF(OR(TYPE(U91)&gt;1,TYPE(MATCH(U91,I$11:I$203,0))&gt;1),0,MATCH(U91,I$11:I$203,0))+IF(OR(TYPE(U91)&gt;1,TYPE(MATCH(U91,O$11:O$203,0))&gt;1),0,MATCH(U91,O$11:O$203,0))+IF(OR(TYPE(U91)&gt;1,TYPE(MATCH(U91,U92:U$203,0))&gt;1),0,MATCH(U91,U92:U$203,0))+IF(OR(TYPE(U91)&gt;1,TYPE(MATCH(U91,AA$11:AA$203,0))&gt;1),0,MATCH(U91,AA$11:AA$203,0))</f>
        <v>0</v>
      </c>
      <c r="AQ91" s="72">
        <f ca="1">IF(OR(TYPE(AA91)&gt;1,TYPE(MATCH(AA91,I$11:I$203,0))&gt;1),0,MATCH(AA91,I$11:I$203,0))+IF(OR(TYPE(AA91)&gt;1,TYPE(MATCH(AA91,O$11:O$203,0))&gt;1),0,MATCH(AA91,O$11:O$203,0))+IF(OR(TYPE(AA91)&gt;1,TYPE(MATCH(AA91,U$11:U$203,0))&gt;1),0,MATCH(U91,U$11:U$203,0))+IF(OR(TYPE(AA91)&gt;1,TYPE(MATCH(AA91,AA92:AA$203,0))&gt;1),0,MATCH(AA91,AA92:AA$203,0))</f>
        <v>0</v>
      </c>
      <c r="AR91" s="72">
        <f t="shared" ca="1" si="44"/>
        <v>0</v>
      </c>
    </row>
    <row r="92" spans="1:44" ht="14.25">
      <c r="A92" s="103">
        <f t="shared" ca="1" si="30"/>
        <v>0</v>
      </c>
      <c r="B92" s="103">
        <f t="shared" ca="1" si="31"/>
        <v>0</v>
      </c>
      <c r="C92" s="156">
        <f t="shared" ca="1" si="32"/>
        <v>0</v>
      </c>
      <c r="D92" s="103">
        <f t="shared" ca="1" si="33"/>
        <v>99999</v>
      </c>
      <c r="E92" s="103">
        <f t="shared" ca="1" si="34"/>
        <v>9999</v>
      </c>
      <c r="F92" s="104" t="str">
        <f t="shared" ca="1" si="35"/>
        <v>00000000000000000000927666</v>
      </c>
      <c r="G92" s="145">
        <f t="shared" ca="1" si="36"/>
        <v>1</v>
      </c>
      <c r="H92" s="146">
        <f t="shared" si="37"/>
        <v>82</v>
      </c>
      <c r="I92" s="147" t="str">
        <f t="shared" ca="1" si="38"/>
        <v/>
      </c>
      <c r="J92" s="148" t="str">
        <f ca="1">IF(N(I92)&gt;0,VLOOKUP(I92,Hraci!$A$1:$I$1000,2,0),IF(TYPE(INDIRECT(ADDRESS(ROW() + $A$9-9 + (ROW()-11)*4,2,1,1,"Internet")))&gt;1,INDIRECT(ADDRESS(ROW() + $A$9-9 + (ROW()-11)*4,2,1,1,"Internet"))," "))</f>
        <v xml:space="preserve"> </v>
      </c>
      <c r="K92" s="149" t="str">
        <f ca="1">IF(N(I92)&gt;0,VLOOKUP(I92,Hraci!$A$1:$I$1000,3,0)," ")</f>
        <v xml:space="preserve"> </v>
      </c>
      <c r="L92" s="149" t="str">
        <f ca="1">IF(N(I92)&gt;0,VLOOKUP(I92,Hraci!$A$1:$I$1000,5,0),IF(TYPE(INDIRECT(ADDRESS(ROW() + $A$9-9 + (ROW()-11)*4,3,1,1,"Internet")))&gt;1,INDIRECT(ADDRESS(ROW() + $A$9-9 + (ROW()-11)*4,3,1,1,"Internet"))," "))</f>
        <v xml:space="preserve"> </v>
      </c>
      <c r="M92" s="149">
        <f ca="1">IF(N(I92)=0,9999,VLOOKUP(I92,Hraci!$A$1:$I$1000,8,0))</f>
        <v>9999</v>
      </c>
      <c r="N92" s="150">
        <f ca="1">IF(N(I92)=0,0,VLOOKUP(I92,Hraci!$A$1:$I$1000,9,0))</f>
        <v>0</v>
      </c>
      <c r="O92" s="147" t="str">
        <f t="shared" ca="1" si="39"/>
        <v/>
      </c>
      <c r="P92" s="148" t="str">
        <f ca="1">IF(N(O92)&gt;0,VLOOKUP(O92,Hraci!$A$1:$I$1000,2,0),IF(TYPE(INDIRECT(ADDRESS(ROW() + $A$9-8 + (ROW()-11)*4,2,1,1,"Internet")))&gt;1,INDIRECT(ADDRESS(ROW() + $A$9-8 + (ROW()-11)*4,2,1,1,"Internet"))," "))</f>
        <v xml:space="preserve"> </v>
      </c>
      <c r="Q92" s="149" t="str">
        <f ca="1">IF(N(O92)&gt;0,VLOOKUP(O92,Hraci!$A$1:$I$1000,3,0)," ")</f>
        <v xml:space="preserve"> </v>
      </c>
      <c r="R92" s="149" t="str">
        <f ca="1">IF(N(O92)&gt;0,VLOOKUP(O92,Hraci!$A$1:$I$1000,5,0),IF(TYPE(INDIRECT(ADDRESS(ROW() + $A$9-8 + (ROW()-11)*4,3,1,1,"Internet")))&gt;1,INDIRECT(ADDRESS(ROW() + $A$9-8 + (ROW()-11)*4,3,1,1,"Internet"))," "))</f>
        <v xml:space="preserve"> </v>
      </c>
      <c r="S92" s="149">
        <f ca="1">IF(N(O92)=0,9999,VLOOKUP(O92,Hraci!$A$1:$I$1000,8,0))</f>
        <v>9999</v>
      </c>
      <c r="T92" s="150">
        <f ca="1">IF(N(O92)=0,0,VLOOKUP(O92,Hraci!$A$1:$I$1000,9,0))</f>
        <v>0</v>
      </c>
      <c r="U92" s="147" t="str">
        <f t="shared" ca="1" si="40"/>
        <v/>
      </c>
      <c r="V92" s="148" t="str">
        <f ca="1">IF(N(U92)&gt;0,VLOOKUP(U92,Hraci!$A$1:$I$1000,2,0),IF(TYPE(INDIRECT(ADDRESS(ROW() + $A$9-7 + (ROW()-11)*4,2,1,1,"Internet")))&gt;1,INDIRECT(ADDRESS(ROW() + $A$9-7 + (ROW()-11)*4,2,1,1,"Internet"))," "))</f>
        <v xml:space="preserve"> </v>
      </c>
      <c r="W92" s="149" t="str">
        <f ca="1">IF(N(U92)&gt;0,VLOOKUP(U92,Hraci!$A$1:$I$1000,3,0)," ")</f>
        <v xml:space="preserve"> </v>
      </c>
      <c r="X92" s="149" t="str">
        <f ca="1">IF(N(U92)&gt;0,VLOOKUP(U92,Hraci!$A$1:$I$1000,5,0),IF(TYPE(INDIRECT(ADDRESS(ROW() + $A$9-7 + (ROW()-11)*4,3,1,1,"Internet")))&gt;1,INDIRECT(ADDRESS(ROW() + $A$9-7 + (ROW()-11)*4,3,1,1,"Internet"))," "))</f>
        <v xml:space="preserve"> </v>
      </c>
      <c r="Y92" s="149">
        <f ca="1">IF(N(U92)=0,9999,VLOOKUP(U92,Hraci!$A$1:$I$1000,8,0))</f>
        <v>9999</v>
      </c>
      <c r="Z92" s="150">
        <f ca="1">IF(N(U92)=0,0,VLOOKUP(U92,Hraci!$A$1:$I$1000,9,0))</f>
        <v>0</v>
      </c>
      <c r="AA92" s="147" t="str">
        <f t="shared" ca="1" si="41"/>
        <v/>
      </c>
      <c r="AB92" s="148" t="str">
        <f ca="1">IF(N(AA92)&gt;0,VLOOKUP(AA92,Hraci!$A$1:$I$1000,2,0)," ")</f>
        <v xml:space="preserve"> </v>
      </c>
      <c r="AC92" s="149" t="str">
        <f ca="1">IF(N(AA92)&gt;0,VLOOKUP(AA92,Hraci!$A$1:$I$1000,3,0)," ")</f>
        <v xml:space="preserve"> </v>
      </c>
      <c r="AD92" s="149" t="str">
        <f ca="1">IF(N(AA92)&gt;0,VLOOKUP(AA92,Hraci!$A$1:$I$1000,5,0)," ")</f>
        <v xml:space="preserve"> </v>
      </c>
      <c r="AE92" s="149">
        <f ca="1">IF(N(AA92)=0,9999,VLOOKUP(AA92,Hraci!$A$1:$I$1000,8,0))</f>
        <v>9999</v>
      </c>
      <c r="AF92" s="150">
        <f ca="1">IF(N(AA92)=0,0,VLOOKUP(AA92,Hraci!$A$1:$I$1000,9,0))</f>
        <v>0</v>
      </c>
      <c r="AG92" s="147"/>
      <c r="AH92" s="151">
        <f ca="1">IF(TYPE(VLOOKUP(H92,Nasazení!$A$3:$E$130,5,0))&lt;4,VLOOKUP(H92,Nasazení!$A$3:$E$130,5,0),0)</f>
        <v>0</v>
      </c>
      <c r="AI92" s="152" t="str">
        <f ca="1">IF(N($AH92)&gt;0,VLOOKUP($AH92,Body!$A$4:$F$259,5,0),"")</f>
        <v/>
      </c>
      <c r="AJ92" s="153" t="str">
        <f ca="1">IF(N($AH92)&gt;0,VLOOKUP($AH92,Body!$A$4:$F$259,6,0),"")</f>
        <v/>
      </c>
      <c r="AK92" s="152" t="str">
        <f ca="1">IF(N($AH92)&gt;0,VLOOKUP($AH92,Body!$A$4:$F$259,2,0),"")</f>
        <v/>
      </c>
      <c r="AL92" s="154" t="str">
        <f t="shared" ca="1" si="42"/>
        <v/>
      </c>
      <c r="AM92" s="155">
        <f t="shared" ca="1" si="43"/>
        <v>0</v>
      </c>
      <c r="AN92" s="72">
        <f ca="1">IF(OR(TYPE(I92)&gt;1,TYPE(MATCH(I92,I93:I$203,0))&gt;1),0,MATCH(I92,I93:I$203,0))+IF(OR(TYPE(I92)&gt;1,TYPE(MATCH(I92,O$11:O$203,0))&gt;1),0,MATCH(I92,O$11:O$203,0))+IF(OR(TYPE(I92)&gt;1,TYPE(MATCH(I92,U$11:U$203,0))&gt;1),0,MATCH(I92,U$11:U$203,0))+IF(OR(TYPE(I92)&gt;1,TYPE(MATCH(I92,AA$11:AA$203,0))&gt;1),0,MATCH(I92,AA$11:AA$203,0))</f>
        <v>0</v>
      </c>
      <c r="AO92" s="72">
        <f ca="1">IF(OR(TYPE(O92)&gt;1,TYPE(MATCH(O92,I$11:I$203,0))&gt;1),0,MATCH(O92,I$11:I$203,0))+IF(OR(TYPE(O92)&gt;1,TYPE(MATCH(O92,O93:O$203,0))&gt;1),0,MATCH(O92,O93:O$203,0))+IF(OR(TYPE(O92)&gt;1,TYPE(MATCH(O92,U$11:U$203,0))&gt;1),0,MATCH(O92,U$11:U$203,0))+IF(OR(TYPE(O92)&gt;1,TYPE(MATCH(O92,AA$11:AA$203,0))&gt;1),0,MATCH(O92,AA$11:AA$203,0))</f>
        <v>0</v>
      </c>
      <c r="AP92" s="72">
        <f ca="1">IF(OR(TYPE(U92)&gt;1,TYPE(MATCH(U92,I$11:I$203,0))&gt;1),0,MATCH(U92,I$11:I$203,0))+IF(OR(TYPE(U92)&gt;1,TYPE(MATCH(U92,O$11:O$203,0))&gt;1),0,MATCH(U92,O$11:O$203,0))+IF(OR(TYPE(U92)&gt;1,TYPE(MATCH(U92,U93:U$203,0))&gt;1),0,MATCH(U92,U93:U$203,0))+IF(OR(TYPE(U92)&gt;1,TYPE(MATCH(U92,AA$11:AA$203,0))&gt;1),0,MATCH(U92,AA$11:AA$203,0))</f>
        <v>0</v>
      </c>
      <c r="AQ92" s="72">
        <f ca="1">IF(OR(TYPE(AA92)&gt;1,TYPE(MATCH(AA92,I$11:I$203,0))&gt;1),0,MATCH(AA92,I$11:I$203,0))+IF(OR(TYPE(AA92)&gt;1,TYPE(MATCH(AA92,O$11:O$203,0))&gt;1),0,MATCH(AA92,O$11:O$203,0))+IF(OR(TYPE(AA92)&gt;1,TYPE(MATCH(AA92,U$11:U$203,0))&gt;1),0,MATCH(U92,U$11:U$203,0))+IF(OR(TYPE(AA92)&gt;1,TYPE(MATCH(AA92,AA93:AA$203,0))&gt;1),0,MATCH(AA92,AA93:AA$203,0))</f>
        <v>0</v>
      </c>
      <c r="AR92" s="72">
        <f t="shared" ca="1" si="44"/>
        <v>0</v>
      </c>
    </row>
    <row r="93" spans="1:44" ht="14.25">
      <c r="A93" s="103">
        <f t="shared" ca="1" si="30"/>
        <v>0</v>
      </c>
      <c r="B93" s="103">
        <f t="shared" ca="1" si="31"/>
        <v>0</v>
      </c>
      <c r="C93" s="156">
        <f t="shared" ca="1" si="32"/>
        <v>0</v>
      </c>
      <c r="D93" s="103">
        <f t="shared" ca="1" si="33"/>
        <v>99999</v>
      </c>
      <c r="E93" s="103">
        <f t="shared" ca="1" si="34"/>
        <v>9999</v>
      </c>
      <c r="F93" s="104" t="str">
        <f t="shared" ca="1" si="35"/>
        <v>00000000000000000000865986</v>
      </c>
      <c r="G93" s="145">
        <f t="shared" ca="1" si="36"/>
        <v>1</v>
      </c>
      <c r="H93" s="146">
        <f t="shared" si="37"/>
        <v>83</v>
      </c>
      <c r="I93" s="147" t="str">
        <f t="shared" ca="1" si="38"/>
        <v/>
      </c>
      <c r="J93" s="148" t="str">
        <f ca="1">IF(N(I93)&gt;0,VLOOKUP(I93,Hraci!$A$1:$I$1000,2,0),IF(TYPE(INDIRECT(ADDRESS(ROW() + $A$9-9 + (ROW()-11)*4,2,1,1,"Internet")))&gt;1,INDIRECT(ADDRESS(ROW() + $A$9-9 + (ROW()-11)*4,2,1,1,"Internet"))," "))</f>
        <v xml:space="preserve"> </v>
      </c>
      <c r="K93" s="149" t="str">
        <f ca="1">IF(N(I93)&gt;0,VLOOKUP(I93,Hraci!$A$1:$I$1000,3,0)," ")</f>
        <v xml:space="preserve"> </v>
      </c>
      <c r="L93" s="149" t="str">
        <f ca="1">IF(N(I93)&gt;0,VLOOKUP(I93,Hraci!$A$1:$I$1000,5,0),IF(TYPE(INDIRECT(ADDRESS(ROW() + $A$9-9 + (ROW()-11)*4,3,1,1,"Internet")))&gt;1,INDIRECT(ADDRESS(ROW() + $A$9-9 + (ROW()-11)*4,3,1,1,"Internet"))," "))</f>
        <v xml:space="preserve"> </v>
      </c>
      <c r="M93" s="149">
        <f ca="1">IF(N(I93)=0,9999,VLOOKUP(I93,Hraci!$A$1:$I$1000,8,0))</f>
        <v>9999</v>
      </c>
      <c r="N93" s="150">
        <f ca="1">IF(N(I93)=0,0,VLOOKUP(I93,Hraci!$A$1:$I$1000,9,0))</f>
        <v>0</v>
      </c>
      <c r="O93" s="147" t="str">
        <f t="shared" ca="1" si="39"/>
        <v/>
      </c>
      <c r="P93" s="148" t="str">
        <f ca="1">IF(N(O93)&gt;0,VLOOKUP(O93,Hraci!$A$1:$I$1000,2,0),IF(TYPE(INDIRECT(ADDRESS(ROW() + $A$9-8 + (ROW()-11)*4,2,1,1,"Internet")))&gt;1,INDIRECT(ADDRESS(ROW() + $A$9-8 + (ROW()-11)*4,2,1,1,"Internet"))," "))</f>
        <v xml:space="preserve"> </v>
      </c>
      <c r="Q93" s="149" t="str">
        <f ca="1">IF(N(O93)&gt;0,VLOOKUP(O93,Hraci!$A$1:$I$1000,3,0)," ")</f>
        <v xml:space="preserve"> </v>
      </c>
      <c r="R93" s="149" t="str">
        <f ca="1">IF(N(O93)&gt;0,VLOOKUP(O93,Hraci!$A$1:$I$1000,5,0),IF(TYPE(INDIRECT(ADDRESS(ROW() + $A$9-8 + (ROW()-11)*4,3,1,1,"Internet")))&gt;1,INDIRECT(ADDRESS(ROW() + $A$9-8 + (ROW()-11)*4,3,1,1,"Internet"))," "))</f>
        <v xml:space="preserve"> </v>
      </c>
      <c r="S93" s="149">
        <f ca="1">IF(N(O93)=0,9999,VLOOKUP(O93,Hraci!$A$1:$I$1000,8,0))</f>
        <v>9999</v>
      </c>
      <c r="T93" s="150">
        <f ca="1">IF(N(O93)=0,0,VLOOKUP(O93,Hraci!$A$1:$I$1000,9,0))</f>
        <v>0</v>
      </c>
      <c r="U93" s="147" t="str">
        <f t="shared" ca="1" si="40"/>
        <v/>
      </c>
      <c r="V93" s="148" t="str">
        <f ca="1">IF(N(U93)&gt;0,VLOOKUP(U93,Hraci!$A$1:$I$1000,2,0),IF(TYPE(INDIRECT(ADDRESS(ROW() + $A$9-7 + (ROW()-11)*4,2,1,1,"Internet")))&gt;1,INDIRECT(ADDRESS(ROW() + $A$9-7 + (ROW()-11)*4,2,1,1,"Internet"))," "))</f>
        <v xml:space="preserve"> </v>
      </c>
      <c r="W93" s="149" t="str">
        <f ca="1">IF(N(U93)&gt;0,VLOOKUP(U93,Hraci!$A$1:$I$1000,3,0)," ")</f>
        <v xml:space="preserve"> </v>
      </c>
      <c r="X93" s="149" t="str">
        <f ca="1">IF(N(U93)&gt;0,VLOOKUP(U93,Hraci!$A$1:$I$1000,5,0),IF(TYPE(INDIRECT(ADDRESS(ROW() + $A$9-7 + (ROW()-11)*4,3,1,1,"Internet")))&gt;1,INDIRECT(ADDRESS(ROW() + $A$9-7 + (ROW()-11)*4,3,1,1,"Internet"))," "))</f>
        <v xml:space="preserve"> </v>
      </c>
      <c r="Y93" s="149">
        <f ca="1">IF(N(U93)=0,9999,VLOOKUP(U93,Hraci!$A$1:$I$1000,8,0))</f>
        <v>9999</v>
      </c>
      <c r="Z93" s="150">
        <f ca="1">IF(N(U93)=0,0,VLOOKUP(U93,Hraci!$A$1:$I$1000,9,0))</f>
        <v>0</v>
      </c>
      <c r="AA93" s="147" t="str">
        <f t="shared" ca="1" si="41"/>
        <v/>
      </c>
      <c r="AB93" s="148" t="str">
        <f ca="1">IF(N(AA93)&gt;0,VLOOKUP(AA93,Hraci!$A$1:$I$1000,2,0)," ")</f>
        <v xml:space="preserve"> </v>
      </c>
      <c r="AC93" s="149" t="str">
        <f ca="1">IF(N(AA93)&gt;0,VLOOKUP(AA93,Hraci!$A$1:$I$1000,3,0)," ")</f>
        <v xml:space="preserve"> </v>
      </c>
      <c r="AD93" s="149" t="str">
        <f ca="1">IF(N(AA93)&gt;0,VLOOKUP(AA93,Hraci!$A$1:$I$1000,5,0)," ")</f>
        <v xml:space="preserve"> </v>
      </c>
      <c r="AE93" s="149">
        <f ca="1">IF(N(AA93)=0,9999,VLOOKUP(AA93,Hraci!$A$1:$I$1000,8,0))</f>
        <v>9999</v>
      </c>
      <c r="AF93" s="150">
        <f ca="1">IF(N(AA93)=0,0,VLOOKUP(AA93,Hraci!$A$1:$I$1000,9,0))</f>
        <v>0</v>
      </c>
      <c r="AG93" s="147"/>
      <c r="AH93" s="151">
        <f ca="1">IF(TYPE(VLOOKUP(H93,Nasazení!$A$3:$E$130,5,0))&lt;4,VLOOKUP(H93,Nasazení!$A$3:$E$130,5,0),0)</f>
        <v>0</v>
      </c>
      <c r="AI93" s="152" t="str">
        <f ca="1">IF(N($AH93)&gt;0,VLOOKUP($AH93,Body!$A$4:$F$259,5,0),"")</f>
        <v/>
      </c>
      <c r="AJ93" s="153" t="str">
        <f ca="1">IF(N($AH93)&gt;0,VLOOKUP($AH93,Body!$A$4:$F$259,6,0),"")</f>
        <v/>
      </c>
      <c r="AK93" s="152" t="str">
        <f ca="1">IF(N($AH93)&gt;0,VLOOKUP($AH93,Body!$A$4:$F$259,2,0),"")</f>
        <v/>
      </c>
      <c r="AL93" s="154" t="str">
        <f t="shared" ca="1" si="42"/>
        <v/>
      </c>
      <c r="AM93" s="155">
        <f t="shared" ca="1" si="43"/>
        <v>0</v>
      </c>
      <c r="AN93" s="72">
        <f ca="1">IF(OR(TYPE(I93)&gt;1,TYPE(MATCH(I93,I94:I$203,0))&gt;1),0,MATCH(I93,I94:I$203,0))+IF(OR(TYPE(I93)&gt;1,TYPE(MATCH(I93,O$11:O$203,0))&gt;1),0,MATCH(I93,O$11:O$203,0))+IF(OR(TYPE(I93)&gt;1,TYPE(MATCH(I93,U$11:U$203,0))&gt;1),0,MATCH(I93,U$11:U$203,0))+IF(OR(TYPE(I93)&gt;1,TYPE(MATCH(I93,AA$11:AA$203,0))&gt;1),0,MATCH(I93,AA$11:AA$203,0))</f>
        <v>0</v>
      </c>
      <c r="AO93" s="72">
        <f ca="1">IF(OR(TYPE(O93)&gt;1,TYPE(MATCH(O93,I$11:I$203,0))&gt;1),0,MATCH(O93,I$11:I$203,0))+IF(OR(TYPE(O93)&gt;1,TYPE(MATCH(O93,O94:O$203,0))&gt;1),0,MATCH(O93,O94:O$203,0))+IF(OR(TYPE(O93)&gt;1,TYPE(MATCH(O93,U$11:U$203,0))&gt;1),0,MATCH(O93,U$11:U$203,0))+IF(OR(TYPE(O93)&gt;1,TYPE(MATCH(O93,AA$11:AA$203,0))&gt;1),0,MATCH(O93,AA$11:AA$203,0))</f>
        <v>0</v>
      </c>
      <c r="AP93" s="72">
        <f ca="1">IF(OR(TYPE(U93)&gt;1,TYPE(MATCH(U93,I$11:I$203,0))&gt;1),0,MATCH(U93,I$11:I$203,0))+IF(OR(TYPE(U93)&gt;1,TYPE(MATCH(U93,O$11:O$203,0))&gt;1),0,MATCH(U93,O$11:O$203,0))+IF(OR(TYPE(U93)&gt;1,TYPE(MATCH(U93,U94:U$203,0))&gt;1),0,MATCH(U93,U94:U$203,0))+IF(OR(TYPE(U93)&gt;1,TYPE(MATCH(U93,AA$11:AA$203,0))&gt;1),0,MATCH(U93,AA$11:AA$203,0))</f>
        <v>0</v>
      </c>
      <c r="AQ93" s="72">
        <f ca="1">IF(OR(TYPE(AA93)&gt;1,TYPE(MATCH(AA93,I$11:I$203,0))&gt;1),0,MATCH(AA93,I$11:I$203,0))+IF(OR(TYPE(AA93)&gt;1,TYPE(MATCH(AA93,O$11:O$203,0))&gt;1),0,MATCH(AA93,O$11:O$203,0))+IF(OR(TYPE(AA93)&gt;1,TYPE(MATCH(AA93,U$11:U$203,0))&gt;1),0,MATCH(U93,U$11:U$203,0))+IF(OR(TYPE(AA93)&gt;1,TYPE(MATCH(AA93,AA94:AA$203,0))&gt;1),0,MATCH(AA93,AA94:AA$203,0))</f>
        <v>0</v>
      </c>
      <c r="AR93" s="72">
        <f t="shared" ca="1" si="44"/>
        <v>0</v>
      </c>
    </row>
    <row r="94" spans="1:44" ht="14.25">
      <c r="A94" s="103">
        <f t="shared" ca="1" si="30"/>
        <v>0</v>
      </c>
      <c r="B94" s="103">
        <f t="shared" ca="1" si="31"/>
        <v>0</v>
      </c>
      <c r="C94" s="156">
        <f t="shared" ca="1" si="32"/>
        <v>0</v>
      </c>
      <c r="D94" s="103">
        <f t="shared" ca="1" si="33"/>
        <v>99999</v>
      </c>
      <c r="E94" s="103">
        <f t="shared" ca="1" si="34"/>
        <v>9999</v>
      </c>
      <c r="F94" s="104" t="str">
        <f t="shared" ca="1" si="35"/>
        <v>00000000000000000000907617</v>
      </c>
      <c r="G94" s="145">
        <f t="shared" ca="1" si="36"/>
        <v>1</v>
      </c>
      <c r="H94" s="146">
        <f t="shared" si="37"/>
        <v>84</v>
      </c>
      <c r="I94" s="147" t="str">
        <f t="shared" ca="1" si="38"/>
        <v/>
      </c>
      <c r="J94" s="148" t="str">
        <f ca="1">IF(N(I94)&gt;0,VLOOKUP(I94,Hraci!$A$1:$I$1000,2,0),IF(TYPE(INDIRECT(ADDRESS(ROW() + $A$9-9 + (ROW()-11)*4,2,1,1,"Internet")))&gt;1,INDIRECT(ADDRESS(ROW() + $A$9-9 + (ROW()-11)*4,2,1,1,"Internet"))," "))</f>
        <v xml:space="preserve"> </v>
      </c>
      <c r="K94" s="149" t="str">
        <f ca="1">IF(N(I94)&gt;0,VLOOKUP(I94,Hraci!$A$1:$I$1000,3,0)," ")</f>
        <v xml:space="preserve"> </v>
      </c>
      <c r="L94" s="149" t="str">
        <f ca="1">IF(N(I94)&gt;0,VLOOKUP(I94,Hraci!$A$1:$I$1000,5,0),IF(TYPE(INDIRECT(ADDRESS(ROW() + $A$9-9 + (ROW()-11)*4,3,1,1,"Internet")))&gt;1,INDIRECT(ADDRESS(ROW() + $A$9-9 + (ROW()-11)*4,3,1,1,"Internet"))," "))</f>
        <v xml:space="preserve"> </v>
      </c>
      <c r="M94" s="149">
        <f ca="1">IF(N(I94)=0,9999,VLOOKUP(I94,Hraci!$A$1:$I$1000,8,0))</f>
        <v>9999</v>
      </c>
      <c r="N94" s="150">
        <f ca="1">IF(N(I94)=0,0,VLOOKUP(I94,Hraci!$A$1:$I$1000,9,0))</f>
        <v>0</v>
      </c>
      <c r="O94" s="147" t="str">
        <f t="shared" ca="1" si="39"/>
        <v/>
      </c>
      <c r="P94" s="148" t="str">
        <f ca="1">IF(N(O94)&gt;0,VLOOKUP(O94,Hraci!$A$1:$I$1000,2,0),IF(TYPE(INDIRECT(ADDRESS(ROW() + $A$9-8 + (ROW()-11)*4,2,1,1,"Internet")))&gt;1,INDIRECT(ADDRESS(ROW() + $A$9-8 + (ROW()-11)*4,2,1,1,"Internet"))," "))</f>
        <v xml:space="preserve"> </v>
      </c>
      <c r="Q94" s="149" t="str">
        <f ca="1">IF(N(O94)&gt;0,VLOOKUP(O94,Hraci!$A$1:$I$1000,3,0)," ")</f>
        <v xml:space="preserve"> </v>
      </c>
      <c r="R94" s="149" t="str">
        <f ca="1">IF(N(O94)&gt;0,VLOOKUP(O94,Hraci!$A$1:$I$1000,5,0),IF(TYPE(INDIRECT(ADDRESS(ROW() + $A$9-8 + (ROW()-11)*4,3,1,1,"Internet")))&gt;1,INDIRECT(ADDRESS(ROW() + $A$9-8 + (ROW()-11)*4,3,1,1,"Internet"))," "))</f>
        <v xml:space="preserve"> </v>
      </c>
      <c r="S94" s="149">
        <f ca="1">IF(N(O94)=0,9999,VLOOKUP(O94,Hraci!$A$1:$I$1000,8,0))</f>
        <v>9999</v>
      </c>
      <c r="T94" s="150">
        <f ca="1">IF(N(O94)=0,0,VLOOKUP(O94,Hraci!$A$1:$I$1000,9,0))</f>
        <v>0</v>
      </c>
      <c r="U94" s="147" t="str">
        <f t="shared" ca="1" si="40"/>
        <v/>
      </c>
      <c r="V94" s="148" t="str">
        <f ca="1">IF(N(U94)&gt;0,VLOOKUP(U94,Hraci!$A$1:$I$1000,2,0),IF(TYPE(INDIRECT(ADDRESS(ROW() + $A$9-7 + (ROW()-11)*4,2,1,1,"Internet")))&gt;1,INDIRECT(ADDRESS(ROW() + $A$9-7 + (ROW()-11)*4,2,1,1,"Internet"))," "))</f>
        <v xml:space="preserve"> </v>
      </c>
      <c r="W94" s="149" t="str">
        <f ca="1">IF(N(U94)&gt;0,VLOOKUP(U94,Hraci!$A$1:$I$1000,3,0)," ")</f>
        <v xml:space="preserve"> </v>
      </c>
      <c r="X94" s="149" t="str">
        <f ca="1">IF(N(U94)&gt;0,VLOOKUP(U94,Hraci!$A$1:$I$1000,5,0),IF(TYPE(INDIRECT(ADDRESS(ROW() + $A$9-7 + (ROW()-11)*4,3,1,1,"Internet")))&gt;1,INDIRECT(ADDRESS(ROW() + $A$9-7 + (ROW()-11)*4,3,1,1,"Internet"))," "))</f>
        <v xml:space="preserve"> </v>
      </c>
      <c r="Y94" s="149">
        <f ca="1">IF(N(U94)=0,9999,VLOOKUP(U94,Hraci!$A$1:$I$1000,8,0))</f>
        <v>9999</v>
      </c>
      <c r="Z94" s="150">
        <f ca="1">IF(N(U94)=0,0,VLOOKUP(U94,Hraci!$A$1:$I$1000,9,0))</f>
        <v>0</v>
      </c>
      <c r="AA94" s="147" t="str">
        <f t="shared" ca="1" si="41"/>
        <v/>
      </c>
      <c r="AB94" s="148" t="str">
        <f ca="1">IF(N(AA94)&gt;0,VLOOKUP(AA94,Hraci!$A$1:$I$1000,2,0)," ")</f>
        <v xml:space="preserve"> </v>
      </c>
      <c r="AC94" s="149" t="str">
        <f ca="1">IF(N(AA94)&gt;0,VLOOKUP(AA94,Hraci!$A$1:$I$1000,3,0)," ")</f>
        <v xml:space="preserve"> </v>
      </c>
      <c r="AD94" s="149" t="str">
        <f ca="1">IF(N(AA94)&gt;0,VLOOKUP(AA94,Hraci!$A$1:$I$1000,5,0)," ")</f>
        <v xml:space="preserve"> </v>
      </c>
      <c r="AE94" s="149">
        <f ca="1">IF(N(AA94)=0,9999,VLOOKUP(AA94,Hraci!$A$1:$I$1000,8,0))</f>
        <v>9999</v>
      </c>
      <c r="AF94" s="150">
        <f ca="1">IF(N(AA94)=0,0,VLOOKUP(AA94,Hraci!$A$1:$I$1000,9,0))</f>
        <v>0</v>
      </c>
      <c r="AG94" s="147"/>
      <c r="AH94" s="151">
        <f ca="1">IF(TYPE(VLOOKUP(H94,Nasazení!$A$3:$E$130,5,0))&lt;4,VLOOKUP(H94,Nasazení!$A$3:$E$130,5,0),0)</f>
        <v>0</v>
      </c>
      <c r="AI94" s="152" t="str">
        <f ca="1">IF(N($AH94)&gt;0,VLOOKUP($AH94,Body!$A$4:$F$259,5,0),"")</f>
        <v/>
      </c>
      <c r="AJ94" s="153" t="str">
        <f ca="1">IF(N($AH94)&gt;0,VLOOKUP($AH94,Body!$A$4:$F$259,6,0),"")</f>
        <v/>
      </c>
      <c r="AK94" s="152" t="str">
        <f ca="1">IF(N($AH94)&gt;0,VLOOKUP($AH94,Body!$A$4:$F$259,2,0),"")</f>
        <v/>
      </c>
      <c r="AL94" s="154" t="str">
        <f t="shared" ca="1" si="42"/>
        <v/>
      </c>
      <c r="AM94" s="155">
        <f t="shared" ca="1" si="43"/>
        <v>0</v>
      </c>
      <c r="AN94" s="72">
        <f ca="1">IF(OR(TYPE(I94)&gt;1,TYPE(MATCH(I94,I95:I$203,0))&gt;1),0,MATCH(I94,I95:I$203,0))+IF(OR(TYPE(I94)&gt;1,TYPE(MATCH(I94,O$11:O$203,0))&gt;1),0,MATCH(I94,O$11:O$203,0))+IF(OR(TYPE(I94)&gt;1,TYPE(MATCH(I94,U$11:U$203,0))&gt;1),0,MATCH(I94,U$11:U$203,0))+IF(OR(TYPE(I94)&gt;1,TYPE(MATCH(I94,AA$11:AA$203,0))&gt;1),0,MATCH(I94,AA$11:AA$203,0))</f>
        <v>0</v>
      </c>
      <c r="AO94" s="72">
        <f ca="1">IF(OR(TYPE(O94)&gt;1,TYPE(MATCH(O94,I$11:I$203,0))&gt;1),0,MATCH(O94,I$11:I$203,0))+IF(OR(TYPE(O94)&gt;1,TYPE(MATCH(O94,O95:O$203,0))&gt;1),0,MATCH(O94,O95:O$203,0))+IF(OR(TYPE(O94)&gt;1,TYPE(MATCH(O94,U$11:U$203,0))&gt;1),0,MATCH(O94,U$11:U$203,0))+IF(OR(TYPE(O94)&gt;1,TYPE(MATCH(O94,AA$11:AA$203,0))&gt;1),0,MATCH(O94,AA$11:AA$203,0))</f>
        <v>0</v>
      </c>
      <c r="AP94" s="72">
        <f ca="1">IF(OR(TYPE(U94)&gt;1,TYPE(MATCH(U94,I$11:I$203,0))&gt;1),0,MATCH(U94,I$11:I$203,0))+IF(OR(TYPE(U94)&gt;1,TYPE(MATCH(U94,O$11:O$203,0))&gt;1),0,MATCH(U94,O$11:O$203,0))+IF(OR(TYPE(U94)&gt;1,TYPE(MATCH(U94,U95:U$203,0))&gt;1),0,MATCH(U94,U95:U$203,0))+IF(OR(TYPE(U94)&gt;1,TYPE(MATCH(U94,AA$11:AA$203,0))&gt;1),0,MATCH(U94,AA$11:AA$203,0))</f>
        <v>0</v>
      </c>
      <c r="AQ94" s="72">
        <f ca="1">IF(OR(TYPE(AA94)&gt;1,TYPE(MATCH(AA94,I$11:I$203,0))&gt;1),0,MATCH(AA94,I$11:I$203,0))+IF(OR(TYPE(AA94)&gt;1,TYPE(MATCH(AA94,O$11:O$203,0))&gt;1),0,MATCH(AA94,O$11:O$203,0))+IF(OR(TYPE(AA94)&gt;1,TYPE(MATCH(AA94,U$11:U$203,0))&gt;1),0,MATCH(U94,U$11:U$203,0))+IF(OR(TYPE(AA94)&gt;1,TYPE(MATCH(AA94,AA95:AA$203,0))&gt;1),0,MATCH(AA94,AA95:AA$203,0))</f>
        <v>0</v>
      </c>
      <c r="AR94" s="72">
        <f t="shared" ca="1" si="44"/>
        <v>0</v>
      </c>
    </row>
    <row r="95" spans="1:44" ht="14.25">
      <c r="A95" s="103">
        <f t="shared" ca="1" si="30"/>
        <v>0</v>
      </c>
      <c r="B95" s="103">
        <f t="shared" ca="1" si="31"/>
        <v>0</v>
      </c>
      <c r="C95" s="156">
        <f t="shared" ca="1" si="32"/>
        <v>0</v>
      </c>
      <c r="D95" s="103">
        <f t="shared" ca="1" si="33"/>
        <v>99999</v>
      </c>
      <c r="E95" s="103">
        <f t="shared" ca="1" si="34"/>
        <v>9999</v>
      </c>
      <c r="F95" s="104" t="str">
        <f t="shared" ca="1" si="35"/>
        <v>00000000000000000000012646</v>
      </c>
      <c r="G95" s="145">
        <f t="shared" ca="1" si="36"/>
        <v>1</v>
      </c>
      <c r="H95" s="146">
        <f t="shared" si="37"/>
        <v>85</v>
      </c>
      <c r="I95" s="147" t="str">
        <f t="shared" ca="1" si="38"/>
        <v/>
      </c>
      <c r="J95" s="148" t="str">
        <f ca="1">IF(N(I95)&gt;0,VLOOKUP(I95,Hraci!$A$1:$I$1000,2,0),IF(TYPE(INDIRECT(ADDRESS(ROW() + $A$9-9 + (ROW()-11)*4,2,1,1,"Internet")))&gt;1,INDIRECT(ADDRESS(ROW() + $A$9-9 + (ROW()-11)*4,2,1,1,"Internet"))," "))</f>
        <v xml:space="preserve"> </v>
      </c>
      <c r="K95" s="149" t="str">
        <f ca="1">IF(N(I95)&gt;0,VLOOKUP(I95,Hraci!$A$1:$I$1000,3,0)," ")</f>
        <v xml:space="preserve"> </v>
      </c>
      <c r="L95" s="149" t="str">
        <f ca="1">IF(N(I95)&gt;0,VLOOKUP(I95,Hraci!$A$1:$I$1000,5,0),IF(TYPE(INDIRECT(ADDRESS(ROW() + $A$9-9 + (ROW()-11)*4,3,1,1,"Internet")))&gt;1,INDIRECT(ADDRESS(ROW() + $A$9-9 + (ROW()-11)*4,3,1,1,"Internet"))," "))</f>
        <v xml:space="preserve"> </v>
      </c>
      <c r="M95" s="149">
        <f ca="1">IF(N(I95)=0,9999,VLOOKUP(I95,Hraci!$A$1:$I$1000,8,0))</f>
        <v>9999</v>
      </c>
      <c r="N95" s="150">
        <f ca="1">IF(N(I95)=0,0,VLOOKUP(I95,Hraci!$A$1:$I$1000,9,0))</f>
        <v>0</v>
      </c>
      <c r="O95" s="147" t="str">
        <f t="shared" ca="1" si="39"/>
        <v/>
      </c>
      <c r="P95" s="148" t="str">
        <f ca="1">IF(N(O95)&gt;0,VLOOKUP(O95,Hraci!$A$1:$I$1000,2,0),IF(TYPE(INDIRECT(ADDRESS(ROW() + $A$9-8 + (ROW()-11)*4,2,1,1,"Internet")))&gt;1,INDIRECT(ADDRESS(ROW() + $A$9-8 + (ROW()-11)*4,2,1,1,"Internet"))," "))</f>
        <v xml:space="preserve"> </v>
      </c>
      <c r="Q95" s="149" t="str">
        <f ca="1">IF(N(O95)&gt;0,VLOOKUP(O95,Hraci!$A$1:$I$1000,3,0)," ")</f>
        <v xml:space="preserve"> </v>
      </c>
      <c r="R95" s="149" t="str">
        <f ca="1">IF(N(O95)&gt;0,VLOOKUP(O95,Hraci!$A$1:$I$1000,5,0),IF(TYPE(INDIRECT(ADDRESS(ROW() + $A$9-8 + (ROW()-11)*4,3,1,1,"Internet")))&gt;1,INDIRECT(ADDRESS(ROW() + $A$9-8 + (ROW()-11)*4,3,1,1,"Internet"))," "))</f>
        <v xml:space="preserve"> </v>
      </c>
      <c r="S95" s="149">
        <f ca="1">IF(N(O95)=0,9999,VLOOKUP(O95,Hraci!$A$1:$I$1000,8,0))</f>
        <v>9999</v>
      </c>
      <c r="T95" s="150">
        <f ca="1">IF(N(O95)=0,0,VLOOKUP(O95,Hraci!$A$1:$I$1000,9,0))</f>
        <v>0</v>
      </c>
      <c r="U95" s="147" t="str">
        <f t="shared" ca="1" si="40"/>
        <v/>
      </c>
      <c r="V95" s="148" t="str">
        <f ca="1">IF(N(U95)&gt;0,VLOOKUP(U95,Hraci!$A$1:$I$1000,2,0),IF(TYPE(INDIRECT(ADDRESS(ROW() + $A$9-7 + (ROW()-11)*4,2,1,1,"Internet")))&gt;1,INDIRECT(ADDRESS(ROW() + $A$9-7 + (ROW()-11)*4,2,1,1,"Internet"))," "))</f>
        <v xml:space="preserve"> </v>
      </c>
      <c r="W95" s="149" t="str">
        <f ca="1">IF(N(U95)&gt;0,VLOOKUP(U95,Hraci!$A$1:$I$1000,3,0)," ")</f>
        <v xml:space="preserve"> </v>
      </c>
      <c r="X95" s="149" t="str">
        <f ca="1">IF(N(U95)&gt;0,VLOOKUP(U95,Hraci!$A$1:$I$1000,5,0),IF(TYPE(INDIRECT(ADDRESS(ROW() + $A$9-7 + (ROW()-11)*4,3,1,1,"Internet")))&gt;1,INDIRECT(ADDRESS(ROW() + $A$9-7 + (ROW()-11)*4,3,1,1,"Internet"))," "))</f>
        <v xml:space="preserve"> </v>
      </c>
      <c r="Y95" s="149">
        <f ca="1">IF(N(U95)=0,9999,VLOOKUP(U95,Hraci!$A$1:$I$1000,8,0))</f>
        <v>9999</v>
      </c>
      <c r="Z95" s="150">
        <f ca="1">IF(N(U95)=0,0,VLOOKUP(U95,Hraci!$A$1:$I$1000,9,0))</f>
        <v>0</v>
      </c>
      <c r="AA95" s="147" t="str">
        <f t="shared" ca="1" si="41"/>
        <v/>
      </c>
      <c r="AB95" s="148" t="str">
        <f ca="1">IF(N(AA95)&gt;0,VLOOKUP(AA95,Hraci!$A$1:$I$1000,2,0)," ")</f>
        <v xml:space="preserve"> </v>
      </c>
      <c r="AC95" s="149" t="str">
        <f ca="1">IF(N(AA95)&gt;0,VLOOKUP(AA95,Hraci!$A$1:$I$1000,3,0)," ")</f>
        <v xml:space="preserve"> </v>
      </c>
      <c r="AD95" s="149" t="str">
        <f ca="1">IF(N(AA95)&gt;0,VLOOKUP(AA95,Hraci!$A$1:$I$1000,5,0)," ")</f>
        <v xml:space="preserve"> </v>
      </c>
      <c r="AE95" s="149">
        <f ca="1">IF(N(AA95)=0,9999,VLOOKUP(AA95,Hraci!$A$1:$I$1000,8,0))</f>
        <v>9999</v>
      </c>
      <c r="AF95" s="150">
        <f ca="1">IF(N(AA95)=0,0,VLOOKUP(AA95,Hraci!$A$1:$I$1000,9,0))</f>
        <v>0</v>
      </c>
      <c r="AG95" s="147"/>
      <c r="AH95" s="151">
        <f ca="1">IF(TYPE(VLOOKUP(H95,Nasazení!$A$3:$E$130,5,0))&lt;4,VLOOKUP(H95,Nasazení!$A$3:$E$130,5,0),0)</f>
        <v>0</v>
      </c>
      <c r="AI95" s="152" t="str">
        <f ca="1">IF(N($AH95)&gt;0,VLOOKUP($AH95,Body!$A$4:$F$259,5,0),"")</f>
        <v/>
      </c>
      <c r="AJ95" s="153" t="str">
        <f ca="1">IF(N($AH95)&gt;0,VLOOKUP($AH95,Body!$A$4:$F$259,6,0),"")</f>
        <v/>
      </c>
      <c r="AK95" s="152" t="str">
        <f ca="1">IF(N($AH95)&gt;0,VLOOKUP($AH95,Body!$A$4:$F$259,2,0),"")</f>
        <v/>
      </c>
      <c r="AL95" s="154" t="str">
        <f t="shared" ca="1" si="42"/>
        <v/>
      </c>
      <c r="AM95" s="155">
        <f t="shared" ca="1" si="43"/>
        <v>0</v>
      </c>
      <c r="AN95" s="72">
        <f ca="1">IF(OR(TYPE(I95)&gt;1,TYPE(MATCH(I95,I96:I$203,0))&gt;1),0,MATCH(I95,I96:I$203,0))+IF(OR(TYPE(I95)&gt;1,TYPE(MATCH(I95,O$11:O$203,0))&gt;1),0,MATCH(I95,O$11:O$203,0))+IF(OR(TYPE(I95)&gt;1,TYPE(MATCH(I95,U$11:U$203,0))&gt;1),0,MATCH(I95,U$11:U$203,0))+IF(OR(TYPE(I95)&gt;1,TYPE(MATCH(I95,AA$11:AA$203,0))&gt;1),0,MATCH(I95,AA$11:AA$203,0))</f>
        <v>0</v>
      </c>
      <c r="AO95" s="72">
        <f ca="1">IF(OR(TYPE(O95)&gt;1,TYPE(MATCH(O95,I$11:I$203,0))&gt;1),0,MATCH(O95,I$11:I$203,0))+IF(OR(TYPE(O95)&gt;1,TYPE(MATCH(O95,O96:O$203,0))&gt;1),0,MATCH(O95,O96:O$203,0))+IF(OR(TYPE(O95)&gt;1,TYPE(MATCH(O95,U$11:U$203,0))&gt;1),0,MATCH(O95,U$11:U$203,0))+IF(OR(TYPE(O95)&gt;1,TYPE(MATCH(O95,AA$11:AA$203,0))&gt;1),0,MATCH(O95,AA$11:AA$203,0))</f>
        <v>0</v>
      </c>
      <c r="AP95" s="72">
        <f ca="1">IF(OR(TYPE(U95)&gt;1,TYPE(MATCH(U95,I$11:I$203,0))&gt;1),0,MATCH(U95,I$11:I$203,0))+IF(OR(TYPE(U95)&gt;1,TYPE(MATCH(U95,O$11:O$203,0))&gt;1),0,MATCH(U95,O$11:O$203,0))+IF(OR(TYPE(U95)&gt;1,TYPE(MATCH(U95,U96:U$203,0))&gt;1),0,MATCH(U95,U96:U$203,0))+IF(OR(TYPE(U95)&gt;1,TYPE(MATCH(U95,AA$11:AA$203,0))&gt;1),0,MATCH(U95,AA$11:AA$203,0))</f>
        <v>0</v>
      </c>
      <c r="AQ95" s="72">
        <f ca="1">IF(OR(TYPE(AA95)&gt;1,TYPE(MATCH(AA95,I$11:I$203,0))&gt;1),0,MATCH(AA95,I$11:I$203,0))+IF(OR(TYPE(AA95)&gt;1,TYPE(MATCH(AA95,O$11:O$203,0))&gt;1),0,MATCH(AA95,O$11:O$203,0))+IF(OR(TYPE(AA95)&gt;1,TYPE(MATCH(AA95,U$11:U$203,0))&gt;1),0,MATCH(U95,U$11:U$203,0))+IF(OR(TYPE(AA95)&gt;1,TYPE(MATCH(AA95,AA96:AA$203,0))&gt;1),0,MATCH(AA95,AA96:AA$203,0))</f>
        <v>0</v>
      </c>
      <c r="AR95" s="72">
        <f t="shared" ca="1" si="44"/>
        <v>0</v>
      </c>
    </row>
    <row r="96" spans="1:44" ht="14.25">
      <c r="A96" s="103">
        <f t="shared" ca="1" si="30"/>
        <v>0</v>
      </c>
      <c r="B96" s="103">
        <f t="shared" ca="1" si="31"/>
        <v>0</v>
      </c>
      <c r="C96" s="156">
        <f t="shared" ca="1" si="32"/>
        <v>0</v>
      </c>
      <c r="D96" s="103">
        <f t="shared" ca="1" si="33"/>
        <v>99999</v>
      </c>
      <c r="E96" s="103">
        <f t="shared" ca="1" si="34"/>
        <v>9999</v>
      </c>
      <c r="F96" s="104" t="str">
        <f t="shared" ca="1" si="35"/>
        <v>00000000000000000000194912</v>
      </c>
      <c r="G96" s="145">
        <f t="shared" ca="1" si="36"/>
        <v>1</v>
      </c>
      <c r="H96" s="146">
        <f t="shared" si="37"/>
        <v>86</v>
      </c>
      <c r="I96" s="147" t="str">
        <f t="shared" ca="1" si="38"/>
        <v/>
      </c>
      <c r="J96" s="148" t="str">
        <f ca="1">IF(N(I96)&gt;0,VLOOKUP(I96,Hraci!$A$1:$I$1000,2,0),IF(TYPE(INDIRECT(ADDRESS(ROW() + $A$9-9 + (ROW()-11)*4,2,1,1,"Internet")))&gt;1,INDIRECT(ADDRESS(ROW() + $A$9-9 + (ROW()-11)*4,2,1,1,"Internet"))," "))</f>
        <v xml:space="preserve"> </v>
      </c>
      <c r="K96" s="149" t="str">
        <f ca="1">IF(N(I96)&gt;0,VLOOKUP(I96,Hraci!$A$1:$I$1000,3,0)," ")</f>
        <v xml:space="preserve"> </v>
      </c>
      <c r="L96" s="149" t="str">
        <f ca="1">IF(N(I96)&gt;0,VLOOKUP(I96,Hraci!$A$1:$I$1000,5,0),IF(TYPE(INDIRECT(ADDRESS(ROW() + $A$9-9 + (ROW()-11)*4,3,1,1,"Internet")))&gt;1,INDIRECT(ADDRESS(ROW() + $A$9-9 + (ROW()-11)*4,3,1,1,"Internet"))," "))</f>
        <v xml:space="preserve"> </v>
      </c>
      <c r="M96" s="149">
        <f ca="1">IF(N(I96)=0,9999,VLOOKUP(I96,Hraci!$A$1:$I$1000,8,0))</f>
        <v>9999</v>
      </c>
      <c r="N96" s="150">
        <f ca="1">IF(N(I96)=0,0,VLOOKUP(I96,Hraci!$A$1:$I$1000,9,0))</f>
        <v>0</v>
      </c>
      <c r="O96" s="147" t="str">
        <f t="shared" ca="1" si="39"/>
        <v/>
      </c>
      <c r="P96" s="148" t="str">
        <f ca="1">IF(N(O96)&gt;0,VLOOKUP(O96,Hraci!$A$1:$I$1000,2,0),IF(TYPE(INDIRECT(ADDRESS(ROW() + $A$9-8 + (ROW()-11)*4,2,1,1,"Internet")))&gt;1,INDIRECT(ADDRESS(ROW() + $A$9-8 + (ROW()-11)*4,2,1,1,"Internet"))," "))</f>
        <v xml:space="preserve"> </v>
      </c>
      <c r="Q96" s="149" t="str">
        <f ca="1">IF(N(O96)&gt;0,VLOOKUP(O96,Hraci!$A$1:$I$1000,3,0)," ")</f>
        <v xml:space="preserve"> </v>
      </c>
      <c r="R96" s="149" t="str">
        <f ca="1">IF(N(O96)&gt;0,VLOOKUP(O96,Hraci!$A$1:$I$1000,5,0),IF(TYPE(INDIRECT(ADDRESS(ROW() + $A$9-8 + (ROW()-11)*4,3,1,1,"Internet")))&gt;1,INDIRECT(ADDRESS(ROW() + $A$9-8 + (ROW()-11)*4,3,1,1,"Internet"))," "))</f>
        <v xml:space="preserve"> </v>
      </c>
      <c r="S96" s="149">
        <f ca="1">IF(N(O96)=0,9999,VLOOKUP(O96,Hraci!$A$1:$I$1000,8,0))</f>
        <v>9999</v>
      </c>
      <c r="T96" s="150">
        <f ca="1">IF(N(O96)=0,0,VLOOKUP(O96,Hraci!$A$1:$I$1000,9,0))</f>
        <v>0</v>
      </c>
      <c r="U96" s="147" t="str">
        <f t="shared" ca="1" si="40"/>
        <v/>
      </c>
      <c r="V96" s="148" t="str">
        <f ca="1">IF(N(U96)&gt;0,VLOOKUP(U96,Hraci!$A$1:$I$1000,2,0),IF(TYPE(INDIRECT(ADDRESS(ROW() + $A$9-7 + (ROW()-11)*4,2,1,1,"Internet")))&gt;1,INDIRECT(ADDRESS(ROW() + $A$9-7 + (ROW()-11)*4,2,1,1,"Internet"))," "))</f>
        <v xml:space="preserve"> </v>
      </c>
      <c r="W96" s="149" t="str">
        <f ca="1">IF(N(U96)&gt;0,VLOOKUP(U96,Hraci!$A$1:$I$1000,3,0)," ")</f>
        <v xml:space="preserve"> </v>
      </c>
      <c r="X96" s="149" t="str">
        <f ca="1">IF(N(U96)&gt;0,VLOOKUP(U96,Hraci!$A$1:$I$1000,5,0),IF(TYPE(INDIRECT(ADDRESS(ROW() + $A$9-7 + (ROW()-11)*4,3,1,1,"Internet")))&gt;1,INDIRECT(ADDRESS(ROW() + $A$9-7 + (ROW()-11)*4,3,1,1,"Internet"))," "))</f>
        <v xml:space="preserve"> </v>
      </c>
      <c r="Y96" s="149">
        <f ca="1">IF(N(U96)=0,9999,VLOOKUP(U96,Hraci!$A$1:$I$1000,8,0))</f>
        <v>9999</v>
      </c>
      <c r="Z96" s="150">
        <f ca="1">IF(N(U96)=0,0,VLOOKUP(U96,Hraci!$A$1:$I$1000,9,0))</f>
        <v>0</v>
      </c>
      <c r="AA96" s="147" t="str">
        <f t="shared" ca="1" si="41"/>
        <v/>
      </c>
      <c r="AB96" s="148" t="str">
        <f ca="1">IF(N(AA96)&gt;0,VLOOKUP(AA96,Hraci!$A$1:$I$1000,2,0)," ")</f>
        <v xml:space="preserve"> </v>
      </c>
      <c r="AC96" s="149" t="str">
        <f ca="1">IF(N(AA96)&gt;0,VLOOKUP(AA96,Hraci!$A$1:$I$1000,3,0)," ")</f>
        <v xml:space="preserve"> </v>
      </c>
      <c r="AD96" s="149" t="str">
        <f ca="1">IF(N(AA96)&gt;0,VLOOKUP(AA96,Hraci!$A$1:$I$1000,5,0)," ")</f>
        <v xml:space="preserve"> </v>
      </c>
      <c r="AE96" s="149">
        <f ca="1">IF(N(AA96)=0,9999,VLOOKUP(AA96,Hraci!$A$1:$I$1000,8,0))</f>
        <v>9999</v>
      </c>
      <c r="AF96" s="150">
        <f ca="1">IF(N(AA96)=0,0,VLOOKUP(AA96,Hraci!$A$1:$I$1000,9,0))</f>
        <v>0</v>
      </c>
      <c r="AG96" s="147"/>
      <c r="AH96" s="151">
        <f ca="1">IF(TYPE(VLOOKUP(H96,Nasazení!$A$3:$E$130,5,0))&lt;4,VLOOKUP(H96,Nasazení!$A$3:$E$130,5,0),0)</f>
        <v>0</v>
      </c>
      <c r="AI96" s="152" t="str">
        <f ca="1">IF(N($AH96)&gt;0,VLOOKUP($AH96,Body!$A$4:$F$259,5,0),"")</f>
        <v/>
      </c>
      <c r="AJ96" s="153" t="str">
        <f ca="1">IF(N($AH96)&gt;0,VLOOKUP($AH96,Body!$A$4:$F$259,6,0),"")</f>
        <v/>
      </c>
      <c r="AK96" s="152" t="str">
        <f ca="1">IF(N($AH96)&gt;0,VLOOKUP($AH96,Body!$A$4:$F$259,2,0),"")</f>
        <v/>
      </c>
      <c r="AL96" s="154" t="str">
        <f t="shared" ca="1" si="42"/>
        <v/>
      </c>
      <c r="AM96" s="155">
        <f t="shared" ca="1" si="43"/>
        <v>0</v>
      </c>
      <c r="AN96" s="72">
        <f ca="1">IF(OR(TYPE(I96)&gt;1,TYPE(MATCH(I96,I97:I$203,0))&gt;1),0,MATCH(I96,I97:I$203,0))+IF(OR(TYPE(I96)&gt;1,TYPE(MATCH(I96,O$11:O$203,0))&gt;1),0,MATCH(I96,O$11:O$203,0))+IF(OR(TYPE(I96)&gt;1,TYPE(MATCH(I96,U$11:U$203,0))&gt;1),0,MATCH(I96,U$11:U$203,0))+IF(OR(TYPE(I96)&gt;1,TYPE(MATCH(I96,AA$11:AA$203,0))&gt;1),0,MATCH(I96,AA$11:AA$203,0))</f>
        <v>0</v>
      </c>
      <c r="AO96" s="72">
        <f ca="1">IF(OR(TYPE(O96)&gt;1,TYPE(MATCH(O96,I$11:I$203,0))&gt;1),0,MATCH(O96,I$11:I$203,0))+IF(OR(TYPE(O96)&gt;1,TYPE(MATCH(O96,O97:O$203,0))&gt;1),0,MATCH(O96,O97:O$203,0))+IF(OR(TYPE(O96)&gt;1,TYPE(MATCH(O96,U$11:U$203,0))&gt;1),0,MATCH(O96,U$11:U$203,0))+IF(OR(TYPE(O96)&gt;1,TYPE(MATCH(O96,AA$11:AA$203,0))&gt;1),0,MATCH(O96,AA$11:AA$203,0))</f>
        <v>0</v>
      </c>
      <c r="AP96" s="72">
        <f ca="1">IF(OR(TYPE(U96)&gt;1,TYPE(MATCH(U96,I$11:I$203,0))&gt;1),0,MATCH(U96,I$11:I$203,0))+IF(OR(TYPE(U96)&gt;1,TYPE(MATCH(U96,O$11:O$203,0))&gt;1),0,MATCH(U96,O$11:O$203,0))+IF(OR(TYPE(U96)&gt;1,TYPE(MATCH(U96,U97:U$203,0))&gt;1),0,MATCH(U96,U97:U$203,0))+IF(OR(TYPE(U96)&gt;1,TYPE(MATCH(U96,AA$11:AA$203,0))&gt;1),0,MATCH(U96,AA$11:AA$203,0))</f>
        <v>0</v>
      </c>
      <c r="AQ96" s="72">
        <f ca="1">IF(OR(TYPE(AA96)&gt;1,TYPE(MATCH(AA96,I$11:I$203,0))&gt;1),0,MATCH(AA96,I$11:I$203,0))+IF(OR(TYPE(AA96)&gt;1,TYPE(MATCH(AA96,O$11:O$203,0))&gt;1),0,MATCH(AA96,O$11:O$203,0))+IF(OR(TYPE(AA96)&gt;1,TYPE(MATCH(AA96,U$11:U$203,0))&gt;1),0,MATCH(U96,U$11:U$203,0))+IF(OR(TYPE(AA96)&gt;1,TYPE(MATCH(AA96,AA97:AA$203,0))&gt;1),0,MATCH(AA96,AA97:AA$203,0))</f>
        <v>0</v>
      </c>
      <c r="AR96" s="72">
        <f t="shared" ca="1" si="44"/>
        <v>0</v>
      </c>
    </row>
    <row r="97" spans="1:44" ht="14.25">
      <c r="A97" s="103">
        <f t="shared" ca="1" si="30"/>
        <v>0</v>
      </c>
      <c r="B97" s="103">
        <f t="shared" ca="1" si="31"/>
        <v>0</v>
      </c>
      <c r="C97" s="156">
        <f t="shared" ca="1" si="32"/>
        <v>0</v>
      </c>
      <c r="D97" s="103">
        <f t="shared" ca="1" si="33"/>
        <v>99999</v>
      </c>
      <c r="E97" s="103">
        <f t="shared" ca="1" si="34"/>
        <v>9999</v>
      </c>
      <c r="F97" s="104" t="str">
        <f t="shared" ca="1" si="35"/>
        <v>00000000000000000000201632</v>
      </c>
      <c r="G97" s="145">
        <f t="shared" ca="1" si="36"/>
        <v>1</v>
      </c>
      <c r="H97" s="146">
        <f t="shared" si="37"/>
        <v>87</v>
      </c>
      <c r="I97" s="147" t="str">
        <f t="shared" ca="1" si="38"/>
        <v/>
      </c>
      <c r="J97" s="148" t="str">
        <f ca="1">IF(N(I97)&gt;0,VLOOKUP(I97,Hraci!$A$1:$I$1000,2,0),IF(TYPE(INDIRECT(ADDRESS(ROW() + $A$9-9 + (ROW()-11)*4,2,1,1,"Internet")))&gt;1,INDIRECT(ADDRESS(ROW() + $A$9-9 + (ROW()-11)*4,2,1,1,"Internet"))," "))</f>
        <v xml:space="preserve"> </v>
      </c>
      <c r="K97" s="149" t="str">
        <f ca="1">IF(N(I97)&gt;0,VLOOKUP(I97,Hraci!$A$1:$I$1000,3,0)," ")</f>
        <v xml:space="preserve"> </v>
      </c>
      <c r="L97" s="149" t="str">
        <f ca="1">IF(N(I97)&gt;0,VLOOKUP(I97,Hraci!$A$1:$I$1000,5,0),IF(TYPE(INDIRECT(ADDRESS(ROW() + $A$9-9 + (ROW()-11)*4,3,1,1,"Internet")))&gt;1,INDIRECT(ADDRESS(ROW() + $A$9-9 + (ROW()-11)*4,3,1,1,"Internet"))," "))</f>
        <v xml:space="preserve"> </v>
      </c>
      <c r="M97" s="149">
        <f ca="1">IF(N(I97)=0,9999,VLOOKUP(I97,Hraci!$A$1:$I$1000,8,0))</f>
        <v>9999</v>
      </c>
      <c r="N97" s="150">
        <f ca="1">IF(N(I97)=0,0,VLOOKUP(I97,Hraci!$A$1:$I$1000,9,0))</f>
        <v>0</v>
      </c>
      <c r="O97" s="147" t="str">
        <f t="shared" ca="1" si="39"/>
        <v/>
      </c>
      <c r="P97" s="148" t="str">
        <f ca="1">IF(N(O97)&gt;0,VLOOKUP(O97,Hraci!$A$1:$I$1000,2,0),IF(TYPE(INDIRECT(ADDRESS(ROW() + $A$9-8 + (ROW()-11)*4,2,1,1,"Internet")))&gt;1,INDIRECT(ADDRESS(ROW() + $A$9-8 + (ROW()-11)*4,2,1,1,"Internet"))," "))</f>
        <v xml:space="preserve"> </v>
      </c>
      <c r="Q97" s="149" t="str">
        <f ca="1">IF(N(O97)&gt;0,VLOOKUP(O97,Hraci!$A$1:$I$1000,3,0)," ")</f>
        <v xml:space="preserve"> </v>
      </c>
      <c r="R97" s="149" t="str">
        <f ca="1">IF(N(O97)&gt;0,VLOOKUP(O97,Hraci!$A$1:$I$1000,5,0),IF(TYPE(INDIRECT(ADDRESS(ROW() + $A$9-8 + (ROW()-11)*4,3,1,1,"Internet")))&gt;1,INDIRECT(ADDRESS(ROW() + $A$9-8 + (ROW()-11)*4,3,1,1,"Internet"))," "))</f>
        <v xml:space="preserve"> </v>
      </c>
      <c r="S97" s="149">
        <f ca="1">IF(N(O97)=0,9999,VLOOKUP(O97,Hraci!$A$1:$I$1000,8,0))</f>
        <v>9999</v>
      </c>
      <c r="T97" s="150">
        <f ca="1">IF(N(O97)=0,0,VLOOKUP(O97,Hraci!$A$1:$I$1000,9,0))</f>
        <v>0</v>
      </c>
      <c r="U97" s="147" t="str">
        <f t="shared" ca="1" si="40"/>
        <v/>
      </c>
      <c r="V97" s="148" t="str">
        <f ca="1">IF(N(U97)&gt;0,VLOOKUP(U97,Hraci!$A$1:$I$1000,2,0),IF(TYPE(INDIRECT(ADDRESS(ROW() + $A$9-7 + (ROW()-11)*4,2,1,1,"Internet")))&gt;1,INDIRECT(ADDRESS(ROW() + $A$9-7 + (ROW()-11)*4,2,1,1,"Internet"))," "))</f>
        <v xml:space="preserve"> </v>
      </c>
      <c r="W97" s="149" t="str">
        <f ca="1">IF(N(U97)&gt;0,VLOOKUP(U97,Hraci!$A$1:$I$1000,3,0)," ")</f>
        <v xml:space="preserve"> </v>
      </c>
      <c r="X97" s="149" t="str">
        <f ca="1">IF(N(U97)&gt;0,VLOOKUP(U97,Hraci!$A$1:$I$1000,5,0),IF(TYPE(INDIRECT(ADDRESS(ROW() + $A$9-7 + (ROW()-11)*4,3,1,1,"Internet")))&gt;1,INDIRECT(ADDRESS(ROW() + $A$9-7 + (ROW()-11)*4,3,1,1,"Internet"))," "))</f>
        <v xml:space="preserve"> </v>
      </c>
      <c r="Y97" s="149">
        <f ca="1">IF(N(U97)=0,9999,VLOOKUP(U97,Hraci!$A$1:$I$1000,8,0))</f>
        <v>9999</v>
      </c>
      <c r="Z97" s="150">
        <f ca="1">IF(N(U97)=0,0,VLOOKUP(U97,Hraci!$A$1:$I$1000,9,0))</f>
        <v>0</v>
      </c>
      <c r="AA97" s="147" t="str">
        <f t="shared" ca="1" si="41"/>
        <v/>
      </c>
      <c r="AB97" s="148" t="str">
        <f ca="1">IF(N(AA97)&gt;0,VLOOKUP(AA97,Hraci!$A$1:$I$1000,2,0)," ")</f>
        <v xml:space="preserve"> </v>
      </c>
      <c r="AC97" s="149" t="str">
        <f ca="1">IF(N(AA97)&gt;0,VLOOKUP(AA97,Hraci!$A$1:$I$1000,3,0)," ")</f>
        <v xml:space="preserve"> </v>
      </c>
      <c r="AD97" s="149" t="str">
        <f ca="1">IF(N(AA97)&gt;0,VLOOKUP(AA97,Hraci!$A$1:$I$1000,5,0)," ")</f>
        <v xml:space="preserve"> </v>
      </c>
      <c r="AE97" s="149">
        <f ca="1">IF(N(AA97)=0,9999,VLOOKUP(AA97,Hraci!$A$1:$I$1000,8,0))</f>
        <v>9999</v>
      </c>
      <c r="AF97" s="150">
        <f ca="1">IF(N(AA97)=0,0,VLOOKUP(AA97,Hraci!$A$1:$I$1000,9,0))</f>
        <v>0</v>
      </c>
      <c r="AG97" s="147"/>
      <c r="AH97" s="151">
        <f ca="1">IF(TYPE(VLOOKUP(H97,Nasazení!$A$3:$E$130,5,0))&lt;4,VLOOKUP(H97,Nasazení!$A$3:$E$130,5,0),0)</f>
        <v>0</v>
      </c>
      <c r="AI97" s="152" t="str">
        <f ca="1">IF(N($AH97)&gt;0,VLOOKUP($AH97,Body!$A$4:$F$259,5,0),"")</f>
        <v/>
      </c>
      <c r="AJ97" s="153" t="str">
        <f ca="1">IF(N($AH97)&gt;0,VLOOKUP($AH97,Body!$A$4:$F$259,6,0),"")</f>
        <v/>
      </c>
      <c r="AK97" s="152" t="str">
        <f ca="1">IF(N($AH97)&gt;0,VLOOKUP($AH97,Body!$A$4:$F$259,2,0),"")</f>
        <v/>
      </c>
      <c r="AL97" s="154" t="str">
        <f t="shared" ca="1" si="42"/>
        <v/>
      </c>
      <c r="AM97" s="155">
        <f t="shared" ca="1" si="43"/>
        <v>0</v>
      </c>
      <c r="AN97" s="72">
        <f ca="1">IF(OR(TYPE(I97)&gt;1,TYPE(MATCH(I97,I98:I$203,0))&gt;1),0,MATCH(I97,I98:I$203,0))+IF(OR(TYPE(I97)&gt;1,TYPE(MATCH(I97,O$11:O$203,0))&gt;1),0,MATCH(I97,O$11:O$203,0))+IF(OR(TYPE(I97)&gt;1,TYPE(MATCH(I97,U$11:U$203,0))&gt;1),0,MATCH(I97,U$11:U$203,0))+IF(OR(TYPE(I97)&gt;1,TYPE(MATCH(I97,AA$11:AA$203,0))&gt;1),0,MATCH(I97,AA$11:AA$203,0))</f>
        <v>0</v>
      </c>
      <c r="AO97" s="72">
        <f ca="1">IF(OR(TYPE(O97)&gt;1,TYPE(MATCH(O97,I$11:I$203,0))&gt;1),0,MATCH(O97,I$11:I$203,0))+IF(OR(TYPE(O97)&gt;1,TYPE(MATCH(O97,O98:O$203,0))&gt;1),0,MATCH(O97,O98:O$203,0))+IF(OR(TYPE(O97)&gt;1,TYPE(MATCH(O97,U$11:U$203,0))&gt;1),0,MATCH(O97,U$11:U$203,0))+IF(OR(TYPE(O97)&gt;1,TYPE(MATCH(O97,AA$11:AA$203,0))&gt;1),0,MATCH(O97,AA$11:AA$203,0))</f>
        <v>0</v>
      </c>
      <c r="AP97" s="72">
        <f ca="1">IF(OR(TYPE(U97)&gt;1,TYPE(MATCH(U97,I$11:I$203,0))&gt;1),0,MATCH(U97,I$11:I$203,0))+IF(OR(TYPE(U97)&gt;1,TYPE(MATCH(U97,O$11:O$203,0))&gt;1),0,MATCH(U97,O$11:O$203,0))+IF(OR(TYPE(U97)&gt;1,TYPE(MATCH(U97,U98:U$203,0))&gt;1),0,MATCH(U97,U98:U$203,0))+IF(OR(TYPE(U97)&gt;1,TYPE(MATCH(U97,AA$11:AA$203,0))&gt;1),0,MATCH(U97,AA$11:AA$203,0))</f>
        <v>0</v>
      </c>
      <c r="AQ97" s="72">
        <f ca="1">IF(OR(TYPE(AA97)&gt;1,TYPE(MATCH(AA97,I$11:I$203,0))&gt;1),0,MATCH(AA97,I$11:I$203,0))+IF(OR(TYPE(AA97)&gt;1,TYPE(MATCH(AA97,O$11:O$203,0))&gt;1),0,MATCH(AA97,O$11:O$203,0))+IF(OR(TYPE(AA97)&gt;1,TYPE(MATCH(AA97,U$11:U$203,0))&gt;1),0,MATCH(U97,U$11:U$203,0))+IF(OR(TYPE(AA97)&gt;1,TYPE(MATCH(AA97,AA98:AA$203,0))&gt;1),0,MATCH(AA97,AA98:AA$203,0))</f>
        <v>0</v>
      </c>
      <c r="AR97" s="72">
        <f t="shared" ca="1" si="44"/>
        <v>0</v>
      </c>
    </row>
    <row r="98" spans="1:44" ht="14.25">
      <c r="A98" s="103">
        <f t="shared" ca="1" si="30"/>
        <v>0</v>
      </c>
      <c r="B98" s="103">
        <f t="shared" ca="1" si="31"/>
        <v>0</v>
      </c>
      <c r="C98" s="156">
        <f t="shared" ca="1" si="32"/>
        <v>0</v>
      </c>
      <c r="D98" s="103">
        <f t="shared" ca="1" si="33"/>
        <v>99999</v>
      </c>
      <c r="E98" s="103">
        <f t="shared" ca="1" si="34"/>
        <v>9999</v>
      </c>
      <c r="F98" s="104" t="str">
        <f t="shared" ca="1" si="35"/>
        <v>00000000000000000000511420</v>
      </c>
      <c r="G98" s="145">
        <f t="shared" ca="1" si="36"/>
        <v>1</v>
      </c>
      <c r="H98" s="146">
        <f t="shared" si="37"/>
        <v>88</v>
      </c>
      <c r="I98" s="147" t="str">
        <f t="shared" ca="1" si="38"/>
        <v/>
      </c>
      <c r="J98" s="148" t="str">
        <f ca="1">IF(N(I98)&gt;0,VLOOKUP(I98,Hraci!$A$1:$I$1000,2,0),IF(TYPE(INDIRECT(ADDRESS(ROW() + $A$9-9 + (ROW()-11)*4,2,1,1,"Internet")))&gt;1,INDIRECT(ADDRESS(ROW() + $A$9-9 + (ROW()-11)*4,2,1,1,"Internet"))," "))</f>
        <v xml:space="preserve"> </v>
      </c>
      <c r="K98" s="149" t="str">
        <f ca="1">IF(N(I98)&gt;0,VLOOKUP(I98,Hraci!$A$1:$I$1000,3,0)," ")</f>
        <v xml:space="preserve"> </v>
      </c>
      <c r="L98" s="149" t="str">
        <f ca="1">IF(N(I98)&gt;0,VLOOKUP(I98,Hraci!$A$1:$I$1000,5,0),IF(TYPE(INDIRECT(ADDRESS(ROW() + $A$9-9 + (ROW()-11)*4,3,1,1,"Internet")))&gt;1,INDIRECT(ADDRESS(ROW() + $A$9-9 + (ROW()-11)*4,3,1,1,"Internet"))," "))</f>
        <v xml:space="preserve"> </v>
      </c>
      <c r="M98" s="149">
        <f ca="1">IF(N(I98)=0,9999,VLOOKUP(I98,Hraci!$A$1:$I$1000,8,0))</f>
        <v>9999</v>
      </c>
      <c r="N98" s="150">
        <f ca="1">IF(N(I98)=0,0,VLOOKUP(I98,Hraci!$A$1:$I$1000,9,0))</f>
        <v>0</v>
      </c>
      <c r="O98" s="147" t="str">
        <f t="shared" ca="1" si="39"/>
        <v/>
      </c>
      <c r="P98" s="148" t="str">
        <f ca="1">IF(N(O98)&gt;0,VLOOKUP(O98,Hraci!$A$1:$I$1000,2,0),IF(TYPE(INDIRECT(ADDRESS(ROW() + $A$9-8 + (ROW()-11)*4,2,1,1,"Internet")))&gt;1,INDIRECT(ADDRESS(ROW() + $A$9-8 + (ROW()-11)*4,2,1,1,"Internet"))," "))</f>
        <v xml:space="preserve"> </v>
      </c>
      <c r="Q98" s="149" t="str">
        <f ca="1">IF(N(O98)&gt;0,VLOOKUP(O98,Hraci!$A$1:$I$1000,3,0)," ")</f>
        <v xml:space="preserve"> </v>
      </c>
      <c r="R98" s="149" t="str">
        <f ca="1">IF(N(O98)&gt;0,VLOOKUP(O98,Hraci!$A$1:$I$1000,5,0),IF(TYPE(INDIRECT(ADDRESS(ROW() + $A$9-8 + (ROW()-11)*4,3,1,1,"Internet")))&gt;1,INDIRECT(ADDRESS(ROW() + $A$9-8 + (ROW()-11)*4,3,1,1,"Internet"))," "))</f>
        <v xml:space="preserve"> </v>
      </c>
      <c r="S98" s="149">
        <f ca="1">IF(N(O98)=0,9999,VLOOKUP(O98,Hraci!$A$1:$I$1000,8,0))</f>
        <v>9999</v>
      </c>
      <c r="T98" s="150">
        <f ca="1">IF(N(O98)=0,0,VLOOKUP(O98,Hraci!$A$1:$I$1000,9,0))</f>
        <v>0</v>
      </c>
      <c r="U98" s="147" t="str">
        <f t="shared" ca="1" si="40"/>
        <v/>
      </c>
      <c r="V98" s="148" t="str">
        <f ca="1">IF(N(U98)&gt;0,VLOOKUP(U98,Hraci!$A$1:$I$1000,2,0),IF(TYPE(INDIRECT(ADDRESS(ROW() + $A$9-7 + (ROW()-11)*4,2,1,1,"Internet")))&gt;1,INDIRECT(ADDRESS(ROW() + $A$9-7 + (ROW()-11)*4,2,1,1,"Internet"))," "))</f>
        <v xml:space="preserve"> </v>
      </c>
      <c r="W98" s="149" t="str">
        <f ca="1">IF(N(U98)&gt;0,VLOOKUP(U98,Hraci!$A$1:$I$1000,3,0)," ")</f>
        <v xml:space="preserve"> </v>
      </c>
      <c r="X98" s="149" t="str">
        <f ca="1">IF(N(U98)&gt;0,VLOOKUP(U98,Hraci!$A$1:$I$1000,5,0),IF(TYPE(INDIRECT(ADDRESS(ROW() + $A$9-7 + (ROW()-11)*4,3,1,1,"Internet")))&gt;1,INDIRECT(ADDRESS(ROW() + $A$9-7 + (ROW()-11)*4,3,1,1,"Internet"))," "))</f>
        <v xml:space="preserve"> </v>
      </c>
      <c r="Y98" s="149">
        <f ca="1">IF(N(U98)=0,9999,VLOOKUP(U98,Hraci!$A$1:$I$1000,8,0))</f>
        <v>9999</v>
      </c>
      <c r="Z98" s="150">
        <f ca="1">IF(N(U98)=0,0,VLOOKUP(U98,Hraci!$A$1:$I$1000,9,0))</f>
        <v>0</v>
      </c>
      <c r="AA98" s="147" t="str">
        <f t="shared" ca="1" si="41"/>
        <v/>
      </c>
      <c r="AB98" s="148" t="str">
        <f ca="1">IF(N(AA98)&gt;0,VLOOKUP(AA98,Hraci!$A$1:$I$1000,2,0)," ")</f>
        <v xml:space="preserve"> </v>
      </c>
      <c r="AC98" s="149" t="str">
        <f ca="1">IF(N(AA98)&gt;0,VLOOKUP(AA98,Hraci!$A$1:$I$1000,3,0)," ")</f>
        <v xml:space="preserve"> </v>
      </c>
      <c r="AD98" s="149" t="str">
        <f ca="1">IF(N(AA98)&gt;0,VLOOKUP(AA98,Hraci!$A$1:$I$1000,5,0)," ")</f>
        <v xml:space="preserve"> </v>
      </c>
      <c r="AE98" s="149">
        <f ca="1">IF(N(AA98)=0,9999,VLOOKUP(AA98,Hraci!$A$1:$I$1000,8,0))</f>
        <v>9999</v>
      </c>
      <c r="AF98" s="150">
        <f ca="1">IF(N(AA98)=0,0,VLOOKUP(AA98,Hraci!$A$1:$I$1000,9,0))</f>
        <v>0</v>
      </c>
      <c r="AG98" s="147"/>
      <c r="AH98" s="151">
        <f ca="1">IF(TYPE(VLOOKUP(H98,Nasazení!$A$3:$E$130,5,0))&lt;4,VLOOKUP(H98,Nasazení!$A$3:$E$130,5,0),0)</f>
        <v>0</v>
      </c>
      <c r="AI98" s="152" t="str">
        <f ca="1">IF(N($AH98)&gt;0,VLOOKUP($AH98,Body!$A$4:$F$259,5,0),"")</f>
        <v/>
      </c>
      <c r="AJ98" s="153" t="str">
        <f ca="1">IF(N($AH98)&gt;0,VLOOKUP($AH98,Body!$A$4:$F$259,6,0),"")</f>
        <v/>
      </c>
      <c r="AK98" s="152" t="str">
        <f ca="1">IF(N($AH98)&gt;0,VLOOKUP($AH98,Body!$A$4:$F$259,2,0),"")</f>
        <v/>
      </c>
      <c r="AL98" s="154" t="str">
        <f t="shared" ca="1" si="42"/>
        <v/>
      </c>
      <c r="AM98" s="155">
        <f t="shared" ca="1" si="43"/>
        <v>0</v>
      </c>
      <c r="AN98" s="72">
        <f ca="1">IF(OR(TYPE(I98)&gt;1,TYPE(MATCH(I98,I99:I$203,0))&gt;1),0,MATCH(I98,I99:I$203,0))+IF(OR(TYPE(I98)&gt;1,TYPE(MATCH(I98,O$11:O$203,0))&gt;1),0,MATCH(I98,O$11:O$203,0))+IF(OR(TYPE(I98)&gt;1,TYPE(MATCH(I98,U$11:U$203,0))&gt;1),0,MATCH(I98,U$11:U$203,0))+IF(OR(TYPE(I98)&gt;1,TYPE(MATCH(I98,AA$11:AA$203,0))&gt;1),0,MATCH(I98,AA$11:AA$203,0))</f>
        <v>0</v>
      </c>
      <c r="AO98" s="72">
        <f ca="1">IF(OR(TYPE(O98)&gt;1,TYPE(MATCH(O98,I$11:I$203,0))&gt;1),0,MATCH(O98,I$11:I$203,0))+IF(OR(TYPE(O98)&gt;1,TYPE(MATCH(O98,O99:O$203,0))&gt;1),0,MATCH(O98,O99:O$203,0))+IF(OR(TYPE(O98)&gt;1,TYPE(MATCH(O98,U$11:U$203,0))&gt;1),0,MATCH(O98,U$11:U$203,0))+IF(OR(TYPE(O98)&gt;1,TYPE(MATCH(O98,AA$11:AA$203,0))&gt;1),0,MATCH(O98,AA$11:AA$203,0))</f>
        <v>0</v>
      </c>
      <c r="AP98" s="72">
        <f ca="1">IF(OR(TYPE(U98)&gt;1,TYPE(MATCH(U98,I$11:I$203,0))&gt;1),0,MATCH(U98,I$11:I$203,0))+IF(OR(TYPE(U98)&gt;1,TYPE(MATCH(U98,O$11:O$203,0))&gt;1),0,MATCH(U98,O$11:O$203,0))+IF(OR(TYPE(U98)&gt;1,TYPE(MATCH(U98,U99:U$203,0))&gt;1),0,MATCH(U98,U99:U$203,0))+IF(OR(TYPE(U98)&gt;1,TYPE(MATCH(U98,AA$11:AA$203,0))&gt;1),0,MATCH(U98,AA$11:AA$203,0))</f>
        <v>0</v>
      </c>
      <c r="AQ98" s="72">
        <f ca="1">IF(OR(TYPE(AA98)&gt;1,TYPE(MATCH(AA98,I$11:I$203,0))&gt;1),0,MATCH(AA98,I$11:I$203,0))+IF(OR(TYPE(AA98)&gt;1,TYPE(MATCH(AA98,O$11:O$203,0))&gt;1),0,MATCH(AA98,O$11:O$203,0))+IF(OR(TYPE(AA98)&gt;1,TYPE(MATCH(AA98,U$11:U$203,0))&gt;1),0,MATCH(U98,U$11:U$203,0))+IF(OR(TYPE(AA98)&gt;1,TYPE(MATCH(AA98,AA99:AA$203,0))&gt;1),0,MATCH(AA98,AA99:AA$203,0))</f>
        <v>0</v>
      </c>
      <c r="AR98" s="72">
        <f t="shared" ca="1" si="44"/>
        <v>0</v>
      </c>
    </row>
    <row r="99" spans="1:44" ht="14.25">
      <c r="A99" s="73">
        <f t="shared" ca="1" si="30"/>
        <v>0</v>
      </c>
      <c r="B99" s="73">
        <f t="shared" ca="1" si="31"/>
        <v>0</v>
      </c>
      <c r="C99" s="157">
        <f t="shared" ca="1" si="32"/>
        <v>0</v>
      </c>
      <c r="D99" s="73">
        <f t="shared" ca="1" si="33"/>
        <v>99999</v>
      </c>
      <c r="E99" s="103">
        <f t="shared" ca="1" si="34"/>
        <v>9999</v>
      </c>
      <c r="F99" s="104" t="str">
        <f t="shared" ca="1" si="35"/>
        <v>00000000000000000000030327</v>
      </c>
      <c r="G99" s="145">
        <f t="shared" ca="1" si="36"/>
        <v>1</v>
      </c>
      <c r="H99" s="146">
        <f t="shared" si="37"/>
        <v>89</v>
      </c>
      <c r="I99" s="147" t="str">
        <f t="shared" ca="1" si="38"/>
        <v/>
      </c>
      <c r="J99" s="148" t="str">
        <f ca="1">IF(N(I99)&gt;0,VLOOKUP(I99,Hraci!$A$1:$I$1000,2,0),IF(TYPE(INDIRECT(ADDRESS(ROW() + $A$9-9 + (ROW()-11)*4,2,1,1,"Internet")))&gt;1,INDIRECT(ADDRESS(ROW() + $A$9-9 + (ROW()-11)*4,2,1,1,"Internet"))," "))</f>
        <v xml:space="preserve"> </v>
      </c>
      <c r="K99" s="149" t="str">
        <f ca="1">IF(N(I99)&gt;0,VLOOKUP(I99,Hraci!$A$1:$I$1000,3,0)," ")</f>
        <v xml:space="preserve"> </v>
      </c>
      <c r="L99" s="149" t="str">
        <f ca="1">IF(N(I99)&gt;0,VLOOKUP(I99,Hraci!$A$1:$I$1000,5,0),IF(TYPE(INDIRECT(ADDRESS(ROW() + $A$9-9 + (ROW()-11)*4,3,1,1,"Internet")))&gt;1,INDIRECT(ADDRESS(ROW() + $A$9-9 + (ROW()-11)*4,3,1,1,"Internet"))," "))</f>
        <v xml:space="preserve"> </v>
      </c>
      <c r="M99" s="149">
        <f ca="1">IF(N(I99)=0,9999,VLOOKUP(I99,Hraci!$A$1:$I$1000,8,0))</f>
        <v>9999</v>
      </c>
      <c r="N99" s="150">
        <f ca="1">IF(N(I99)=0,0,VLOOKUP(I99,Hraci!$A$1:$I$1000,9,0))</f>
        <v>0</v>
      </c>
      <c r="O99" s="147" t="str">
        <f t="shared" ca="1" si="39"/>
        <v/>
      </c>
      <c r="P99" s="148" t="str">
        <f ca="1">IF(N(O99)&gt;0,VLOOKUP(O99,Hraci!$A$1:$I$1000,2,0),IF(TYPE(INDIRECT(ADDRESS(ROW() + $A$9-8 + (ROW()-11)*4,2,1,1,"Internet")))&gt;1,INDIRECT(ADDRESS(ROW() + $A$9-8 + (ROW()-11)*4,2,1,1,"Internet"))," "))</f>
        <v xml:space="preserve"> </v>
      </c>
      <c r="Q99" s="149" t="str">
        <f ca="1">IF(N(O99)&gt;0,VLOOKUP(O99,Hraci!$A$1:$I$1000,3,0)," ")</f>
        <v xml:space="preserve"> </v>
      </c>
      <c r="R99" s="149" t="str">
        <f ca="1">IF(N(O99)&gt;0,VLOOKUP(O99,Hraci!$A$1:$I$1000,5,0),IF(TYPE(INDIRECT(ADDRESS(ROW() + $A$9-8 + (ROW()-11)*4,3,1,1,"Internet")))&gt;1,INDIRECT(ADDRESS(ROW() + $A$9-8 + (ROW()-11)*4,3,1,1,"Internet"))," "))</f>
        <v xml:space="preserve"> </v>
      </c>
      <c r="S99" s="149">
        <f ca="1">IF(N(O99)=0,9999,VLOOKUP(O99,Hraci!$A$1:$I$1000,8,0))</f>
        <v>9999</v>
      </c>
      <c r="T99" s="150">
        <f ca="1">IF(N(O99)=0,0,VLOOKUP(O99,Hraci!$A$1:$I$1000,9,0))</f>
        <v>0</v>
      </c>
      <c r="U99" s="147" t="str">
        <f t="shared" ca="1" si="40"/>
        <v/>
      </c>
      <c r="V99" s="148" t="str">
        <f ca="1">IF(N(U99)&gt;0,VLOOKUP(U99,Hraci!$A$1:$I$1000,2,0),IF(TYPE(INDIRECT(ADDRESS(ROW() + $A$9-7 + (ROW()-11)*4,2,1,1,"Internet")))&gt;1,INDIRECT(ADDRESS(ROW() + $A$9-7 + (ROW()-11)*4,2,1,1,"Internet"))," "))</f>
        <v xml:space="preserve"> </v>
      </c>
      <c r="W99" s="149" t="str">
        <f ca="1">IF(N(U99)&gt;0,VLOOKUP(U99,Hraci!$A$1:$I$1000,3,0)," ")</f>
        <v xml:space="preserve"> </v>
      </c>
      <c r="X99" s="149" t="str">
        <f ca="1">IF(N(U99)&gt;0,VLOOKUP(U99,Hraci!$A$1:$I$1000,5,0),IF(TYPE(INDIRECT(ADDRESS(ROW() + $A$9-7 + (ROW()-11)*4,3,1,1,"Internet")))&gt;1,INDIRECT(ADDRESS(ROW() + $A$9-7 + (ROW()-11)*4,3,1,1,"Internet"))," "))</f>
        <v xml:space="preserve"> </v>
      </c>
      <c r="Y99" s="149">
        <f ca="1">IF(N(U99)=0,9999,VLOOKUP(U99,Hraci!$A$1:$I$1000,8,0))</f>
        <v>9999</v>
      </c>
      <c r="Z99" s="150">
        <f ca="1">IF(N(U99)=0,0,VLOOKUP(U99,Hraci!$A$1:$I$1000,9,0))</f>
        <v>0</v>
      </c>
      <c r="AA99" s="147" t="str">
        <f t="shared" ca="1" si="41"/>
        <v/>
      </c>
      <c r="AB99" s="148" t="str">
        <f ca="1">IF(N(AA99)&gt;0,VLOOKUP(AA99,Hraci!$A$1:$I$1000,2,0)," ")</f>
        <v xml:space="preserve"> </v>
      </c>
      <c r="AC99" s="149" t="str">
        <f ca="1">IF(N(AA99)&gt;0,VLOOKUP(AA99,Hraci!$A$1:$I$1000,3,0)," ")</f>
        <v xml:space="preserve"> </v>
      </c>
      <c r="AD99" s="149" t="str">
        <f ca="1">IF(N(AA99)&gt;0,VLOOKUP(AA99,Hraci!$A$1:$I$1000,5,0)," ")</f>
        <v xml:space="preserve"> </v>
      </c>
      <c r="AE99" s="149">
        <f ca="1">IF(N(AA99)=0,9999,VLOOKUP(AA99,Hraci!$A$1:$I$1000,8,0))</f>
        <v>9999</v>
      </c>
      <c r="AF99" s="150">
        <f ca="1">IF(N(AA99)=0,0,VLOOKUP(AA99,Hraci!$A$1:$I$1000,9,0))</f>
        <v>0</v>
      </c>
      <c r="AG99" s="147"/>
      <c r="AH99" s="151">
        <f ca="1">IF(TYPE(VLOOKUP(H99,Nasazení!$A$3:$E$130,5,0))&lt;4,VLOOKUP(H99,Nasazení!$A$3:$E$130,5,0),0)</f>
        <v>0</v>
      </c>
      <c r="AI99" s="152" t="str">
        <f ca="1">IF(N($AH99)&gt;0,VLOOKUP($AH99,Body!$A$4:$F$259,5,0),"")</f>
        <v/>
      </c>
      <c r="AJ99" s="153" t="str">
        <f ca="1">IF(N($AH99)&gt;0,VLOOKUP($AH99,Body!$A$4:$F$259,6,0),"")</f>
        <v/>
      </c>
      <c r="AK99" s="152" t="str">
        <f ca="1">IF(N($AH99)&gt;0,VLOOKUP($AH99,Body!$A$4:$F$259,2,0),"")</f>
        <v/>
      </c>
      <c r="AL99" s="154" t="str">
        <f t="shared" ca="1" si="42"/>
        <v/>
      </c>
      <c r="AM99" s="155">
        <f t="shared" ca="1" si="43"/>
        <v>0</v>
      </c>
      <c r="AN99" s="72">
        <f ca="1">IF(OR(TYPE(I99)&gt;1,TYPE(MATCH(I99,I100:I$203,0))&gt;1),0,MATCH(I99,I100:I$203,0))+IF(OR(TYPE(I99)&gt;1,TYPE(MATCH(I99,O$11:O$203,0))&gt;1),0,MATCH(I99,O$11:O$203,0))+IF(OR(TYPE(I99)&gt;1,TYPE(MATCH(I99,U$11:U$203,0))&gt;1),0,MATCH(I99,U$11:U$203,0))+IF(OR(TYPE(I99)&gt;1,TYPE(MATCH(I99,AA$11:AA$203,0))&gt;1),0,MATCH(I99,AA$11:AA$203,0))</f>
        <v>0</v>
      </c>
      <c r="AO99" s="72">
        <f ca="1">IF(OR(TYPE(O99)&gt;1,TYPE(MATCH(O99,I$11:I$203,0))&gt;1),0,MATCH(O99,I$11:I$203,0))+IF(OR(TYPE(O99)&gt;1,TYPE(MATCH(O99,O100:O$203,0))&gt;1),0,MATCH(O99,O100:O$203,0))+IF(OR(TYPE(O99)&gt;1,TYPE(MATCH(O99,U$11:U$203,0))&gt;1),0,MATCH(O99,U$11:U$203,0))+IF(OR(TYPE(O99)&gt;1,TYPE(MATCH(O99,AA$11:AA$203,0))&gt;1),0,MATCH(O99,AA$11:AA$203,0))</f>
        <v>0</v>
      </c>
      <c r="AP99" s="72">
        <f ca="1">IF(OR(TYPE(U99)&gt;1,TYPE(MATCH(U99,I$11:I$203,0))&gt;1),0,MATCH(U99,I$11:I$203,0))+IF(OR(TYPE(U99)&gt;1,TYPE(MATCH(U99,O$11:O$203,0))&gt;1),0,MATCH(U99,O$11:O$203,0))+IF(OR(TYPE(U99)&gt;1,TYPE(MATCH(U99,U100:U$203,0))&gt;1),0,MATCH(U99,U100:U$203,0))+IF(OR(TYPE(U99)&gt;1,TYPE(MATCH(U99,AA$11:AA$203,0))&gt;1),0,MATCH(U99,AA$11:AA$203,0))</f>
        <v>0</v>
      </c>
      <c r="AQ99" s="72">
        <f ca="1">IF(OR(TYPE(AA99)&gt;1,TYPE(MATCH(AA99,I$11:I$203,0))&gt;1),0,MATCH(AA99,I$11:I$203,0))+IF(OR(TYPE(AA99)&gt;1,TYPE(MATCH(AA99,O$11:O$203,0))&gt;1),0,MATCH(AA99,O$11:O$203,0))+IF(OR(TYPE(AA99)&gt;1,TYPE(MATCH(AA99,U$11:U$203,0))&gt;1),0,MATCH(U99,U$11:U$203,0))+IF(OR(TYPE(AA99)&gt;1,TYPE(MATCH(AA99,AA100:AA$203,0))&gt;1),0,MATCH(AA99,AA100:AA$203,0))</f>
        <v>0</v>
      </c>
      <c r="AR99" s="72">
        <f t="shared" ca="1" si="44"/>
        <v>0</v>
      </c>
    </row>
    <row r="100" spans="1:44" ht="14.25">
      <c r="A100" s="103">
        <f t="shared" ca="1" si="30"/>
        <v>0</v>
      </c>
      <c r="B100" s="103">
        <f t="shared" ca="1" si="31"/>
        <v>0</v>
      </c>
      <c r="C100" s="156">
        <f t="shared" ca="1" si="32"/>
        <v>0</v>
      </c>
      <c r="D100" s="103">
        <f t="shared" ca="1" si="33"/>
        <v>99999</v>
      </c>
      <c r="E100" s="103">
        <f t="shared" ca="1" si="34"/>
        <v>9999</v>
      </c>
      <c r="F100" s="104" t="str">
        <f t="shared" ca="1" si="35"/>
        <v>00000000000000000000406504</v>
      </c>
      <c r="G100" s="145">
        <f t="shared" ca="1" si="36"/>
        <v>1</v>
      </c>
      <c r="H100" s="146">
        <f t="shared" si="37"/>
        <v>90</v>
      </c>
      <c r="I100" s="147" t="str">
        <f t="shared" ca="1" si="38"/>
        <v/>
      </c>
      <c r="J100" s="148" t="str">
        <f ca="1">IF(N(I100)&gt;0,VLOOKUP(I100,Hraci!$A$1:$I$1000,2,0),IF(TYPE(INDIRECT(ADDRESS(ROW() + $A$9-9 + (ROW()-11)*4,2,1,1,"Internet")))&gt;1,INDIRECT(ADDRESS(ROW() + $A$9-9 + (ROW()-11)*4,2,1,1,"Internet"))," "))</f>
        <v xml:space="preserve"> </v>
      </c>
      <c r="K100" s="149" t="str">
        <f ca="1">IF(N(I100)&gt;0,VLOOKUP(I100,Hraci!$A$1:$I$1000,3,0)," ")</f>
        <v xml:space="preserve"> </v>
      </c>
      <c r="L100" s="149" t="str">
        <f ca="1">IF(N(I100)&gt;0,VLOOKUP(I100,Hraci!$A$1:$I$1000,5,0),IF(TYPE(INDIRECT(ADDRESS(ROW() + $A$9-9 + (ROW()-11)*4,3,1,1,"Internet")))&gt;1,INDIRECT(ADDRESS(ROW() + $A$9-9 + (ROW()-11)*4,3,1,1,"Internet"))," "))</f>
        <v xml:space="preserve"> </v>
      </c>
      <c r="M100" s="149">
        <f ca="1">IF(N(I100)=0,9999,VLOOKUP(I100,Hraci!$A$1:$I$1000,8,0))</f>
        <v>9999</v>
      </c>
      <c r="N100" s="150">
        <f ca="1">IF(N(I100)=0,0,VLOOKUP(I100,Hraci!$A$1:$I$1000,9,0))</f>
        <v>0</v>
      </c>
      <c r="O100" s="147" t="str">
        <f t="shared" ca="1" si="39"/>
        <v/>
      </c>
      <c r="P100" s="148" t="str">
        <f ca="1">IF(N(O100)&gt;0,VLOOKUP(O100,Hraci!$A$1:$I$1000,2,0),IF(TYPE(INDIRECT(ADDRESS(ROW() + $A$9-8 + (ROW()-11)*4,2,1,1,"Internet")))&gt;1,INDIRECT(ADDRESS(ROW() + $A$9-8 + (ROW()-11)*4,2,1,1,"Internet"))," "))</f>
        <v xml:space="preserve"> </v>
      </c>
      <c r="Q100" s="149" t="str">
        <f ca="1">IF(N(O100)&gt;0,VLOOKUP(O100,Hraci!$A$1:$I$1000,3,0)," ")</f>
        <v xml:space="preserve"> </v>
      </c>
      <c r="R100" s="149" t="str">
        <f ca="1">IF(N(O100)&gt;0,VLOOKUP(O100,Hraci!$A$1:$I$1000,5,0),IF(TYPE(INDIRECT(ADDRESS(ROW() + $A$9-8 + (ROW()-11)*4,3,1,1,"Internet")))&gt;1,INDIRECT(ADDRESS(ROW() + $A$9-8 + (ROW()-11)*4,3,1,1,"Internet"))," "))</f>
        <v xml:space="preserve"> </v>
      </c>
      <c r="S100" s="149">
        <f ca="1">IF(N(O100)=0,9999,VLOOKUP(O100,Hraci!$A$1:$I$1000,8,0))</f>
        <v>9999</v>
      </c>
      <c r="T100" s="150">
        <f ca="1">IF(N(O100)=0,0,VLOOKUP(O100,Hraci!$A$1:$I$1000,9,0))</f>
        <v>0</v>
      </c>
      <c r="U100" s="147" t="str">
        <f t="shared" ca="1" si="40"/>
        <v/>
      </c>
      <c r="V100" s="148" t="str">
        <f ca="1">IF(N(U100)&gt;0,VLOOKUP(U100,Hraci!$A$1:$I$1000,2,0),IF(TYPE(INDIRECT(ADDRESS(ROW() + $A$9-7 + (ROW()-11)*4,2,1,1,"Internet")))&gt;1,INDIRECT(ADDRESS(ROW() + $A$9-7 + (ROW()-11)*4,2,1,1,"Internet"))," "))</f>
        <v xml:space="preserve"> </v>
      </c>
      <c r="W100" s="149" t="str">
        <f ca="1">IF(N(U100)&gt;0,VLOOKUP(U100,Hraci!$A$1:$I$1000,3,0)," ")</f>
        <v xml:space="preserve"> </v>
      </c>
      <c r="X100" s="149" t="str">
        <f ca="1">IF(N(U100)&gt;0,VLOOKUP(U100,Hraci!$A$1:$I$1000,5,0),IF(TYPE(INDIRECT(ADDRESS(ROW() + $A$9-7 + (ROW()-11)*4,3,1,1,"Internet")))&gt;1,INDIRECT(ADDRESS(ROW() + $A$9-7 + (ROW()-11)*4,3,1,1,"Internet"))," "))</f>
        <v xml:space="preserve"> </v>
      </c>
      <c r="Y100" s="149">
        <f ca="1">IF(N(U100)=0,9999,VLOOKUP(U100,Hraci!$A$1:$I$1000,8,0))</f>
        <v>9999</v>
      </c>
      <c r="Z100" s="150">
        <f ca="1">IF(N(U100)=0,0,VLOOKUP(U100,Hraci!$A$1:$I$1000,9,0))</f>
        <v>0</v>
      </c>
      <c r="AA100" s="147" t="str">
        <f t="shared" ca="1" si="41"/>
        <v/>
      </c>
      <c r="AB100" s="148" t="str">
        <f ca="1">IF(N(AA100)&gt;0,VLOOKUP(AA100,Hraci!$A$1:$I$1000,2,0)," ")</f>
        <v xml:space="preserve"> </v>
      </c>
      <c r="AC100" s="149" t="str">
        <f ca="1">IF(N(AA100)&gt;0,VLOOKUP(AA100,Hraci!$A$1:$I$1000,3,0)," ")</f>
        <v xml:space="preserve"> </v>
      </c>
      <c r="AD100" s="149" t="str">
        <f ca="1">IF(N(AA100)&gt;0,VLOOKUP(AA100,Hraci!$A$1:$I$1000,5,0)," ")</f>
        <v xml:space="preserve"> </v>
      </c>
      <c r="AE100" s="149">
        <f ca="1">IF(N(AA100)=0,9999,VLOOKUP(AA100,Hraci!$A$1:$I$1000,8,0))</f>
        <v>9999</v>
      </c>
      <c r="AF100" s="150">
        <f ca="1">IF(N(AA100)=0,0,VLOOKUP(AA100,Hraci!$A$1:$I$1000,9,0))</f>
        <v>0</v>
      </c>
      <c r="AG100" s="147"/>
      <c r="AH100" s="151">
        <f ca="1">IF(TYPE(VLOOKUP(H100,Nasazení!$A$3:$E$130,5,0))&lt;4,VLOOKUP(H100,Nasazení!$A$3:$E$130,5,0),0)</f>
        <v>0</v>
      </c>
      <c r="AI100" s="152" t="str">
        <f ca="1">IF(N($AH100)&gt;0,VLOOKUP($AH100,Body!$A$4:$F$259,5,0),"")</f>
        <v/>
      </c>
      <c r="AJ100" s="153" t="str">
        <f ca="1">IF(N($AH100)&gt;0,VLOOKUP($AH100,Body!$A$4:$F$259,6,0),"")</f>
        <v/>
      </c>
      <c r="AK100" s="152" t="str">
        <f ca="1">IF(N($AH100)&gt;0,VLOOKUP($AH100,Body!$A$4:$F$259,2,0),"")</f>
        <v/>
      </c>
      <c r="AL100" s="154" t="str">
        <f t="shared" ca="1" si="42"/>
        <v/>
      </c>
      <c r="AM100" s="155">
        <f t="shared" ca="1" si="43"/>
        <v>0</v>
      </c>
      <c r="AN100" s="72">
        <f ca="1">IF(OR(TYPE(I100)&gt;1,TYPE(MATCH(I100,I101:I$203,0))&gt;1),0,MATCH(I100,I101:I$203,0))+IF(OR(TYPE(I100)&gt;1,TYPE(MATCH(I100,O$11:O$203,0))&gt;1),0,MATCH(I100,O$11:O$203,0))+IF(OR(TYPE(I100)&gt;1,TYPE(MATCH(I100,U$11:U$203,0))&gt;1),0,MATCH(I100,U$11:U$203,0))+IF(OR(TYPE(I100)&gt;1,TYPE(MATCH(I100,AA$11:AA$203,0))&gt;1),0,MATCH(I100,AA$11:AA$203,0))</f>
        <v>0</v>
      </c>
      <c r="AO100" s="72">
        <f ca="1">IF(OR(TYPE(O100)&gt;1,TYPE(MATCH(O100,I$11:I$203,0))&gt;1),0,MATCH(O100,I$11:I$203,0))+IF(OR(TYPE(O100)&gt;1,TYPE(MATCH(O100,O101:O$203,0))&gt;1),0,MATCH(O100,O101:O$203,0))+IF(OR(TYPE(O100)&gt;1,TYPE(MATCH(O100,U$11:U$203,0))&gt;1),0,MATCH(O100,U$11:U$203,0))+IF(OR(TYPE(O100)&gt;1,TYPE(MATCH(O100,AA$11:AA$203,0))&gt;1),0,MATCH(O100,AA$11:AA$203,0))</f>
        <v>0</v>
      </c>
      <c r="AP100" s="72">
        <f ca="1">IF(OR(TYPE(U100)&gt;1,TYPE(MATCH(U100,I$11:I$203,0))&gt;1),0,MATCH(U100,I$11:I$203,0))+IF(OR(TYPE(U100)&gt;1,TYPE(MATCH(U100,O$11:O$203,0))&gt;1),0,MATCH(U100,O$11:O$203,0))+IF(OR(TYPE(U100)&gt;1,TYPE(MATCH(U100,U101:U$203,0))&gt;1),0,MATCH(U100,U101:U$203,0))+IF(OR(TYPE(U100)&gt;1,TYPE(MATCH(U100,AA$11:AA$203,0))&gt;1),0,MATCH(U100,AA$11:AA$203,0))</f>
        <v>0</v>
      </c>
      <c r="AQ100" s="72">
        <f ca="1">IF(OR(TYPE(AA100)&gt;1,TYPE(MATCH(AA100,I$11:I$203,0))&gt;1),0,MATCH(AA100,I$11:I$203,0))+IF(OR(TYPE(AA100)&gt;1,TYPE(MATCH(AA100,O$11:O$203,0))&gt;1),0,MATCH(AA100,O$11:O$203,0))+IF(OR(TYPE(AA100)&gt;1,TYPE(MATCH(AA100,U$11:U$203,0))&gt;1),0,MATCH(U100,U$11:U$203,0))+IF(OR(TYPE(AA100)&gt;1,TYPE(MATCH(AA100,AA101:AA$203,0))&gt;1),0,MATCH(AA100,AA101:AA$203,0))</f>
        <v>0</v>
      </c>
      <c r="AR100" s="72">
        <f t="shared" ca="1" si="44"/>
        <v>0</v>
      </c>
    </row>
    <row r="101" spans="1:44" ht="14.25">
      <c r="A101" s="103">
        <f t="shared" ca="1" si="30"/>
        <v>0</v>
      </c>
      <c r="B101" s="103">
        <f t="shared" ca="1" si="31"/>
        <v>0</v>
      </c>
      <c r="C101" s="156">
        <f t="shared" ca="1" si="32"/>
        <v>0</v>
      </c>
      <c r="D101" s="103">
        <f t="shared" ca="1" si="33"/>
        <v>99999</v>
      </c>
      <c r="E101" s="103">
        <f t="shared" ca="1" si="34"/>
        <v>9999</v>
      </c>
      <c r="F101" s="104" t="str">
        <f t="shared" ca="1" si="35"/>
        <v>00000000000000000000003147</v>
      </c>
      <c r="G101" s="145">
        <f t="shared" ca="1" si="36"/>
        <v>1</v>
      </c>
      <c r="H101" s="146">
        <f t="shared" si="37"/>
        <v>91</v>
      </c>
      <c r="I101" s="147" t="str">
        <f t="shared" ca="1" si="38"/>
        <v/>
      </c>
      <c r="J101" s="148" t="str">
        <f ca="1">IF(N(I101)&gt;0,VLOOKUP(I101,Hraci!$A$1:$I$1000,2,0),IF(TYPE(INDIRECT(ADDRESS(ROW() + $A$9-9 + (ROW()-11)*4,2,1,1,"Internet")))&gt;1,INDIRECT(ADDRESS(ROW() + $A$9-9 + (ROW()-11)*4,2,1,1,"Internet"))," "))</f>
        <v xml:space="preserve"> </v>
      </c>
      <c r="K101" s="149" t="str">
        <f ca="1">IF(N(I101)&gt;0,VLOOKUP(I101,Hraci!$A$1:$I$1000,3,0)," ")</f>
        <v xml:space="preserve"> </v>
      </c>
      <c r="L101" s="149" t="str">
        <f ca="1">IF(N(I101)&gt;0,VLOOKUP(I101,Hraci!$A$1:$I$1000,5,0),IF(TYPE(INDIRECT(ADDRESS(ROW() + $A$9-9 + (ROW()-11)*4,3,1,1,"Internet")))&gt;1,INDIRECT(ADDRESS(ROW() + $A$9-9 + (ROW()-11)*4,3,1,1,"Internet"))," "))</f>
        <v xml:space="preserve"> </v>
      </c>
      <c r="M101" s="149">
        <f ca="1">IF(N(I101)=0,9999,VLOOKUP(I101,Hraci!$A$1:$I$1000,8,0))</f>
        <v>9999</v>
      </c>
      <c r="N101" s="150">
        <f ca="1">IF(N(I101)=0,0,VLOOKUP(I101,Hraci!$A$1:$I$1000,9,0))</f>
        <v>0</v>
      </c>
      <c r="O101" s="147" t="str">
        <f t="shared" ca="1" si="39"/>
        <v/>
      </c>
      <c r="P101" s="148" t="str">
        <f ca="1">IF(N(O101)&gt;0,VLOOKUP(O101,Hraci!$A$1:$I$1000,2,0),IF(TYPE(INDIRECT(ADDRESS(ROW() + $A$9-8 + (ROW()-11)*4,2,1,1,"Internet")))&gt;1,INDIRECT(ADDRESS(ROW() + $A$9-8 + (ROW()-11)*4,2,1,1,"Internet"))," "))</f>
        <v xml:space="preserve"> </v>
      </c>
      <c r="Q101" s="149" t="str">
        <f ca="1">IF(N(O101)&gt;0,VLOOKUP(O101,Hraci!$A$1:$I$1000,3,0)," ")</f>
        <v xml:space="preserve"> </v>
      </c>
      <c r="R101" s="149" t="str">
        <f ca="1">IF(N(O101)&gt;0,VLOOKUP(O101,Hraci!$A$1:$I$1000,5,0),IF(TYPE(INDIRECT(ADDRESS(ROW() + $A$9-8 + (ROW()-11)*4,3,1,1,"Internet")))&gt;1,INDIRECT(ADDRESS(ROW() + $A$9-8 + (ROW()-11)*4,3,1,1,"Internet"))," "))</f>
        <v xml:space="preserve"> </v>
      </c>
      <c r="S101" s="149">
        <f ca="1">IF(N(O101)=0,9999,VLOOKUP(O101,Hraci!$A$1:$I$1000,8,0))</f>
        <v>9999</v>
      </c>
      <c r="T101" s="150">
        <f ca="1">IF(N(O101)=0,0,VLOOKUP(O101,Hraci!$A$1:$I$1000,9,0))</f>
        <v>0</v>
      </c>
      <c r="U101" s="147" t="str">
        <f t="shared" ca="1" si="40"/>
        <v/>
      </c>
      <c r="V101" s="148" t="str">
        <f ca="1">IF(N(U101)&gt;0,VLOOKUP(U101,Hraci!$A$1:$I$1000,2,0),IF(TYPE(INDIRECT(ADDRESS(ROW() + $A$9-7 + (ROW()-11)*4,2,1,1,"Internet")))&gt;1,INDIRECT(ADDRESS(ROW() + $A$9-7 + (ROW()-11)*4,2,1,1,"Internet"))," "))</f>
        <v xml:space="preserve"> </v>
      </c>
      <c r="W101" s="149" t="str">
        <f ca="1">IF(N(U101)&gt;0,VLOOKUP(U101,Hraci!$A$1:$I$1000,3,0)," ")</f>
        <v xml:space="preserve"> </v>
      </c>
      <c r="X101" s="149" t="str">
        <f ca="1">IF(N(U101)&gt;0,VLOOKUP(U101,Hraci!$A$1:$I$1000,5,0),IF(TYPE(INDIRECT(ADDRESS(ROW() + $A$9-7 + (ROW()-11)*4,3,1,1,"Internet")))&gt;1,INDIRECT(ADDRESS(ROW() + $A$9-7 + (ROW()-11)*4,3,1,1,"Internet"))," "))</f>
        <v xml:space="preserve"> </v>
      </c>
      <c r="Y101" s="149">
        <f ca="1">IF(N(U101)=0,9999,VLOOKUP(U101,Hraci!$A$1:$I$1000,8,0))</f>
        <v>9999</v>
      </c>
      <c r="Z101" s="150">
        <f ca="1">IF(N(U101)=0,0,VLOOKUP(U101,Hraci!$A$1:$I$1000,9,0))</f>
        <v>0</v>
      </c>
      <c r="AA101" s="147" t="str">
        <f t="shared" ca="1" si="41"/>
        <v/>
      </c>
      <c r="AB101" s="148" t="str">
        <f ca="1">IF(N(AA101)&gt;0,VLOOKUP(AA101,Hraci!$A$1:$I$1000,2,0)," ")</f>
        <v xml:space="preserve"> </v>
      </c>
      <c r="AC101" s="149" t="str">
        <f ca="1">IF(N(AA101)&gt;0,VLOOKUP(AA101,Hraci!$A$1:$I$1000,3,0)," ")</f>
        <v xml:space="preserve"> </v>
      </c>
      <c r="AD101" s="149" t="str">
        <f ca="1">IF(N(AA101)&gt;0,VLOOKUP(AA101,Hraci!$A$1:$I$1000,5,0)," ")</f>
        <v xml:space="preserve"> </v>
      </c>
      <c r="AE101" s="149">
        <f ca="1">IF(N(AA101)=0,9999,VLOOKUP(AA101,Hraci!$A$1:$I$1000,8,0))</f>
        <v>9999</v>
      </c>
      <c r="AF101" s="150">
        <f ca="1">IF(N(AA101)=0,0,VLOOKUP(AA101,Hraci!$A$1:$I$1000,9,0))</f>
        <v>0</v>
      </c>
      <c r="AG101" s="147"/>
      <c r="AH101" s="151">
        <f ca="1">IF(TYPE(VLOOKUP(H101,Nasazení!$A$3:$E$130,5,0))&lt;4,VLOOKUP(H101,Nasazení!$A$3:$E$130,5,0),0)</f>
        <v>0</v>
      </c>
      <c r="AI101" s="152" t="str">
        <f ca="1">IF(N($AH101)&gt;0,VLOOKUP($AH101,Body!$A$4:$F$259,5,0),"")</f>
        <v/>
      </c>
      <c r="AJ101" s="153" t="str">
        <f ca="1">IF(N($AH101)&gt;0,VLOOKUP($AH101,Body!$A$4:$F$259,6,0),"")</f>
        <v/>
      </c>
      <c r="AK101" s="152" t="str">
        <f ca="1">IF(N($AH101)&gt;0,VLOOKUP($AH101,Body!$A$4:$F$259,2,0),"")</f>
        <v/>
      </c>
      <c r="AL101" s="154" t="str">
        <f t="shared" ca="1" si="42"/>
        <v/>
      </c>
      <c r="AM101" s="155">
        <f t="shared" ca="1" si="43"/>
        <v>0</v>
      </c>
      <c r="AN101" s="72">
        <f ca="1">IF(OR(TYPE(I101)&gt;1,TYPE(MATCH(I101,I102:I$203,0))&gt;1),0,MATCH(I101,I102:I$203,0))+IF(OR(TYPE(I101)&gt;1,TYPE(MATCH(I101,O$11:O$203,0))&gt;1),0,MATCH(I101,O$11:O$203,0))+IF(OR(TYPE(I101)&gt;1,TYPE(MATCH(I101,U$11:U$203,0))&gt;1),0,MATCH(I101,U$11:U$203,0))+IF(OR(TYPE(I101)&gt;1,TYPE(MATCH(I101,AA$11:AA$203,0))&gt;1),0,MATCH(I101,AA$11:AA$203,0))</f>
        <v>0</v>
      </c>
      <c r="AO101" s="72">
        <f ca="1">IF(OR(TYPE(O101)&gt;1,TYPE(MATCH(O101,I$11:I$203,0))&gt;1),0,MATCH(O101,I$11:I$203,0))+IF(OR(TYPE(O101)&gt;1,TYPE(MATCH(O101,O102:O$203,0))&gt;1),0,MATCH(O101,O102:O$203,0))+IF(OR(TYPE(O101)&gt;1,TYPE(MATCH(O101,U$11:U$203,0))&gt;1),0,MATCH(O101,U$11:U$203,0))+IF(OR(TYPE(O101)&gt;1,TYPE(MATCH(O101,AA$11:AA$203,0))&gt;1),0,MATCH(O101,AA$11:AA$203,0))</f>
        <v>0</v>
      </c>
      <c r="AP101" s="72">
        <f ca="1">IF(OR(TYPE(U101)&gt;1,TYPE(MATCH(U101,I$11:I$203,0))&gt;1),0,MATCH(U101,I$11:I$203,0))+IF(OR(TYPE(U101)&gt;1,TYPE(MATCH(U101,O$11:O$203,0))&gt;1),0,MATCH(U101,O$11:O$203,0))+IF(OR(TYPE(U101)&gt;1,TYPE(MATCH(U101,U102:U$203,0))&gt;1),0,MATCH(U101,U102:U$203,0))+IF(OR(TYPE(U101)&gt;1,TYPE(MATCH(U101,AA$11:AA$203,0))&gt;1),0,MATCH(U101,AA$11:AA$203,0))</f>
        <v>0</v>
      </c>
      <c r="AQ101" s="72">
        <f ca="1">IF(OR(TYPE(AA101)&gt;1,TYPE(MATCH(AA101,I$11:I$203,0))&gt;1),0,MATCH(AA101,I$11:I$203,0))+IF(OR(TYPE(AA101)&gt;1,TYPE(MATCH(AA101,O$11:O$203,0))&gt;1),0,MATCH(AA101,O$11:O$203,0))+IF(OR(TYPE(AA101)&gt;1,TYPE(MATCH(AA101,U$11:U$203,0))&gt;1),0,MATCH(U101,U$11:U$203,0))+IF(OR(TYPE(AA101)&gt;1,TYPE(MATCH(AA101,AA102:AA$203,0))&gt;1),0,MATCH(AA101,AA102:AA$203,0))</f>
        <v>0</v>
      </c>
      <c r="AR101" s="72">
        <f t="shared" ca="1" si="44"/>
        <v>0</v>
      </c>
    </row>
    <row r="102" spans="1:44" ht="14.25">
      <c r="A102" s="103">
        <f t="shared" ca="1" si="30"/>
        <v>0</v>
      </c>
      <c r="B102" s="103">
        <f t="shared" ca="1" si="31"/>
        <v>0</v>
      </c>
      <c r="C102" s="156">
        <f t="shared" ca="1" si="32"/>
        <v>0</v>
      </c>
      <c r="D102" s="103">
        <f t="shared" ca="1" si="33"/>
        <v>99999</v>
      </c>
      <c r="E102" s="103">
        <f t="shared" ca="1" si="34"/>
        <v>9999</v>
      </c>
      <c r="F102" s="104" t="str">
        <f t="shared" ca="1" si="35"/>
        <v>00000000000000000000114241</v>
      </c>
      <c r="G102" s="145">
        <f t="shared" ca="1" si="36"/>
        <v>1</v>
      </c>
      <c r="H102" s="146">
        <f t="shared" si="37"/>
        <v>92</v>
      </c>
      <c r="I102" s="147" t="str">
        <f t="shared" ca="1" si="38"/>
        <v/>
      </c>
      <c r="J102" s="148" t="str">
        <f ca="1">IF(N(I102)&gt;0,VLOOKUP(I102,Hraci!$A$1:$I$1000,2,0),IF(TYPE(INDIRECT(ADDRESS(ROW() + $A$9-9 + (ROW()-11)*4,2,1,1,"Internet")))&gt;1,INDIRECT(ADDRESS(ROW() + $A$9-9 + (ROW()-11)*4,2,1,1,"Internet"))," "))</f>
        <v xml:space="preserve"> </v>
      </c>
      <c r="K102" s="149" t="str">
        <f ca="1">IF(N(I102)&gt;0,VLOOKUP(I102,Hraci!$A$1:$I$1000,3,0)," ")</f>
        <v xml:space="preserve"> </v>
      </c>
      <c r="L102" s="149" t="str">
        <f ca="1">IF(N(I102)&gt;0,VLOOKUP(I102,Hraci!$A$1:$I$1000,5,0),IF(TYPE(INDIRECT(ADDRESS(ROW() + $A$9-9 + (ROW()-11)*4,3,1,1,"Internet")))&gt;1,INDIRECT(ADDRESS(ROW() + $A$9-9 + (ROW()-11)*4,3,1,1,"Internet"))," "))</f>
        <v xml:space="preserve"> </v>
      </c>
      <c r="M102" s="149">
        <f ca="1">IF(N(I102)=0,9999,VLOOKUP(I102,Hraci!$A$1:$I$1000,8,0))</f>
        <v>9999</v>
      </c>
      <c r="N102" s="150">
        <f ca="1">IF(N(I102)=0,0,VLOOKUP(I102,Hraci!$A$1:$I$1000,9,0))</f>
        <v>0</v>
      </c>
      <c r="O102" s="147" t="str">
        <f t="shared" ca="1" si="39"/>
        <v/>
      </c>
      <c r="P102" s="148" t="str">
        <f ca="1">IF(N(O102)&gt;0,VLOOKUP(O102,Hraci!$A$1:$I$1000,2,0),IF(TYPE(INDIRECT(ADDRESS(ROW() + $A$9-8 + (ROW()-11)*4,2,1,1,"Internet")))&gt;1,INDIRECT(ADDRESS(ROW() + $A$9-8 + (ROW()-11)*4,2,1,1,"Internet"))," "))</f>
        <v xml:space="preserve"> </v>
      </c>
      <c r="Q102" s="149" t="str">
        <f ca="1">IF(N(O102)&gt;0,VLOOKUP(O102,Hraci!$A$1:$I$1000,3,0)," ")</f>
        <v xml:space="preserve"> </v>
      </c>
      <c r="R102" s="149" t="str">
        <f ca="1">IF(N(O102)&gt;0,VLOOKUP(O102,Hraci!$A$1:$I$1000,5,0),IF(TYPE(INDIRECT(ADDRESS(ROW() + $A$9-8 + (ROW()-11)*4,3,1,1,"Internet")))&gt;1,INDIRECT(ADDRESS(ROW() + $A$9-8 + (ROW()-11)*4,3,1,1,"Internet"))," "))</f>
        <v xml:space="preserve"> </v>
      </c>
      <c r="S102" s="149">
        <f ca="1">IF(N(O102)=0,9999,VLOOKUP(O102,Hraci!$A$1:$I$1000,8,0))</f>
        <v>9999</v>
      </c>
      <c r="T102" s="150">
        <f ca="1">IF(N(O102)=0,0,VLOOKUP(O102,Hraci!$A$1:$I$1000,9,0))</f>
        <v>0</v>
      </c>
      <c r="U102" s="147" t="str">
        <f t="shared" ca="1" si="40"/>
        <v/>
      </c>
      <c r="V102" s="148" t="str">
        <f ca="1">IF(N(U102)&gt;0,VLOOKUP(U102,Hraci!$A$1:$I$1000,2,0),IF(TYPE(INDIRECT(ADDRESS(ROW() + $A$9-7 + (ROW()-11)*4,2,1,1,"Internet")))&gt;1,INDIRECT(ADDRESS(ROW() + $A$9-7 + (ROW()-11)*4,2,1,1,"Internet"))," "))</f>
        <v xml:space="preserve"> </v>
      </c>
      <c r="W102" s="149" t="str">
        <f ca="1">IF(N(U102)&gt;0,VLOOKUP(U102,Hraci!$A$1:$I$1000,3,0)," ")</f>
        <v xml:space="preserve"> </v>
      </c>
      <c r="X102" s="149" t="str">
        <f ca="1">IF(N(U102)&gt;0,VLOOKUP(U102,Hraci!$A$1:$I$1000,5,0),IF(TYPE(INDIRECT(ADDRESS(ROW() + $A$9-7 + (ROW()-11)*4,3,1,1,"Internet")))&gt;1,INDIRECT(ADDRESS(ROW() + $A$9-7 + (ROW()-11)*4,3,1,1,"Internet"))," "))</f>
        <v xml:space="preserve"> </v>
      </c>
      <c r="Y102" s="149">
        <f ca="1">IF(N(U102)=0,9999,VLOOKUP(U102,Hraci!$A$1:$I$1000,8,0))</f>
        <v>9999</v>
      </c>
      <c r="Z102" s="150">
        <f ca="1">IF(N(U102)=0,0,VLOOKUP(U102,Hraci!$A$1:$I$1000,9,0))</f>
        <v>0</v>
      </c>
      <c r="AA102" s="147" t="str">
        <f t="shared" ca="1" si="41"/>
        <v/>
      </c>
      <c r="AB102" s="148" t="str">
        <f ca="1">IF(N(AA102)&gt;0,VLOOKUP(AA102,Hraci!$A$1:$I$1000,2,0)," ")</f>
        <v xml:space="preserve"> </v>
      </c>
      <c r="AC102" s="149" t="str">
        <f ca="1">IF(N(AA102)&gt;0,VLOOKUP(AA102,Hraci!$A$1:$I$1000,3,0)," ")</f>
        <v xml:space="preserve"> </v>
      </c>
      <c r="AD102" s="149" t="str">
        <f ca="1">IF(N(AA102)&gt;0,VLOOKUP(AA102,Hraci!$A$1:$I$1000,5,0)," ")</f>
        <v xml:space="preserve"> </v>
      </c>
      <c r="AE102" s="149">
        <f ca="1">IF(N(AA102)=0,9999,VLOOKUP(AA102,Hraci!$A$1:$I$1000,8,0))</f>
        <v>9999</v>
      </c>
      <c r="AF102" s="150">
        <f ca="1">IF(N(AA102)=0,0,VLOOKUP(AA102,Hraci!$A$1:$I$1000,9,0))</f>
        <v>0</v>
      </c>
      <c r="AG102" s="147"/>
      <c r="AH102" s="151">
        <f ca="1">IF(TYPE(VLOOKUP(H102,Nasazení!$A$3:$E$130,5,0))&lt;4,VLOOKUP(H102,Nasazení!$A$3:$E$130,5,0),0)</f>
        <v>0</v>
      </c>
      <c r="AI102" s="152" t="str">
        <f ca="1">IF(N($AH102)&gt;0,VLOOKUP($AH102,Body!$A$4:$F$259,5,0),"")</f>
        <v/>
      </c>
      <c r="AJ102" s="153" t="str">
        <f ca="1">IF(N($AH102)&gt;0,VLOOKUP($AH102,Body!$A$4:$F$259,6,0),"")</f>
        <v/>
      </c>
      <c r="AK102" s="152" t="str">
        <f ca="1">IF(N($AH102)&gt;0,VLOOKUP($AH102,Body!$A$4:$F$259,2,0),"")</f>
        <v/>
      </c>
      <c r="AL102" s="154" t="str">
        <f t="shared" ca="1" si="42"/>
        <v/>
      </c>
      <c r="AM102" s="155">
        <f t="shared" ca="1" si="43"/>
        <v>0</v>
      </c>
      <c r="AN102" s="72">
        <f ca="1">IF(OR(TYPE(I102)&gt;1,TYPE(MATCH(I102,I103:I$203,0))&gt;1),0,MATCH(I102,I103:I$203,0))+IF(OR(TYPE(I102)&gt;1,TYPE(MATCH(I102,O$11:O$203,0))&gt;1),0,MATCH(I102,O$11:O$203,0))+IF(OR(TYPE(I102)&gt;1,TYPE(MATCH(I102,U$11:U$203,0))&gt;1),0,MATCH(I102,U$11:U$203,0))+IF(OR(TYPE(I102)&gt;1,TYPE(MATCH(I102,AA$11:AA$203,0))&gt;1),0,MATCH(I102,AA$11:AA$203,0))</f>
        <v>0</v>
      </c>
      <c r="AO102" s="72">
        <f ca="1">IF(OR(TYPE(O102)&gt;1,TYPE(MATCH(O102,I$11:I$203,0))&gt;1),0,MATCH(O102,I$11:I$203,0))+IF(OR(TYPE(O102)&gt;1,TYPE(MATCH(O102,O103:O$203,0))&gt;1),0,MATCH(O102,O103:O$203,0))+IF(OR(TYPE(O102)&gt;1,TYPE(MATCH(O102,U$11:U$203,0))&gt;1),0,MATCH(O102,U$11:U$203,0))+IF(OR(TYPE(O102)&gt;1,TYPE(MATCH(O102,AA$11:AA$203,0))&gt;1),0,MATCH(O102,AA$11:AA$203,0))</f>
        <v>0</v>
      </c>
      <c r="AP102" s="72">
        <f ca="1">IF(OR(TYPE(U102)&gt;1,TYPE(MATCH(U102,I$11:I$203,0))&gt;1),0,MATCH(U102,I$11:I$203,0))+IF(OR(TYPE(U102)&gt;1,TYPE(MATCH(U102,O$11:O$203,0))&gt;1),0,MATCH(U102,O$11:O$203,0))+IF(OR(TYPE(U102)&gt;1,TYPE(MATCH(U102,U103:U$203,0))&gt;1),0,MATCH(U102,U103:U$203,0))+IF(OR(TYPE(U102)&gt;1,TYPE(MATCH(U102,AA$11:AA$203,0))&gt;1),0,MATCH(U102,AA$11:AA$203,0))</f>
        <v>0</v>
      </c>
      <c r="AQ102" s="72">
        <f ca="1">IF(OR(TYPE(AA102)&gt;1,TYPE(MATCH(AA102,I$11:I$203,0))&gt;1),0,MATCH(AA102,I$11:I$203,0))+IF(OR(TYPE(AA102)&gt;1,TYPE(MATCH(AA102,O$11:O$203,0))&gt;1),0,MATCH(AA102,O$11:O$203,0))+IF(OR(TYPE(AA102)&gt;1,TYPE(MATCH(AA102,U$11:U$203,0))&gt;1),0,MATCH(U102,U$11:U$203,0))+IF(OR(TYPE(AA102)&gt;1,TYPE(MATCH(AA102,AA103:AA$203,0))&gt;1),0,MATCH(AA102,AA103:AA$203,0))</f>
        <v>0</v>
      </c>
      <c r="AR102" s="72">
        <f t="shared" ca="1" si="44"/>
        <v>0</v>
      </c>
    </row>
    <row r="103" spans="1:44" ht="14.25">
      <c r="A103" s="103">
        <f t="shared" ca="1" si="30"/>
        <v>0</v>
      </c>
      <c r="B103" s="103">
        <f t="shared" ca="1" si="31"/>
        <v>0</v>
      </c>
      <c r="C103" s="156">
        <f t="shared" ca="1" si="32"/>
        <v>0</v>
      </c>
      <c r="D103" s="103">
        <f t="shared" ca="1" si="33"/>
        <v>99999</v>
      </c>
      <c r="E103" s="103">
        <f t="shared" ca="1" si="34"/>
        <v>9999</v>
      </c>
      <c r="F103" s="104" t="str">
        <f t="shared" ca="1" si="35"/>
        <v>00000000000000000000039879</v>
      </c>
      <c r="G103" s="145">
        <f t="shared" ca="1" si="36"/>
        <v>1</v>
      </c>
      <c r="H103" s="146">
        <f t="shared" si="37"/>
        <v>93</v>
      </c>
      <c r="I103" s="147" t="str">
        <f t="shared" ca="1" si="38"/>
        <v/>
      </c>
      <c r="J103" s="148" t="str">
        <f ca="1">IF(N(I103)&gt;0,VLOOKUP(I103,Hraci!$A$1:$I$1000,2,0),IF(TYPE(INDIRECT(ADDRESS(ROW() + $A$9-9 + (ROW()-11)*4,2,1,1,"Internet")))&gt;1,INDIRECT(ADDRESS(ROW() + $A$9-9 + (ROW()-11)*4,2,1,1,"Internet"))," "))</f>
        <v xml:space="preserve"> </v>
      </c>
      <c r="K103" s="149" t="str">
        <f ca="1">IF(N(I103)&gt;0,VLOOKUP(I103,Hraci!$A$1:$I$1000,3,0)," ")</f>
        <v xml:space="preserve"> </v>
      </c>
      <c r="L103" s="149" t="str">
        <f ca="1">IF(N(I103)&gt;0,VLOOKUP(I103,Hraci!$A$1:$I$1000,5,0),IF(TYPE(INDIRECT(ADDRESS(ROW() + $A$9-9 + (ROW()-11)*4,3,1,1,"Internet")))&gt;1,INDIRECT(ADDRESS(ROW() + $A$9-9 + (ROW()-11)*4,3,1,1,"Internet"))," "))</f>
        <v xml:space="preserve"> </v>
      </c>
      <c r="M103" s="149">
        <f ca="1">IF(N(I103)=0,9999,VLOOKUP(I103,Hraci!$A$1:$I$1000,8,0))</f>
        <v>9999</v>
      </c>
      <c r="N103" s="150">
        <f ca="1">IF(N(I103)=0,0,VLOOKUP(I103,Hraci!$A$1:$I$1000,9,0))</f>
        <v>0</v>
      </c>
      <c r="O103" s="147" t="str">
        <f t="shared" ca="1" si="39"/>
        <v/>
      </c>
      <c r="P103" s="148" t="str">
        <f ca="1">IF(N(O103)&gt;0,VLOOKUP(O103,Hraci!$A$1:$I$1000,2,0),IF(TYPE(INDIRECT(ADDRESS(ROW() + $A$9-8 + (ROW()-11)*4,2,1,1,"Internet")))&gt;1,INDIRECT(ADDRESS(ROW() + $A$9-8 + (ROW()-11)*4,2,1,1,"Internet"))," "))</f>
        <v xml:space="preserve"> </v>
      </c>
      <c r="Q103" s="149" t="str">
        <f ca="1">IF(N(O103)&gt;0,VLOOKUP(O103,Hraci!$A$1:$I$1000,3,0)," ")</f>
        <v xml:space="preserve"> </v>
      </c>
      <c r="R103" s="149" t="str">
        <f ca="1">IF(N(O103)&gt;0,VLOOKUP(O103,Hraci!$A$1:$I$1000,5,0),IF(TYPE(INDIRECT(ADDRESS(ROW() + $A$9-8 + (ROW()-11)*4,3,1,1,"Internet")))&gt;1,INDIRECT(ADDRESS(ROW() + $A$9-8 + (ROW()-11)*4,3,1,1,"Internet"))," "))</f>
        <v xml:space="preserve"> </v>
      </c>
      <c r="S103" s="149">
        <f ca="1">IF(N(O103)=0,9999,VLOOKUP(O103,Hraci!$A$1:$I$1000,8,0))</f>
        <v>9999</v>
      </c>
      <c r="T103" s="150">
        <f ca="1">IF(N(O103)=0,0,VLOOKUP(O103,Hraci!$A$1:$I$1000,9,0))</f>
        <v>0</v>
      </c>
      <c r="U103" s="147" t="str">
        <f t="shared" ca="1" si="40"/>
        <v/>
      </c>
      <c r="V103" s="148" t="str">
        <f ca="1">IF(N(U103)&gt;0,VLOOKUP(U103,Hraci!$A$1:$I$1000,2,0),IF(TYPE(INDIRECT(ADDRESS(ROW() + $A$9-7 + (ROW()-11)*4,2,1,1,"Internet")))&gt;1,INDIRECT(ADDRESS(ROW() + $A$9-7 + (ROW()-11)*4,2,1,1,"Internet"))," "))</f>
        <v xml:space="preserve"> </v>
      </c>
      <c r="W103" s="149" t="str">
        <f ca="1">IF(N(U103)&gt;0,VLOOKUP(U103,Hraci!$A$1:$I$1000,3,0)," ")</f>
        <v xml:space="preserve"> </v>
      </c>
      <c r="X103" s="149" t="str">
        <f ca="1">IF(N(U103)&gt;0,VLOOKUP(U103,Hraci!$A$1:$I$1000,5,0),IF(TYPE(INDIRECT(ADDRESS(ROW() + $A$9-7 + (ROW()-11)*4,3,1,1,"Internet")))&gt;1,INDIRECT(ADDRESS(ROW() + $A$9-7 + (ROW()-11)*4,3,1,1,"Internet"))," "))</f>
        <v xml:space="preserve"> </v>
      </c>
      <c r="Y103" s="149">
        <f ca="1">IF(N(U103)=0,9999,VLOOKUP(U103,Hraci!$A$1:$I$1000,8,0))</f>
        <v>9999</v>
      </c>
      <c r="Z103" s="150">
        <f ca="1">IF(N(U103)=0,0,VLOOKUP(U103,Hraci!$A$1:$I$1000,9,0))</f>
        <v>0</v>
      </c>
      <c r="AA103" s="147" t="str">
        <f t="shared" ca="1" si="41"/>
        <v/>
      </c>
      <c r="AB103" s="148" t="str">
        <f ca="1">IF(N(AA103)&gt;0,VLOOKUP(AA103,Hraci!$A$1:$I$1000,2,0)," ")</f>
        <v xml:space="preserve"> </v>
      </c>
      <c r="AC103" s="149" t="str">
        <f ca="1">IF(N(AA103)&gt;0,VLOOKUP(AA103,Hraci!$A$1:$I$1000,3,0)," ")</f>
        <v xml:space="preserve"> </v>
      </c>
      <c r="AD103" s="149" t="str">
        <f ca="1">IF(N(AA103)&gt;0,VLOOKUP(AA103,Hraci!$A$1:$I$1000,5,0)," ")</f>
        <v xml:space="preserve"> </v>
      </c>
      <c r="AE103" s="149">
        <f ca="1">IF(N(AA103)=0,9999,VLOOKUP(AA103,Hraci!$A$1:$I$1000,8,0))</f>
        <v>9999</v>
      </c>
      <c r="AF103" s="150">
        <f ca="1">IF(N(AA103)=0,0,VLOOKUP(AA103,Hraci!$A$1:$I$1000,9,0))</f>
        <v>0</v>
      </c>
      <c r="AG103" s="147"/>
      <c r="AH103" s="151">
        <f ca="1">IF(TYPE(VLOOKUP(H103,Nasazení!$A$3:$E$130,5,0))&lt;4,VLOOKUP(H103,Nasazení!$A$3:$E$130,5,0),0)</f>
        <v>0</v>
      </c>
      <c r="AI103" s="152" t="str">
        <f ca="1">IF(N($AH103)&gt;0,VLOOKUP($AH103,Body!$A$4:$F$259,5,0),"")</f>
        <v/>
      </c>
      <c r="AJ103" s="153" t="str">
        <f ca="1">IF(N($AH103)&gt;0,VLOOKUP($AH103,Body!$A$4:$F$259,6,0),"")</f>
        <v/>
      </c>
      <c r="AK103" s="152" t="str">
        <f ca="1">IF(N($AH103)&gt;0,VLOOKUP($AH103,Body!$A$4:$F$259,2,0),"")</f>
        <v/>
      </c>
      <c r="AL103" s="154" t="str">
        <f t="shared" ca="1" si="42"/>
        <v/>
      </c>
      <c r="AM103" s="155">
        <f t="shared" ca="1" si="43"/>
        <v>0</v>
      </c>
      <c r="AN103" s="72">
        <f ca="1">IF(OR(TYPE(I103)&gt;1,TYPE(MATCH(I103,I104:I$203,0))&gt;1),0,MATCH(I103,I104:I$203,0))+IF(OR(TYPE(I103)&gt;1,TYPE(MATCH(I103,O$11:O$203,0))&gt;1),0,MATCH(I103,O$11:O$203,0))+IF(OR(TYPE(I103)&gt;1,TYPE(MATCH(I103,U$11:U$203,0))&gt;1),0,MATCH(I103,U$11:U$203,0))+IF(OR(TYPE(I103)&gt;1,TYPE(MATCH(I103,AA$11:AA$203,0))&gt;1),0,MATCH(I103,AA$11:AA$203,0))</f>
        <v>0</v>
      </c>
      <c r="AO103" s="72">
        <f ca="1">IF(OR(TYPE(O103)&gt;1,TYPE(MATCH(O103,I$11:I$203,0))&gt;1),0,MATCH(O103,I$11:I$203,0))+IF(OR(TYPE(O103)&gt;1,TYPE(MATCH(O103,O104:O$203,0))&gt;1),0,MATCH(O103,O104:O$203,0))+IF(OR(TYPE(O103)&gt;1,TYPE(MATCH(O103,U$11:U$203,0))&gt;1),0,MATCH(O103,U$11:U$203,0))+IF(OR(TYPE(O103)&gt;1,TYPE(MATCH(O103,AA$11:AA$203,0))&gt;1),0,MATCH(O103,AA$11:AA$203,0))</f>
        <v>0</v>
      </c>
      <c r="AP103" s="72">
        <f ca="1">IF(OR(TYPE(U103)&gt;1,TYPE(MATCH(U103,I$11:I$203,0))&gt;1),0,MATCH(U103,I$11:I$203,0))+IF(OR(TYPE(U103)&gt;1,TYPE(MATCH(U103,O$11:O$203,0))&gt;1),0,MATCH(U103,O$11:O$203,0))+IF(OR(TYPE(U103)&gt;1,TYPE(MATCH(U103,U104:U$203,0))&gt;1),0,MATCH(U103,U104:U$203,0))+IF(OR(TYPE(U103)&gt;1,TYPE(MATCH(U103,AA$11:AA$203,0))&gt;1),0,MATCH(U103,AA$11:AA$203,0))</f>
        <v>0</v>
      </c>
      <c r="AQ103" s="72">
        <f ca="1">IF(OR(TYPE(AA103)&gt;1,TYPE(MATCH(AA103,I$11:I$203,0))&gt;1),0,MATCH(AA103,I$11:I$203,0))+IF(OR(TYPE(AA103)&gt;1,TYPE(MATCH(AA103,O$11:O$203,0))&gt;1),0,MATCH(AA103,O$11:O$203,0))+IF(OR(TYPE(AA103)&gt;1,TYPE(MATCH(AA103,U$11:U$203,0))&gt;1),0,MATCH(U103,U$11:U$203,0))+IF(OR(TYPE(AA103)&gt;1,TYPE(MATCH(AA103,AA104:AA$203,0))&gt;1),0,MATCH(AA103,AA104:AA$203,0))</f>
        <v>0</v>
      </c>
      <c r="AR103" s="72">
        <f t="shared" ca="1" si="44"/>
        <v>0</v>
      </c>
    </row>
    <row r="104" spans="1:44" ht="14.25">
      <c r="A104" s="103">
        <f t="shared" ca="1" si="30"/>
        <v>0</v>
      </c>
      <c r="B104" s="103">
        <f t="shared" ca="1" si="31"/>
        <v>0</v>
      </c>
      <c r="C104" s="156">
        <f t="shared" ca="1" si="32"/>
        <v>0</v>
      </c>
      <c r="D104" s="103">
        <f t="shared" ca="1" si="33"/>
        <v>99999</v>
      </c>
      <c r="E104" s="103">
        <f t="shared" ca="1" si="34"/>
        <v>9999</v>
      </c>
      <c r="F104" s="104" t="str">
        <f t="shared" ca="1" si="35"/>
        <v>00000000000000000000642331</v>
      </c>
      <c r="G104" s="145">
        <f t="shared" ca="1" si="36"/>
        <v>1</v>
      </c>
      <c r="H104" s="146">
        <f t="shared" si="37"/>
        <v>94</v>
      </c>
      <c r="I104" s="147" t="str">
        <f t="shared" ca="1" si="38"/>
        <v/>
      </c>
      <c r="J104" s="148" t="str">
        <f ca="1">IF(N(I104)&gt;0,VLOOKUP(I104,Hraci!$A$1:$I$1000,2,0),IF(TYPE(INDIRECT(ADDRESS(ROW() + $A$9-9 + (ROW()-11)*4,2,1,1,"Internet")))&gt;1,INDIRECT(ADDRESS(ROW() + $A$9-9 + (ROW()-11)*4,2,1,1,"Internet"))," "))</f>
        <v xml:space="preserve"> </v>
      </c>
      <c r="K104" s="149" t="str">
        <f ca="1">IF(N(I104)&gt;0,VLOOKUP(I104,Hraci!$A$1:$I$1000,3,0)," ")</f>
        <v xml:space="preserve"> </v>
      </c>
      <c r="L104" s="149" t="str">
        <f ca="1">IF(N(I104)&gt;0,VLOOKUP(I104,Hraci!$A$1:$I$1000,5,0),IF(TYPE(INDIRECT(ADDRESS(ROW() + $A$9-9 + (ROW()-11)*4,3,1,1,"Internet")))&gt;1,INDIRECT(ADDRESS(ROW() + $A$9-9 + (ROW()-11)*4,3,1,1,"Internet"))," "))</f>
        <v xml:space="preserve"> </v>
      </c>
      <c r="M104" s="149">
        <f ca="1">IF(N(I104)=0,9999,VLOOKUP(I104,Hraci!$A$1:$I$1000,8,0))</f>
        <v>9999</v>
      </c>
      <c r="N104" s="150">
        <f ca="1">IF(N(I104)=0,0,VLOOKUP(I104,Hraci!$A$1:$I$1000,9,0))</f>
        <v>0</v>
      </c>
      <c r="O104" s="147" t="str">
        <f t="shared" ca="1" si="39"/>
        <v/>
      </c>
      <c r="P104" s="148" t="str">
        <f ca="1">IF(N(O104)&gt;0,VLOOKUP(O104,Hraci!$A$1:$I$1000,2,0),IF(TYPE(INDIRECT(ADDRESS(ROW() + $A$9-8 + (ROW()-11)*4,2,1,1,"Internet")))&gt;1,INDIRECT(ADDRESS(ROW() + $A$9-8 + (ROW()-11)*4,2,1,1,"Internet"))," "))</f>
        <v xml:space="preserve"> </v>
      </c>
      <c r="Q104" s="149" t="str">
        <f ca="1">IF(N(O104)&gt;0,VLOOKUP(O104,Hraci!$A$1:$I$1000,3,0)," ")</f>
        <v xml:space="preserve"> </v>
      </c>
      <c r="R104" s="149" t="str">
        <f ca="1">IF(N(O104)&gt;0,VLOOKUP(O104,Hraci!$A$1:$I$1000,5,0),IF(TYPE(INDIRECT(ADDRESS(ROW() + $A$9-8 + (ROW()-11)*4,3,1,1,"Internet")))&gt;1,INDIRECT(ADDRESS(ROW() + $A$9-8 + (ROW()-11)*4,3,1,1,"Internet"))," "))</f>
        <v xml:space="preserve"> </v>
      </c>
      <c r="S104" s="149">
        <f ca="1">IF(N(O104)=0,9999,VLOOKUP(O104,Hraci!$A$1:$I$1000,8,0))</f>
        <v>9999</v>
      </c>
      <c r="T104" s="150">
        <f ca="1">IF(N(O104)=0,0,VLOOKUP(O104,Hraci!$A$1:$I$1000,9,0))</f>
        <v>0</v>
      </c>
      <c r="U104" s="147" t="str">
        <f t="shared" ca="1" si="40"/>
        <v/>
      </c>
      <c r="V104" s="148" t="str">
        <f ca="1">IF(N(U104)&gt;0,VLOOKUP(U104,Hraci!$A$1:$I$1000,2,0),IF(TYPE(INDIRECT(ADDRESS(ROW() + $A$9-7 + (ROW()-11)*4,2,1,1,"Internet")))&gt;1,INDIRECT(ADDRESS(ROW() + $A$9-7 + (ROW()-11)*4,2,1,1,"Internet"))," "))</f>
        <v xml:space="preserve"> </v>
      </c>
      <c r="W104" s="149" t="str">
        <f ca="1">IF(N(U104)&gt;0,VLOOKUP(U104,Hraci!$A$1:$I$1000,3,0)," ")</f>
        <v xml:space="preserve"> </v>
      </c>
      <c r="X104" s="149" t="str">
        <f ca="1">IF(N(U104)&gt;0,VLOOKUP(U104,Hraci!$A$1:$I$1000,5,0),IF(TYPE(INDIRECT(ADDRESS(ROW() + $A$9-7 + (ROW()-11)*4,3,1,1,"Internet")))&gt;1,INDIRECT(ADDRESS(ROW() + $A$9-7 + (ROW()-11)*4,3,1,1,"Internet"))," "))</f>
        <v xml:space="preserve"> </v>
      </c>
      <c r="Y104" s="149">
        <f ca="1">IF(N(U104)=0,9999,VLOOKUP(U104,Hraci!$A$1:$I$1000,8,0))</f>
        <v>9999</v>
      </c>
      <c r="Z104" s="150">
        <f ca="1">IF(N(U104)=0,0,VLOOKUP(U104,Hraci!$A$1:$I$1000,9,0))</f>
        <v>0</v>
      </c>
      <c r="AA104" s="147" t="str">
        <f t="shared" ca="1" si="41"/>
        <v/>
      </c>
      <c r="AB104" s="148" t="str">
        <f ca="1">IF(N(AA104)&gt;0,VLOOKUP(AA104,Hraci!$A$1:$I$1000,2,0)," ")</f>
        <v xml:space="preserve"> </v>
      </c>
      <c r="AC104" s="149" t="str">
        <f ca="1">IF(N(AA104)&gt;0,VLOOKUP(AA104,Hraci!$A$1:$I$1000,3,0)," ")</f>
        <v xml:space="preserve"> </v>
      </c>
      <c r="AD104" s="149" t="str">
        <f ca="1">IF(N(AA104)&gt;0,VLOOKUP(AA104,Hraci!$A$1:$I$1000,5,0)," ")</f>
        <v xml:space="preserve"> </v>
      </c>
      <c r="AE104" s="149">
        <f ca="1">IF(N(AA104)=0,9999,VLOOKUP(AA104,Hraci!$A$1:$I$1000,8,0))</f>
        <v>9999</v>
      </c>
      <c r="AF104" s="150">
        <f ca="1">IF(N(AA104)=0,0,VLOOKUP(AA104,Hraci!$A$1:$I$1000,9,0))</f>
        <v>0</v>
      </c>
      <c r="AG104" s="147"/>
      <c r="AH104" s="151">
        <f ca="1">IF(TYPE(VLOOKUP(H104,Nasazení!$A$3:$E$130,5,0))&lt;4,VLOOKUP(H104,Nasazení!$A$3:$E$130,5,0),0)</f>
        <v>0</v>
      </c>
      <c r="AI104" s="152" t="str">
        <f ca="1">IF(N($AH104)&gt;0,VLOOKUP($AH104,Body!$A$4:$F$259,5,0),"")</f>
        <v/>
      </c>
      <c r="AJ104" s="153" t="str">
        <f ca="1">IF(N($AH104)&gt;0,VLOOKUP($AH104,Body!$A$4:$F$259,6,0),"")</f>
        <v/>
      </c>
      <c r="AK104" s="152" t="str">
        <f ca="1">IF(N($AH104)&gt;0,VLOOKUP($AH104,Body!$A$4:$F$259,2,0),"")</f>
        <v/>
      </c>
      <c r="AL104" s="154" t="str">
        <f t="shared" ca="1" si="42"/>
        <v/>
      </c>
      <c r="AM104" s="155">
        <f t="shared" ca="1" si="43"/>
        <v>0</v>
      </c>
      <c r="AN104" s="72">
        <f ca="1">IF(OR(TYPE(I104)&gt;1,TYPE(MATCH(I104,I105:I$203,0))&gt;1),0,MATCH(I104,I105:I$203,0))+IF(OR(TYPE(I104)&gt;1,TYPE(MATCH(I104,O$11:O$203,0))&gt;1),0,MATCH(I104,O$11:O$203,0))+IF(OR(TYPE(I104)&gt;1,TYPE(MATCH(I104,U$11:U$203,0))&gt;1),0,MATCH(I104,U$11:U$203,0))+IF(OR(TYPE(I104)&gt;1,TYPE(MATCH(I104,AA$11:AA$203,0))&gt;1),0,MATCH(I104,AA$11:AA$203,0))</f>
        <v>0</v>
      </c>
      <c r="AO104" s="72">
        <f ca="1">IF(OR(TYPE(O104)&gt;1,TYPE(MATCH(O104,I$11:I$203,0))&gt;1),0,MATCH(O104,I$11:I$203,0))+IF(OR(TYPE(O104)&gt;1,TYPE(MATCH(O104,O105:O$203,0))&gt;1),0,MATCH(O104,O105:O$203,0))+IF(OR(TYPE(O104)&gt;1,TYPE(MATCH(O104,U$11:U$203,0))&gt;1),0,MATCH(O104,U$11:U$203,0))+IF(OR(TYPE(O104)&gt;1,TYPE(MATCH(O104,AA$11:AA$203,0))&gt;1),0,MATCH(O104,AA$11:AA$203,0))</f>
        <v>0</v>
      </c>
      <c r="AP104" s="72">
        <f ca="1">IF(OR(TYPE(U104)&gt;1,TYPE(MATCH(U104,I$11:I$203,0))&gt;1),0,MATCH(U104,I$11:I$203,0))+IF(OR(TYPE(U104)&gt;1,TYPE(MATCH(U104,O$11:O$203,0))&gt;1),0,MATCH(U104,O$11:O$203,0))+IF(OR(TYPE(U104)&gt;1,TYPE(MATCH(U104,U105:U$203,0))&gt;1),0,MATCH(U104,U105:U$203,0))+IF(OR(TYPE(U104)&gt;1,TYPE(MATCH(U104,AA$11:AA$203,0))&gt;1),0,MATCH(U104,AA$11:AA$203,0))</f>
        <v>0</v>
      </c>
      <c r="AQ104" s="72">
        <f ca="1">IF(OR(TYPE(AA104)&gt;1,TYPE(MATCH(AA104,I$11:I$203,0))&gt;1),0,MATCH(AA104,I$11:I$203,0))+IF(OR(TYPE(AA104)&gt;1,TYPE(MATCH(AA104,O$11:O$203,0))&gt;1),0,MATCH(AA104,O$11:O$203,0))+IF(OR(TYPE(AA104)&gt;1,TYPE(MATCH(AA104,U$11:U$203,0))&gt;1),0,MATCH(U104,U$11:U$203,0))+IF(OR(TYPE(AA104)&gt;1,TYPE(MATCH(AA104,AA105:AA$203,0))&gt;1),0,MATCH(AA104,AA105:AA$203,0))</f>
        <v>0</v>
      </c>
      <c r="AR104" s="72">
        <f t="shared" ca="1" si="44"/>
        <v>0</v>
      </c>
    </row>
    <row r="105" spans="1:44" ht="14.25">
      <c r="A105" s="103">
        <f t="shared" ca="1" si="30"/>
        <v>0</v>
      </c>
      <c r="B105" s="103">
        <f t="shared" ca="1" si="31"/>
        <v>0</v>
      </c>
      <c r="C105" s="156">
        <f t="shared" ca="1" si="32"/>
        <v>0</v>
      </c>
      <c r="D105" s="103">
        <f t="shared" ca="1" si="33"/>
        <v>99999</v>
      </c>
      <c r="E105" s="103">
        <f t="shared" ca="1" si="34"/>
        <v>9999</v>
      </c>
      <c r="F105" s="104" t="str">
        <f t="shared" ca="1" si="35"/>
        <v>00000000000000000000721853</v>
      </c>
      <c r="G105" s="145">
        <f t="shared" ca="1" si="36"/>
        <v>1</v>
      </c>
      <c r="H105" s="146">
        <f t="shared" si="37"/>
        <v>95</v>
      </c>
      <c r="I105" s="147" t="str">
        <f t="shared" ca="1" si="38"/>
        <v/>
      </c>
      <c r="J105" s="148" t="str">
        <f ca="1">IF(N(I105)&gt;0,VLOOKUP(I105,Hraci!$A$1:$I$1000,2,0),IF(TYPE(INDIRECT(ADDRESS(ROW() + $A$9-9 + (ROW()-11)*4,2,1,1,"Internet")))&gt;1,INDIRECT(ADDRESS(ROW() + $A$9-9 + (ROW()-11)*4,2,1,1,"Internet"))," "))</f>
        <v xml:space="preserve"> </v>
      </c>
      <c r="K105" s="149" t="str">
        <f ca="1">IF(N(I105)&gt;0,VLOOKUP(I105,Hraci!$A$1:$I$1000,3,0)," ")</f>
        <v xml:space="preserve"> </v>
      </c>
      <c r="L105" s="149" t="str">
        <f ca="1">IF(N(I105)&gt;0,VLOOKUP(I105,Hraci!$A$1:$I$1000,5,0),IF(TYPE(INDIRECT(ADDRESS(ROW() + $A$9-9 + (ROW()-11)*4,3,1,1,"Internet")))&gt;1,INDIRECT(ADDRESS(ROW() + $A$9-9 + (ROW()-11)*4,3,1,1,"Internet"))," "))</f>
        <v xml:space="preserve"> </v>
      </c>
      <c r="M105" s="149">
        <f ca="1">IF(N(I105)=0,9999,VLOOKUP(I105,Hraci!$A$1:$I$1000,8,0))</f>
        <v>9999</v>
      </c>
      <c r="N105" s="150">
        <f ca="1">IF(N(I105)=0,0,VLOOKUP(I105,Hraci!$A$1:$I$1000,9,0))</f>
        <v>0</v>
      </c>
      <c r="O105" s="147" t="str">
        <f t="shared" ca="1" si="39"/>
        <v/>
      </c>
      <c r="P105" s="148" t="str">
        <f ca="1">IF(N(O105)&gt;0,VLOOKUP(O105,Hraci!$A$1:$I$1000,2,0),IF(TYPE(INDIRECT(ADDRESS(ROW() + $A$9-8 + (ROW()-11)*4,2,1,1,"Internet")))&gt;1,INDIRECT(ADDRESS(ROW() + $A$9-8 + (ROW()-11)*4,2,1,1,"Internet"))," "))</f>
        <v xml:space="preserve"> </v>
      </c>
      <c r="Q105" s="149" t="str">
        <f ca="1">IF(N(O105)&gt;0,VLOOKUP(O105,Hraci!$A$1:$I$1000,3,0)," ")</f>
        <v xml:space="preserve"> </v>
      </c>
      <c r="R105" s="149" t="str">
        <f ca="1">IF(N(O105)&gt;0,VLOOKUP(O105,Hraci!$A$1:$I$1000,5,0),IF(TYPE(INDIRECT(ADDRESS(ROW() + $A$9-8 + (ROW()-11)*4,3,1,1,"Internet")))&gt;1,INDIRECT(ADDRESS(ROW() + $A$9-8 + (ROW()-11)*4,3,1,1,"Internet"))," "))</f>
        <v xml:space="preserve"> </v>
      </c>
      <c r="S105" s="149">
        <f ca="1">IF(N(O105)=0,9999,VLOOKUP(O105,Hraci!$A$1:$I$1000,8,0))</f>
        <v>9999</v>
      </c>
      <c r="T105" s="150">
        <f ca="1">IF(N(O105)=0,0,VLOOKUP(O105,Hraci!$A$1:$I$1000,9,0))</f>
        <v>0</v>
      </c>
      <c r="U105" s="147" t="str">
        <f t="shared" ca="1" si="40"/>
        <v/>
      </c>
      <c r="V105" s="148" t="str">
        <f ca="1">IF(N(U105)&gt;0,VLOOKUP(U105,Hraci!$A$1:$I$1000,2,0),IF(TYPE(INDIRECT(ADDRESS(ROW() + $A$9-7 + (ROW()-11)*4,2,1,1,"Internet")))&gt;1,INDIRECT(ADDRESS(ROW() + $A$9-7 + (ROW()-11)*4,2,1,1,"Internet"))," "))</f>
        <v xml:space="preserve"> </v>
      </c>
      <c r="W105" s="149" t="str">
        <f ca="1">IF(N(U105)&gt;0,VLOOKUP(U105,Hraci!$A$1:$I$1000,3,0)," ")</f>
        <v xml:space="preserve"> </v>
      </c>
      <c r="X105" s="149" t="str">
        <f ca="1">IF(N(U105)&gt;0,VLOOKUP(U105,Hraci!$A$1:$I$1000,5,0),IF(TYPE(INDIRECT(ADDRESS(ROW() + $A$9-7 + (ROW()-11)*4,3,1,1,"Internet")))&gt;1,INDIRECT(ADDRESS(ROW() + $A$9-7 + (ROW()-11)*4,3,1,1,"Internet"))," "))</f>
        <v xml:space="preserve"> </v>
      </c>
      <c r="Y105" s="149">
        <f ca="1">IF(N(U105)=0,9999,VLOOKUP(U105,Hraci!$A$1:$I$1000,8,0))</f>
        <v>9999</v>
      </c>
      <c r="Z105" s="150">
        <f ca="1">IF(N(U105)=0,0,VLOOKUP(U105,Hraci!$A$1:$I$1000,9,0))</f>
        <v>0</v>
      </c>
      <c r="AA105" s="147" t="str">
        <f t="shared" ca="1" si="41"/>
        <v/>
      </c>
      <c r="AB105" s="148" t="str">
        <f ca="1">IF(N(AA105)&gt;0,VLOOKUP(AA105,Hraci!$A$1:$I$1000,2,0)," ")</f>
        <v xml:space="preserve"> </v>
      </c>
      <c r="AC105" s="149" t="str">
        <f ca="1">IF(N(AA105)&gt;0,VLOOKUP(AA105,Hraci!$A$1:$I$1000,3,0)," ")</f>
        <v xml:space="preserve"> </v>
      </c>
      <c r="AD105" s="149" t="str">
        <f ca="1">IF(N(AA105)&gt;0,VLOOKUP(AA105,Hraci!$A$1:$I$1000,5,0)," ")</f>
        <v xml:space="preserve"> </v>
      </c>
      <c r="AE105" s="149">
        <f ca="1">IF(N(AA105)=0,9999,VLOOKUP(AA105,Hraci!$A$1:$I$1000,8,0))</f>
        <v>9999</v>
      </c>
      <c r="AF105" s="150">
        <f ca="1">IF(N(AA105)=0,0,VLOOKUP(AA105,Hraci!$A$1:$I$1000,9,0))</f>
        <v>0</v>
      </c>
      <c r="AG105" s="147"/>
      <c r="AH105" s="151">
        <f ca="1">IF(TYPE(VLOOKUP(H105,Nasazení!$A$3:$E$130,5,0))&lt;4,VLOOKUP(H105,Nasazení!$A$3:$E$130,5,0),0)</f>
        <v>0</v>
      </c>
      <c r="AI105" s="152" t="str">
        <f ca="1">IF(N($AH105)&gt;0,VLOOKUP($AH105,Body!$A$4:$F$259,5,0),"")</f>
        <v/>
      </c>
      <c r="AJ105" s="153" t="str">
        <f ca="1">IF(N($AH105)&gt;0,VLOOKUP($AH105,Body!$A$4:$F$259,6,0),"")</f>
        <v/>
      </c>
      <c r="AK105" s="152" t="str">
        <f ca="1">IF(N($AH105)&gt;0,VLOOKUP($AH105,Body!$A$4:$F$259,2,0),"")</f>
        <v/>
      </c>
      <c r="AL105" s="154" t="str">
        <f t="shared" ca="1" si="42"/>
        <v/>
      </c>
      <c r="AM105" s="155">
        <f t="shared" ca="1" si="43"/>
        <v>0</v>
      </c>
      <c r="AN105" s="72">
        <f ca="1">IF(OR(TYPE(I105)&gt;1,TYPE(MATCH(I105,I106:I$203,0))&gt;1),0,MATCH(I105,I106:I$203,0))+IF(OR(TYPE(I105)&gt;1,TYPE(MATCH(I105,O$11:O$203,0))&gt;1),0,MATCH(I105,O$11:O$203,0))+IF(OR(TYPE(I105)&gt;1,TYPE(MATCH(I105,U$11:U$203,0))&gt;1),0,MATCH(I105,U$11:U$203,0))+IF(OR(TYPE(I105)&gt;1,TYPE(MATCH(I105,AA$11:AA$203,0))&gt;1),0,MATCH(I105,AA$11:AA$203,0))</f>
        <v>0</v>
      </c>
      <c r="AO105" s="72">
        <f ca="1">IF(OR(TYPE(O105)&gt;1,TYPE(MATCH(O105,I$11:I$203,0))&gt;1),0,MATCH(O105,I$11:I$203,0))+IF(OR(TYPE(O105)&gt;1,TYPE(MATCH(O105,O106:O$203,0))&gt;1),0,MATCH(O105,O106:O$203,0))+IF(OR(TYPE(O105)&gt;1,TYPE(MATCH(O105,U$11:U$203,0))&gt;1),0,MATCH(O105,U$11:U$203,0))+IF(OR(TYPE(O105)&gt;1,TYPE(MATCH(O105,AA$11:AA$203,0))&gt;1),0,MATCH(O105,AA$11:AA$203,0))</f>
        <v>0</v>
      </c>
      <c r="AP105" s="72">
        <f ca="1">IF(OR(TYPE(U105)&gt;1,TYPE(MATCH(U105,I$11:I$203,0))&gt;1),0,MATCH(U105,I$11:I$203,0))+IF(OR(TYPE(U105)&gt;1,TYPE(MATCH(U105,O$11:O$203,0))&gt;1),0,MATCH(U105,O$11:O$203,0))+IF(OR(TYPE(U105)&gt;1,TYPE(MATCH(U105,U106:U$203,0))&gt;1),0,MATCH(U105,U106:U$203,0))+IF(OR(TYPE(U105)&gt;1,TYPE(MATCH(U105,AA$11:AA$203,0))&gt;1),0,MATCH(U105,AA$11:AA$203,0))</f>
        <v>0</v>
      </c>
      <c r="AQ105" s="72">
        <f ca="1">IF(OR(TYPE(AA105)&gt;1,TYPE(MATCH(AA105,I$11:I$203,0))&gt;1),0,MATCH(AA105,I$11:I$203,0))+IF(OR(TYPE(AA105)&gt;1,TYPE(MATCH(AA105,O$11:O$203,0))&gt;1),0,MATCH(AA105,O$11:O$203,0))+IF(OR(TYPE(AA105)&gt;1,TYPE(MATCH(AA105,U$11:U$203,0))&gt;1),0,MATCH(U105,U$11:U$203,0))+IF(OR(TYPE(AA105)&gt;1,TYPE(MATCH(AA105,AA106:AA$203,0))&gt;1),0,MATCH(AA105,AA106:AA$203,0))</f>
        <v>0</v>
      </c>
      <c r="AR105" s="72">
        <f t="shared" ca="1" si="44"/>
        <v>0</v>
      </c>
    </row>
    <row r="106" spans="1:44" ht="14.25">
      <c r="A106" s="103">
        <f t="shared" ca="1" si="30"/>
        <v>0</v>
      </c>
      <c r="B106" s="103">
        <f t="shared" ca="1" si="31"/>
        <v>0</v>
      </c>
      <c r="C106" s="156">
        <f t="shared" ca="1" si="32"/>
        <v>0</v>
      </c>
      <c r="D106" s="103">
        <f t="shared" ca="1" si="33"/>
        <v>99999</v>
      </c>
      <c r="E106" s="103">
        <f t="shared" ca="1" si="34"/>
        <v>9999</v>
      </c>
      <c r="F106" s="104" t="str">
        <f t="shared" ca="1" si="35"/>
        <v>00000000000000000000676950</v>
      </c>
      <c r="G106" s="145">
        <f t="shared" ca="1" si="36"/>
        <v>1</v>
      </c>
      <c r="H106" s="146">
        <f t="shared" si="37"/>
        <v>96</v>
      </c>
      <c r="I106" s="147" t="str">
        <f t="shared" ca="1" si="38"/>
        <v/>
      </c>
      <c r="J106" s="148" t="str">
        <f ca="1">IF(N(I106)&gt;0,VLOOKUP(I106,Hraci!$A$1:$I$1000,2,0),IF(TYPE(INDIRECT(ADDRESS(ROW() + $A$9-9 + (ROW()-11)*4,2,1,1,"Internet")))&gt;1,INDIRECT(ADDRESS(ROW() + $A$9-9 + (ROW()-11)*4,2,1,1,"Internet"))," "))</f>
        <v xml:space="preserve"> </v>
      </c>
      <c r="K106" s="149" t="str">
        <f ca="1">IF(N(I106)&gt;0,VLOOKUP(I106,Hraci!$A$1:$I$1000,3,0)," ")</f>
        <v xml:space="preserve"> </v>
      </c>
      <c r="L106" s="149" t="str">
        <f ca="1">IF(N(I106)&gt;0,VLOOKUP(I106,Hraci!$A$1:$I$1000,5,0),IF(TYPE(INDIRECT(ADDRESS(ROW() + $A$9-9 + (ROW()-11)*4,3,1,1,"Internet")))&gt;1,INDIRECT(ADDRESS(ROW() + $A$9-9 + (ROW()-11)*4,3,1,1,"Internet"))," "))</f>
        <v xml:space="preserve"> </v>
      </c>
      <c r="M106" s="149">
        <f ca="1">IF(N(I106)=0,9999,VLOOKUP(I106,Hraci!$A$1:$I$1000,8,0))</f>
        <v>9999</v>
      </c>
      <c r="N106" s="150">
        <f ca="1">IF(N(I106)=0,0,VLOOKUP(I106,Hraci!$A$1:$I$1000,9,0))</f>
        <v>0</v>
      </c>
      <c r="O106" s="147" t="str">
        <f t="shared" ca="1" si="39"/>
        <v/>
      </c>
      <c r="P106" s="148" t="str">
        <f ca="1">IF(N(O106)&gt;0,VLOOKUP(O106,Hraci!$A$1:$I$1000,2,0),IF(TYPE(INDIRECT(ADDRESS(ROW() + $A$9-8 + (ROW()-11)*4,2,1,1,"Internet")))&gt;1,INDIRECT(ADDRESS(ROW() + $A$9-8 + (ROW()-11)*4,2,1,1,"Internet"))," "))</f>
        <v xml:space="preserve"> </v>
      </c>
      <c r="Q106" s="149" t="str">
        <f ca="1">IF(N(O106)&gt;0,VLOOKUP(O106,Hraci!$A$1:$I$1000,3,0)," ")</f>
        <v xml:space="preserve"> </v>
      </c>
      <c r="R106" s="149" t="str">
        <f ca="1">IF(N(O106)&gt;0,VLOOKUP(O106,Hraci!$A$1:$I$1000,5,0),IF(TYPE(INDIRECT(ADDRESS(ROW() + $A$9-8 + (ROW()-11)*4,3,1,1,"Internet")))&gt;1,INDIRECT(ADDRESS(ROW() + $A$9-8 + (ROW()-11)*4,3,1,1,"Internet"))," "))</f>
        <v xml:space="preserve"> </v>
      </c>
      <c r="S106" s="149">
        <f ca="1">IF(N(O106)=0,9999,VLOOKUP(O106,Hraci!$A$1:$I$1000,8,0))</f>
        <v>9999</v>
      </c>
      <c r="T106" s="150">
        <f ca="1">IF(N(O106)=0,0,VLOOKUP(O106,Hraci!$A$1:$I$1000,9,0))</f>
        <v>0</v>
      </c>
      <c r="U106" s="147" t="str">
        <f t="shared" ca="1" si="40"/>
        <v/>
      </c>
      <c r="V106" s="148" t="str">
        <f ca="1">IF(N(U106)&gt;0,VLOOKUP(U106,Hraci!$A$1:$I$1000,2,0),IF(TYPE(INDIRECT(ADDRESS(ROW() + $A$9-7 + (ROW()-11)*4,2,1,1,"Internet")))&gt;1,INDIRECT(ADDRESS(ROW() + $A$9-7 + (ROW()-11)*4,2,1,1,"Internet"))," "))</f>
        <v xml:space="preserve"> </v>
      </c>
      <c r="W106" s="149" t="str">
        <f ca="1">IF(N(U106)&gt;0,VLOOKUP(U106,Hraci!$A$1:$I$1000,3,0)," ")</f>
        <v xml:space="preserve"> </v>
      </c>
      <c r="X106" s="149" t="str">
        <f ca="1">IF(N(U106)&gt;0,VLOOKUP(U106,Hraci!$A$1:$I$1000,5,0),IF(TYPE(INDIRECT(ADDRESS(ROW() + $A$9-7 + (ROW()-11)*4,3,1,1,"Internet")))&gt;1,INDIRECT(ADDRESS(ROW() + $A$9-7 + (ROW()-11)*4,3,1,1,"Internet"))," "))</f>
        <v xml:space="preserve"> </v>
      </c>
      <c r="Y106" s="149">
        <f ca="1">IF(N(U106)=0,9999,VLOOKUP(U106,Hraci!$A$1:$I$1000,8,0))</f>
        <v>9999</v>
      </c>
      <c r="Z106" s="150">
        <f ca="1">IF(N(U106)=0,0,VLOOKUP(U106,Hraci!$A$1:$I$1000,9,0))</f>
        <v>0</v>
      </c>
      <c r="AA106" s="147" t="str">
        <f t="shared" ca="1" si="41"/>
        <v/>
      </c>
      <c r="AB106" s="148" t="str">
        <f ca="1">IF(N(AA106)&gt;0,VLOOKUP(AA106,Hraci!$A$1:$I$1000,2,0)," ")</f>
        <v xml:space="preserve"> </v>
      </c>
      <c r="AC106" s="149" t="str">
        <f ca="1">IF(N(AA106)&gt;0,VLOOKUP(AA106,Hraci!$A$1:$I$1000,3,0)," ")</f>
        <v xml:space="preserve"> </v>
      </c>
      <c r="AD106" s="149" t="str">
        <f ca="1">IF(N(AA106)&gt;0,VLOOKUP(AA106,Hraci!$A$1:$I$1000,5,0)," ")</f>
        <v xml:space="preserve"> </v>
      </c>
      <c r="AE106" s="149">
        <f ca="1">IF(N(AA106)=0,9999,VLOOKUP(AA106,Hraci!$A$1:$I$1000,8,0))</f>
        <v>9999</v>
      </c>
      <c r="AF106" s="150">
        <f ca="1">IF(N(AA106)=0,0,VLOOKUP(AA106,Hraci!$A$1:$I$1000,9,0))</f>
        <v>0</v>
      </c>
      <c r="AG106" s="147"/>
      <c r="AH106" s="151">
        <f ca="1">IF(TYPE(VLOOKUP(H106,Nasazení!$A$3:$E$130,5,0))&lt;4,VLOOKUP(H106,Nasazení!$A$3:$E$130,5,0),0)</f>
        <v>0</v>
      </c>
      <c r="AI106" s="152" t="str">
        <f ca="1">IF(N($AH106)&gt;0,VLOOKUP($AH106,Body!$A$4:$F$259,5,0),"")</f>
        <v/>
      </c>
      <c r="AJ106" s="153" t="str">
        <f ca="1">IF(N($AH106)&gt;0,VLOOKUP($AH106,Body!$A$4:$F$259,6,0),"")</f>
        <v/>
      </c>
      <c r="AK106" s="152" t="str">
        <f ca="1">IF(N($AH106)&gt;0,VLOOKUP($AH106,Body!$A$4:$F$259,2,0),"")</f>
        <v/>
      </c>
      <c r="AL106" s="154" t="str">
        <f t="shared" ca="1" si="42"/>
        <v/>
      </c>
      <c r="AM106" s="155">
        <f t="shared" ca="1" si="43"/>
        <v>0</v>
      </c>
      <c r="AN106" s="72">
        <f ca="1">IF(OR(TYPE(I106)&gt;1,TYPE(MATCH(I106,I107:I$203,0))&gt;1),0,MATCH(I106,I107:I$203,0))+IF(OR(TYPE(I106)&gt;1,TYPE(MATCH(I106,O$11:O$203,0))&gt;1),0,MATCH(I106,O$11:O$203,0))+IF(OR(TYPE(I106)&gt;1,TYPE(MATCH(I106,U$11:U$203,0))&gt;1),0,MATCH(I106,U$11:U$203,0))+IF(OR(TYPE(I106)&gt;1,TYPE(MATCH(I106,AA$11:AA$203,0))&gt;1),0,MATCH(I106,AA$11:AA$203,0))</f>
        <v>0</v>
      </c>
      <c r="AO106" s="72">
        <f ca="1">IF(OR(TYPE(O106)&gt;1,TYPE(MATCH(O106,I$11:I$203,0))&gt;1),0,MATCH(O106,I$11:I$203,0))+IF(OR(TYPE(O106)&gt;1,TYPE(MATCH(O106,O107:O$203,0))&gt;1),0,MATCH(O106,O107:O$203,0))+IF(OR(TYPE(O106)&gt;1,TYPE(MATCH(O106,U$11:U$203,0))&gt;1),0,MATCH(O106,U$11:U$203,0))+IF(OR(TYPE(O106)&gt;1,TYPE(MATCH(O106,AA$11:AA$203,0))&gt;1),0,MATCH(O106,AA$11:AA$203,0))</f>
        <v>0</v>
      </c>
      <c r="AP106" s="72">
        <f ca="1">IF(OR(TYPE(U106)&gt;1,TYPE(MATCH(U106,I$11:I$203,0))&gt;1),0,MATCH(U106,I$11:I$203,0))+IF(OR(TYPE(U106)&gt;1,TYPE(MATCH(U106,O$11:O$203,0))&gt;1),0,MATCH(U106,O$11:O$203,0))+IF(OR(TYPE(U106)&gt;1,TYPE(MATCH(U106,U107:U$203,0))&gt;1),0,MATCH(U106,U107:U$203,0))+IF(OR(TYPE(U106)&gt;1,TYPE(MATCH(U106,AA$11:AA$203,0))&gt;1),0,MATCH(U106,AA$11:AA$203,0))</f>
        <v>0</v>
      </c>
      <c r="AQ106" s="72">
        <f ca="1">IF(OR(TYPE(AA106)&gt;1,TYPE(MATCH(AA106,I$11:I$203,0))&gt;1),0,MATCH(AA106,I$11:I$203,0))+IF(OR(TYPE(AA106)&gt;1,TYPE(MATCH(AA106,O$11:O$203,0))&gt;1),0,MATCH(AA106,O$11:O$203,0))+IF(OR(TYPE(AA106)&gt;1,TYPE(MATCH(AA106,U$11:U$203,0))&gt;1),0,MATCH(U106,U$11:U$203,0))+IF(OR(TYPE(AA106)&gt;1,TYPE(MATCH(AA106,AA107:AA$203,0))&gt;1),0,MATCH(AA106,AA107:AA$203,0))</f>
        <v>0</v>
      </c>
      <c r="AR106" s="72">
        <f t="shared" ca="1" si="44"/>
        <v>0</v>
      </c>
    </row>
    <row r="107" spans="1:44" ht="14.25">
      <c r="A107" s="103">
        <f t="shared" ref="A107:A138" ca="1" si="45">IF(OR(LEFT(J107,1)=" ",ISBLANK(J107)),0,1)+IF(OR(LEFT(P107,1)=" ",ISBLANK(P107)),0,1)+IF(OR(LEFT(V107,1)=" ",ISBLANK(V107)),0,1)</f>
        <v>0</v>
      </c>
      <c r="B107" s="103">
        <f t="shared" ref="B107:B138" ca="1" si="46">IF(AND(TYPE(G107&lt;15),G107=0),1,0)</f>
        <v>0</v>
      </c>
      <c r="C107" s="156">
        <f t="shared" ref="C107:C138" ca="1" si="47">IF(B107=0,0,N107+T107+Z107)</f>
        <v>0</v>
      </c>
      <c r="D107" s="103">
        <f t="shared" ref="D107:D138" ca="1" si="48">IF(B107=0,99999,M107+S107+Y107)</f>
        <v>99999</v>
      </c>
      <c r="E107" s="103">
        <f t="shared" ref="E107:E138" ca="1" si="49">MIN(M107,S107,Y107)</f>
        <v>9999</v>
      </c>
      <c r="F107" s="104" t="str">
        <f t="shared" ref="F107:F138" ca="1" si="50">CONCATENATE(IF(AND($P$4=1,H107&gt;2*$O$7),"0","9"),TEXT(B107,"0"),IF(AND($P$4=1,H107&gt;2*$O$7),"000000",TEXT(1000*C107,"000000")),IF(AND($P$4=1,H107&gt;2*$O$7),"000000",TEXT(999999-D107,"000000")),IF(AND($P$4=1,H107&gt;2*$O$7),"000000",TEXT(999999-E107,"000000")),TEXT(999999*RAND(),"000000"))</f>
        <v>00000000000000000000908592</v>
      </c>
      <c r="G107" s="145">
        <f t="shared" ref="G107:G138" ca="1" si="51">IF(OR($K$6&gt;A107,AR107&gt;0),1,0)</f>
        <v>1</v>
      </c>
      <c r="H107" s="146">
        <f t="shared" ref="H107:H138" si="52">ROW(H107)-10</f>
        <v>97</v>
      </c>
      <c r="I107" s="147" t="str">
        <f t="shared" ref="I107:I138" ca="1" si="53">IF(N(INDIRECT(ADDRESS(ROW() + $A$9-9 + (ROW()-11)*4,1,1,1,"Internet")))&gt;0,INDIRECT(ADDRESS(ROW() + $A$9-9 + (ROW()-11)*4,1,1,1,"Internet")),"")</f>
        <v/>
      </c>
      <c r="J107" s="148" t="str">
        <f ca="1">IF(N(I107)&gt;0,VLOOKUP(I107,Hraci!$A$1:$I$1000,2,0),IF(TYPE(INDIRECT(ADDRESS(ROW() + $A$9-9 + (ROW()-11)*4,2,1,1,"Internet")))&gt;1,INDIRECT(ADDRESS(ROW() + $A$9-9 + (ROW()-11)*4,2,1,1,"Internet"))," "))</f>
        <v xml:space="preserve"> </v>
      </c>
      <c r="K107" s="149" t="str">
        <f ca="1">IF(N(I107)&gt;0,VLOOKUP(I107,Hraci!$A$1:$I$1000,3,0)," ")</f>
        <v xml:space="preserve"> </v>
      </c>
      <c r="L107" s="149" t="str">
        <f ca="1">IF(N(I107)&gt;0,VLOOKUP(I107,Hraci!$A$1:$I$1000,5,0),IF(TYPE(INDIRECT(ADDRESS(ROW() + $A$9-9 + (ROW()-11)*4,3,1,1,"Internet")))&gt;1,INDIRECT(ADDRESS(ROW() + $A$9-9 + (ROW()-11)*4,3,1,1,"Internet"))," "))</f>
        <v xml:space="preserve"> </v>
      </c>
      <c r="M107" s="149">
        <f ca="1">IF(N(I107)=0,9999,VLOOKUP(I107,Hraci!$A$1:$I$1000,8,0))</f>
        <v>9999</v>
      </c>
      <c r="N107" s="150">
        <f ca="1">IF(N(I107)=0,0,VLOOKUP(I107,Hraci!$A$1:$I$1000,9,0))</f>
        <v>0</v>
      </c>
      <c r="O107" s="147" t="str">
        <f t="shared" ref="O107:O138" ca="1" si="54">IF(N(INDIRECT(ADDRESS(ROW() + $A$9-8 + (ROW()-11)*4,1,1,1,"Internet")))&gt;0,INDIRECT(ADDRESS(ROW() + $A$9-8 + (ROW()-11)*4,1,1,1,"Internet")),"")</f>
        <v/>
      </c>
      <c r="P107" s="148" t="str">
        <f ca="1">IF(N(O107)&gt;0,VLOOKUP(O107,Hraci!$A$1:$I$1000,2,0),IF(TYPE(INDIRECT(ADDRESS(ROW() + $A$9-8 + (ROW()-11)*4,2,1,1,"Internet")))&gt;1,INDIRECT(ADDRESS(ROW() + $A$9-8 + (ROW()-11)*4,2,1,1,"Internet"))," "))</f>
        <v xml:space="preserve"> </v>
      </c>
      <c r="Q107" s="149" t="str">
        <f ca="1">IF(N(O107)&gt;0,VLOOKUP(O107,Hraci!$A$1:$I$1000,3,0)," ")</f>
        <v xml:space="preserve"> </v>
      </c>
      <c r="R107" s="149" t="str">
        <f ca="1">IF(N(O107)&gt;0,VLOOKUP(O107,Hraci!$A$1:$I$1000,5,0),IF(TYPE(INDIRECT(ADDRESS(ROW() + $A$9-8 + (ROW()-11)*4,3,1,1,"Internet")))&gt;1,INDIRECT(ADDRESS(ROW() + $A$9-8 + (ROW()-11)*4,3,1,1,"Internet"))," "))</f>
        <v xml:space="preserve"> </v>
      </c>
      <c r="S107" s="149">
        <f ca="1">IF(N(O107)=0,9999,VLOOKUP(O107,Hraci!$A$1:$I$1000,8,0))</f>
        <v>9999</v>
      </c>
      <c r="T107" s="150">
        <f ca="1">IF(N(O107)=0,0,VLOOKUP(O107,Hraci!$A$1:$I$1000,9,0))</f>
        <v>0</v>
      </c>
      <c r="U107" s="147" t="str">
        <f t="shared" ref="U107:U138" ca="1" si="55">IF(N(INDIRECT(ADDRESS(ROW() + $A$9-7 + (ROW()-11)*4,1,1,1,"Internet")))&gt;0,INDIRECT(ADDRESS(ROW() + $A$9-7 + (ROW()-11)*4,1,1,1,"Internet")),"")</f>
        <v/>
      </c>
      <c r="V107" s="148" t="str">
        <f ca="1">IF(N(U107)&gt;0,VLOOKUP(U107,Hraci!$A$1:$I$1000,2,0),IF(TYPE(INDIRECT(ADDRESS(ROW() + $A$9-7 + (ROW()-11)*4,2,1,1,"Internet")))&gt;1,INDIRECT(ADDRESS(ROW() + $A$9-7 + (ROW()-11)*4,2,1,1,"Internet"))," "))</f>
        <v xml:space="preserve"> </v>
      </c>
      <c r="W107" s="149" t="str">
        <f ca="1">IF(N(U107)&gt;0,VLOOKUP(U107,Hraci!$A$1:$I$1000,3,0)," ")</f>
        <v xml:space="preserve"> </v>
      </c>
      <c r="X107" s="149" t="str">
        <f ca="1">IF(N(U107)&gt;0,VLOOKUP(U107,Hraci!$A$1:$I$1000,5,0),IF(TYPE(INDIRECT(ADDRESS(ROW() + $A$9-7 + (ROW()-11)*4,3,1,1,"Internet")))&gt;1,INDIRECT(ADDRESS(ROW() + $A$9-7 + (ROW()-11)*4,3,1,1,"Internet"))," "))</f>
        <v xml:space="preserve"> </v>
      </c>
      <c r="Y107" s="149">
        <f ca="1">IF(N(U107)=0,9999,VLOOKUP(U107,Hraci!$A$1:$I$1000,8,0))</f>
        <v>9999</v>
      </c>
      <c r="Z107" s="150">
        <f ca="1">IF(N(U107)=0,0,VLOOKUP(U107,Hraci!$A$1:$I$1000,9,0))</f>
        <v>0</v>
      </c>
      <c r="AA107" s="147" t="str">
        <f t="shared" ref="AA107:AA138" ca="1" si="56">IF(N(INDIRECT(ADDRESS(ROW() + $A$9-6 + (ROW()-11)*4,1,1,1,"Internet")))&gt;0,INDIRECT(ADDRESS(ROW() + $A$9-6 + (ROW()-11)*4,1,1,1,"Internet")),"")</f>
        <v/>
      </c>
      <c r="AB107" s="148" t="str">
        <f ca="1">IF(N(AA107)&gt;0,VLOOKUP(AA107,Hraci!$A$1:$I$1000,2,0)," ")</f>
        <v xml:space="preserve"> </v>
      </c>
      <c r="AC107" s="149" t="str">
        <f ca="1">IF(N(AA107)&gt;0,VLOOKUP(AA107,Hraci!$A$1:$I$1000,3,0)," ")</f>
        <v xml:space="preserve"> </v>
      </c>
      <c r="AD107" s="149" t="str">
        <f ca="1">IF(N(AA107)&gt;0,VLOOKUP(AA107,Hraci!$A$1:$I$1000,5,0)," ")</f>
        <v xml:space="preserve"> </v>
      </c>
      <c r="AE107" s="149">
        <f ca="1">IF(N(AA107)=0,9999,VLOOKUP(AA107,Hraci!$A$1:$I$1000,8,0))</f>
        <v>9999</v>
      </c>
      <c r="AF107" s="150">
        <f ca="1">IF(N(AA107)=0,0,VLOOKUP(AA107,Hraci!$A$1:$I$1000,9,0))</f>
        <v>0</v>
      </c>
      <c r="AG107" s="147"/>
      <c r="AH107" s="151">
        <f ca="1">IF(TYPE(VLOOKUP(H107,Nasazení!$A$3:$E$130,5,0))&lt;4,VLOOKUP(H107,Nasazení!$A$3:$E$130,5,0),0)</f>
        <v>0</v>
      </c>
      <c r="AI107" s="152" t="str">
        <f ca="1">IF(N($AH107)&gt;0,VLOOKUP($AH107,Body!$A$4:$F$259,5,0),"")</f>
        <v/>
      </c>
      <c r="AJ107" s="153" t="str">
        <f ca="1">IF(N($AH107)&gt;0,VLOOKUP($AH107,Body!$A$4:$F$259,6,0),"")</f>
        <v/>
      </c>
      <c r="AK107" s="152" t="str">
        <f ca="1">IF(N($AH107)&gt;0,VLOOKUP($AH107,Body!$A$4:$F$259,2,0),"")</f>
        <v/>
      </c>
      <c r="AL107" s="154" t="str">
        <f t="shared" ref="AL107:AL138" ca="1" si="57">IF(N(H107)&gt;$K$7,"",CONCATENATE(IF($U$8="","",H107&amp;" "),L107,IF(L107="",""," - "),J107," ",K107))</f>
        <v/>
      </c>
      <c r="AM107" s="155">
        <f t="shared" ref="AM107:AM138" ca="1" si="58">C107</f>
        <v>0</v>
      </c>
      <c r="AN107" s="72">
        <f ca="1">IF(OR(TYPE(I107)&gt;1,TYPE(MATCH(I107,I108:I$203,0))&gt;1),0,MATCH(I107,I108:I$203,0))+IF(OR(TYPE(I107)&gt;1,TYPE(MATCH(I107,O$11:O$203,0))&gt;1),0,MATCH(I107,O$11:O$203,0))+IF(OR(TYPE(I107)&gt;1,TYPE(MATCH(I107,U$11:U$203,0))&gt;1),0,MATCH(I107,U$11:U$203,0))+IF(OR(TYPE(I107)&gt;1,TYPE(MATCH(I107,AA$11:AA$203,0))&gt;1),0,MATCH(I107,AA$11:AA$203,0))</f>
        <v>0</v>
      </c>
      <c r="AO107" s="72">
        <f ca="1">IF(OR(TYPE(O107)&gt;1,TYPE(MATCH(O107,I$11:I$203,0))&gt;1),0,MATCH(O107,I$11:I$203,0))+IF(OR(TYPE(O107)&gt;1,TYPE(MATCH(O107,O108:O$203,0))&gt;1),0,MATCH(O107,O108:O$203,0))+IF(OR(TYPE(O107)&gt;1,TYPE(MATCH(O107,U$11:U$203,0))&gt;1),0,MATCH(O107,U$11:U$203,0))+IF(OR(TYPE(O107)&gt;1,TYPE(MATCH(O107,AA$11:AA$203,0))&gt;1),0,MATCH(O107,AA$11:AA$203,0))</f>
        <v>0</v>
      </c>
      <c r="AP107" s="72">
        <f ca="1">IF(OR(TYPE(U107)&gt;1,TYPE(MATCH(U107,I$11:I$203,0))&gt;1),0,MATCH(U107,I$11:I$203,0))+IF(OR(TYPE(U107)&gt;1,TYPE(MATCH(U107,O$11:O$203,0))&gt;1),0,MATCH(U107,O$11:O$203,0))+IF(OR(TYPE(U107)&gt;1,TYPE(MATCH(U107,U108:U$203,0))&gt;1),0,MATCH(U107,U108:U$203,0))+IF(OR(TYPE(U107)&gt;1,TYPE(MATCH(U107,AA$11:AA$203,0))&gt;1),0,MATCH(U107,AA$11:AA$203,0))</f>
        <v>0</v>
      </c>
      <c r="AQ107" s="72">
        <f ca="1">IF(OR(TYPE(AA107)&gt;1,TYPE(MATCH(AA107,I$11:I$203,0))&gt;1),0,MATCH(AA107,I$11:I$203,0))+IF(OR(TYPE(AA107)&gt;1,TYPE(MATCH(AA107,O$11:O$203,0))&gt;1),0,MATCH(AA107,O$11:O$203,0))+IF(OR(TYPE(AA107)&gt;1,TYPE(MATCH(AA107,U$11:U$203,0))&gt;1),0,MATCH(U107,U$11:U$203,0))+IF(OR(TYPE(AA107)&gt;1,TYPE(MATCH(AA107,AA108:AA$203,0))&gt;1),0,MATCH(AA107,AA108:AA$203,0))</f>
        <v>0</v>
      </c>
      <c r="AR107" s="72">
        <f t="shared" ref="AR107:AR138" ca="1" si="59">SUM(AN107:AQ107)</f>
        <v>0</v>
      </c>
    </row>
    <row r="108" spans="1:44" ht="14.25">
      <c r="A108" s="103">
        <f t="shared" ca="1" si="45"/>
        <v>0</v>
      </c>
      <c r="B108" s="103">
        <f t="shared" ca="1" si="46"/>
        <v>0</v>
      </c>
      <c r="C108" s="156">
        <f t="shared" ca="1" si="47"/>
        <v>0</v>
      </c>
      <c r="D108" s="103">
        <f t="shared" ca="1" si="48"/>
        <v>99999</v>
      </c>
      <c r="E108" s="103">
        <f t="shared" ca="1" si="49"/>
        <v>9999</v>
      </c>
      <c r="F108" s="104" t="str">
        <f t="shared" ca="1" si="50"/>
        <v>00000000000000000000641622</v>
      </c>
      <c r="G108" s="145">
        <f t="shared" ca="1" si="51"/>
        <v>1</v>
      </c>
      <c r="H108" s="146">
        <f t="shared" si="52"/>
        <v>98</v>
      </c>
      <c r="I108" s="147" t="str">
        <f t="shared" ca="1" si="53"/>
        <v/>
      </c>
      <c r="J108" s="148" t="str">
        <f ca="1">IF(N(I108)&gt;0,VLOOKUP(I108,Hraci!$A$1:$I$1000,2,0),IF(TYPE(INDIRECT(ADDRESS(ROW() + $A$9-9 + (ROW()-11)*4,2,1,1,"Internet")))&gt;1,INDIRECT(ADDRESS(ROW() + $A$9-9 + (ROW()-11)*4,2,1,1,"Internet"))," "))</f>
        <v xml:space="preserve"> </v>
      </c>
      <c r="K108" s="149" t="str">
        <f ca="1">IF(N(I108)&gt;0,VLOOKUP(I108,Hraci!$A$1:$I$1000,3,0)," ")</f>
        <v xml:space="preserve"> </v>
      </c>
      <c r="L108" s="149" t="str">
        <f ca="1">IF(N(I108)&gt;0,VLOOKUP(I108,Hraci!$A$1:$I$1000,5,0),IF(TYPE(INDIRECT(ADDRESS(ROW() + $A$9-9 + (ROW()-11)*4,3,1,1,"Internet")))&gt;1,INDIRECT(ADDRESS(ROW() + $A$9-9 + (ROW()-11)*4,3,1,1,"Internet"))," "))</f>
        <v xml:space="preserve"> </v>
      </c>
      <c r="M108" s="149">
        <f ca="1">IF(N(I108)=0,9999,VLOOKUP(I108,Hraci!$A$1:$I$1000,8,0))</f>
        <v>9999</v>
      </c>
      <c r="N108" s="150">
        <f ca="1">IF(N(I108)=0,0,VLOOKUP(I108,Hraci!$A$1:$I$1000,9,0))</f>
        <v>0</v>
      </c>
      <c r="O108" s="147" t="str">
        <f t="shared" ca="1" si="54"/>
        <v/>
      </c>
      <c r="P108" s="148" t="str">
        <f ca="1">IF(N(O108)&gt;0,VLOOKUP(O108,Hraci!$A$1:$I$1000,2,0),IF(TYPE(INDIRECT(ADDRESS(ROW() + $A$9-8 + (ROW()-11)*4,2,1,1,"Internet")))&gt;1,INDIRECT(ADDRESS(ROW() + $A$9-8 + (ROW()-11)*4,2,1,1,"Internet"))," "))</f>
        <v xml:space="preserve"> </v>
      </c>
      <c r="Q108" s="149" t="str">
        <f ca="1">IF(N(O108)&gt;0,VLOOKUP(O108,Hraci!$A$1:$I$1000,3,0)," ")</f>
        <v xml:space="preserve"> </v>
      </c>
      <c r="R108" s="149" t="str">
        <f ca="1">IF(N(O108)&gt;0,VLOOKUP(O108,Hraci!$A$1:$I$1000,5,0),IF(TYPE(INDIRECT(ADDRESS(ROW() + $A$9-8 + (ROW()-11)*4,3,1,1,"Internet")))&gt;1,INDIRECT(ADDRESS(ROW() + $A$9-8 + (ROW()-11)*4,3,1,1,"Internet"))," "))</f>
        <v xml:space="preserve"> </v>
      </c>
      <c r="S108" s="149">
        <f ca="1">IF(N(O108)=0,9999,VLOOKUP(O108,Hraci!$A$1:$I$1000,8,0))</f>
        <v>9999</v>
      </c>
      <c r="T108" s="150">
        <f ca="1">IF(N(O108)=0,0,VLOOKUP(O108,Hraci!$A$1:$I$1000,9,0))</f>
        <v>0</v>
      </c>
      <c r="U108" s="147" t="str">
        <f t="shared" ca="1" si="55"/>
        <v/>
      </c>
      <c r="V108" s="148" t="str">
        <f ca="1">IF(N(U108)&gt;0,VLOOKUP(U108,Hraci!$A$1:$I$1000,2,0),IF(TYPE(INDIRECT(ADDRESS(ROW() + $A$9-7 + (ROW()-11)*4,2,1,1,"Internet")))&gt;1,INDIRECT(ADDRESS(ROW() + $A$9-7 + (ROW()-11)*4,2,1,1,"Internet"))," "))</f>
        <v xml:space="preserve"> </v>
      </c>
      <c r="W108" s="149" t="str">
        <f ca="1">IF(N(U108)&gt;0,VLOOKUP(U108,Hraci!$A$1:$I$1000,3,0)," ")</f>
        <v xml:space="preserve"> </v>
      </c>
      <c r="X108" s="149" t="str">
        <f ca="1">IF(N(U108)&gt;0,VLOOKUP(U108,Hraci!$A$1:$I$1000,5,0),IF(TYPE(INDIRECT(ADDRESS(ROW() + $A$9-7 + (ROW()-11)*4,3,1,1,"Internet")))&gt;1,INDIRECT(ADDRESS(ROW() + $A$9-7 + (ROW()-11)*4,3,1,1,"Internet"))," "))</f>
        <v xml:space="preserve"> </v>
      </c>
      <c r="Y108" s="149">
        <f ca="1">IF(N(U108)=0,9999,VLOOKUP(U108,Hraci!$A$1:$I$1000,8,0))</f>
        <v>9999</v>
      </c>
      <c r="Z108" s="150">
        <f ca="1">IF(N(U108)=0,0,VLOOKUP(U108,Hraci!$A$1:$I$1000,9,0))</f>
        <v>0</v>
      </c>
      <c r="AA108" s="147" t="str">
        <f t="shared" ca="1" si="56"/>
        <v/>
      </c>
      <c r="AB108" s="148" t="str">
        <f ca="1">IF(N(AA108)&gt;0,VLOOKUP(AA108,Hraci!$A$1:$I$1000,2,0)," ")</f>
        <v xml:space="preserve"> </v>
      </c>
      <c r="AC108" s="149" t="str">
        <f ca="1">IF(N(AA108)&gt;0,VLOOKUP(AA108,Hraci!$A$1:$I$1000,3,0)," ")</f>
        <v xml:space="preserve"> </v>
      </c>
      <c r="AD108" s="149" t="str">
        <f ca="1">IF(N(AA108)&gt;0,VLOOKUP(AA108,Hraci!$A$1:$I$1000,5,0)," ")</f>
        <v xml:space="preserve"> </v>
      </c>
      <c r="AE108" s="149">
        <f ca="1">IF(N(AA108)=0,9999,VLOOKUP(AA108,Hraci!$A$1:$I$1000,8,0))</f>
        <v>9999</v>
      </c>
      <c r="AF108" s="150">
        <f ca="1">IF(N(AA108)=0,0,VLOOKUP(AA108,Hraci!$A$1:$I$1000,9,0))</f>
        <v>0</v>
      </c>
      <c r="AG108" s="147"/>
      <c r="AH108" s="151">
        <f ca="1">IF(TYPE(VLOOKUP(H108,Nasazení!$A$3:$E$130,5,0))&lt;4,VLOOKUP(H108,Nasazení!$A$3:$E$130,5,0),0)</f>
        <v>0</v>
      </c>
      <c r="AI108" s="152" t="str">
        <f ca="1">IF(N($AH108)&gt;0,VLOOKUP($AH108,Body!$A$4:$F$259,5,0),"")</f>
        <v/>
      </c>
      <c r="AJ108" s="153" t="str">
        <f ca="1">IF(N($AH108)&gt;0,VLOOKUP($AH108,Body!$A$4:$F$259,6,0),"")</f>
        <v/>
      </c>
      <c r="AK108" s="152" t="str">
        <f ca="1">IF(N($AH108)&gt;0,VLOOKUP($AH108,Body!$A$4:$F$259,2,0),"")</f>
        <v/>
      </c>
      <c r="AL108" s="154" t="str">
        <f t="shared" ca="1" si="57"/>
        <v/>
      </c>
      <c r="AM108" s="155">
        <f t="shared" ca="1" si="58"/>
        <v>0</v>
      </c>
      <c r="AN108" s="72">
        <f ca="1">IF(OR(TYPE(I108)&gt;1,TYPE(MATCH(I108,I109:I$203,0))&gt;1),0,MATCH(I108,I109:I$203,0))+IF(OR(TYPE(I108)&gt;1,TYPE(MATCH(I108,O$11:O$203,0))&gt;1),0,MATCH(I108,O$11:O$203,0))+IF(OR(TYPE(I108)&gt;1,TYPE(MATCH(I108,U$11:U$203,0))&gt;1),0,MATCH(I108,U$11:U$203,0))+IF(OR(TYPE(I108)&gt;1,TYPE(MATCH(I108,AA$11:AA$203,0))&gt;1),0,MATCH(I108,AA$11:AA$203,0))</f>
        <v>0</v>
      </c>
      <c r="AO108" s="72">
        <f ca="1">IF(OR(TYPE(O108)&gt;1,TYPE(MATCH(O108,I$11:I$203,0))&gt;1),0,MATCH(O108,I$11:I$203,0))+IF(OR(TYPE(O108)&gt;1,TYPE(MATCH(O108,O109:O$203,0))&gt;1),0,MATCH(O108,O109:O$203,0))+IF(OR(TYPE(O108)&gt;1,TYPE(MATCH(O108,U$11:U$203,0))&gt;1),0,MATCH(O108,U$11:U$203,0))+IF(OR(TYPE(O108)&gt;1,TYPE(MATCH(O108,AA$11:AA$203,0))&gt;1),0,MATCH(O108,AA$11:AA$203,0))</f>
        <v>0</v>
      </c>
      <c r="AP108" s="72">
        <f ca="1">IF(OR(TYPE(U108)&gt;1,TYPE(MATCH(U108,I$11:I$203,0))&gt;1),0,MATCH(U108,I$11:I$203,0))+IF(OR(TYPE(U108)&gt;1,TYPE(MATCH(U108,O$11:O$203,0))&gt;1),0,MATCH(U108,O$11:O$203,0))+IF(OR(TYPE(U108)&gt;1,TYPE(MATCH(U108,U109:U$203,0))&gt;1),0,MATCH(U108,U109:U$203,0))+IF(OR(TYPE(U108)&gt;1,TYPE(MATCH(U108,AA$11:AA$203,0))&gt;1),0,MATCH(U108,AA$11:AA$203,0))</f>
        <v>0</v>
      </c>
      <c r="AQ108" s="72">
        <f ca="1">IF(OR(TYPE(AA108)&gt;1,TYPE(MATCH(AA108,I$11:I$203,0))&gt;1),0,MATCH(AA108,I$11:I$203,0))+IF(OR(TYPE(AA108)&gt;1,TYPE(MATCH(AA108,O$11:O$203,0))&gt;1),0,MATCH(AA108,O$11:O$203,0))+IF(OR(TYPE(AA108)&gt;1,TYPE(MATCH(AA108,U$11:U$203,0))&gt;1),0,MATCH(U108,U$11:U$203,0))+IF(OR(TYPE(AA108)&gt;1,TYPE(MATCH(AA108,AA109:AA$203,0))&gt;1),0,MATCH(AA108,AA109:AA$203,0))</f>
        <v>0</v>
      </c>
      <c r="AR108" s="72">
        <f t="shared" ca="1" si="59"/>
        <v>0</v>
      </c>
    </row>
    <row r="109" spans="1:44" ht="14.25">
      <c r="A109" s="103">
        <f t="shared" ca="1" si="45"/>
        <v>0</v>
      </c>
      <c r="B109" s="103">
        <f t="shared" ca="1" si="46"/>
        <v>0</v>
      </c>
      <c r="C109" s="156">
        <f t="shared" ca="1" si="47"/>
        <v>0</v>
      </c>
      <c r="D109" s="103">
        <f t="shared" ca="1" si="48"/>
        <v>99999</v>
      </c>
      <c r="E109" s="103">
        <f t="shared" ca="1" si="49"/>
        <v>9999</v>
      </c>
      <c r="F109" s="104" t="str">
        <f t="shared" ca="1" si="50"/>
        <v>00000000000000000000239508</v>
      </c>
      <c r="G109" s="145">
        <f t="shared" ca="1" si="51"/>
        <v>1</v>
      </c>
      <c r="H109" s="146">
        <f t="shared" si="52"/>
        <v>99</v>
      </c>
      <c r="I109" s="147" t="str">
        <f t="shared" ca="1" si="53"/>
        <v/>
      </c>
      <c r="J109" s="148" t="str">
        <f ca="1">IF(N(I109)&gt;0,VLOOKUP(I109,Hraci!$A$1:$I$1000,2,0),IF(TYPE(INDIRECT(ADDRESS(ROW() + $A$9-9 + (ROW()-11)*4,2,1,1,"Internet")))&gt;1,INDIRECT(ADDRESS(ROW() + $A$9-9 + (ROW()-11)*4,2,1,1,"Internet"))," "))</f>
        <v xml:space="preserve"> </v>
      </c>
      <c r="K109" s="149" t="str">
        <f ca="1">IF(N(I109)&gt;0,VLOOKUP(I109,Hraci!$A$1:$I$1000,3,0)," ")</f>
        <v xml:space="preserve"> </v>
      </c>
      <c r="L109" s="149" t="str">
        <f ca="1">IF(N(I109)&gt;0,VLOOKUP(I109,Hraci!$A$1:$I$1000,5,0),IF(TYPE(INDIRECT(ADDRESS(ROW() + $A$9-9 + (ROW()-11)*4,3,1,1,"Internet")))&gt;1,INDIRECT(ADDRESS(ROW() + $A$9-9 + (ROW()-11)*4,3,1,1,"Internet"))," "))</f>
        <v xml:space="preserve"> </v>
      </c>
      <c r="M109" s="149">
        <f ca="1">IF(N(I109)=0,9999,VLOOKUP(I109,Hraci!$A$1:$I$1000,8,0))</f>
        <v>9999</v>
      </c>
      <c r="N109" s="150">
        <f ca="1">IF(N(I109)=0,0,VLOOKUP(I109,Hraci!$A$1:$I$1000,9,0))</f>
        <v>0</v>
      </c>
      <c r="O109" s="147" t="str">
        <f t="shared" ca="1" si="54"/>
        <v/>
      </c>
      <c r="P109" s="148" t="str">
        <f ca="1">IF(N(O109)&gt;0,VLOOKUP(O109,Hraci!$A$1:$I$1000,2,0),IF(TYPE(INDIRECT(ADDRESS(ROW() + $A$9-8 + (ROW()-11)*4,2,1,1,"Internet")))&gt;1,INDIRECT(ADDRESS(ROW() + $A$9-8 + (ROW()-11)*4,2,1,1,"Internet"))," "))</f>
        <v xml:space="preserve"> </v>
      </c>
      <c r="Q109" s="149" t="str">
        <f ca="1">IF(N(O109)&gt;0,VLOOKUP(O109,Hraci!$A$1:$I$1000,3,0)," ")</f>
        <v xml:space="preserve"> </v>
      </c>
      <c r="R109" s="149" t="str">
        <f ca="1">IF(N(O109)&gt;0,VLOOKUP(O109,Hraci!$A$1:$I$1000,5,0),IF(TYPE(INDIRECT(ADDRESS(ROW() + $A$9-8 + (ROW()-11)*4,3,1,1,"Internet")))&gt;1,INDIRECT(ADDRESS(ROW() + $A$9-8 + (ROW()-11)*4,3,1,1,"Internet"))," "))</f>
        <v xml:space="preserve"> </v>
      </c>
      <c r="S109" s="149">
        <f ca="1">IF(N(O109)=0,9999,VLOOKUP(O109,Hraci!$A$1:$I$1000,8,0))</f>
        <v>9999</v>
      </c>
      <c r="T109" s="150">
        <f ca="1">IF(N(O109)=0,0,VLOOKUP(O109,Hraci!$A$1:$I$1000,9,0))</f>
        <v>0</v>
      </c>
      <c r="U109" s="147" t="str">
        <f t="shared" ca="1" si="55"/>
        <v/>
      </c>
      <c r="V109" s="148" t="str">
        <f ca="1">IF(N(U109)&gt;0,VLOOKUP(U109,Hraci!$A$1:$I$1000,2,0),IF(TYPE(INDIRECT(ADDRESS(ROW() + $A$9-7 + (ROW()-11)*4,2,1,1,"Internet")))&gt;1,INDIRECT(ADDRESS(ROW() + $A$9-7 + (ROW()-11)*4,2,1,1,"Internet"))," "))</f>
        <v xml:space="preserve"> </v>
      </c>
      <c r="W109" s="149" t="str">
        <f ca="1">IF(N(U109)&gt;0,VLOOKUP(U109,Hraci!$A$1:$I$1000,3,0)," ")</f>
        <v xml:space="preserve"> </v>
      </c>
      <c r="X109" s="149" t="str">
        <f ca="1">IF(N(U109)&gt;0,VLOOKUP(U109,Hraci!$A$1:$I$1000,5,0),IF(TYPE(INDIRECT(ADDRESS(ROW() + $A$9-7 + (ROW()-11)*4,3,1,1,"Internet")))&gt;1,INDIRECT(ADDRESS(ROW() + $A$9-7 + (ROW()-11)*4,3,1,1,"Internet"))," "))</f>
        <v xml:space="preserve"> </v>
      </c>
      <c r="Y109" s="149">
        <f ca="1">IF(N(U109)=0,9999,VLOOKUP(U109,Hraci!$A$1:$I$1000,8,0))</f>
        <v>9999</v>
      </c>
      <c r="Z109" s="150">
        <f ca="1">IF(N(U109)=0,0,VLOOKUP(U109,Hraci!$A$1:$I$1000,9,0))</f>
        <v>0</v>
      </c>
      <c r="AA109" s="147" t="str">
        <f t="shared" ca="1" si="56"/>
        <v/>
      </c>
      <c r="AB109" s="148" t="str">
        <f ca="1">IF(N(AA109)&gt;0,VLOOKUP(AA109,Hraci!$A$1:$I$1000,2,0)," ")</f>
        <v xml:space="preserve"> </v>
      </c>
      <c r="AC109" s="149" t="str">
        <f ca="1">IF(N(AA109)&gt;0,VLOOKUP(AA109,Hraci!$A$1:$I$1000,3,0)," ")</f>
        <v xml:space="preserve"> </v>
      </c>
      <c r="AD109" s="149" t="str">
        <f ca="1">IF(N(AA109)&gt;0,VLOOKUP(AA109,Hraci!$A$1:$I$1000,5,0)," ")</f>
        <v xml:space="preserve"> </v>
      </c>
      <c r="AE109" s="149">
        <f ca="1">IF(N(AA109)=0,9999,VLOOKUP(AA109,Hraci!$A$1:$I$1000,8,0))</f>
        <v>9999</v>
      </c>
      <c r="AF109" s="150">
        <f ca="1">IF(N(AA109)=0,0,VLOOKUP(AA109,Hraci!$A$1:$I$1000,9,0))</f>
        <v>0</v>
      </c>
      <c r="AG109" s="147"/>
      <c r="AH109" s="151">
        <f ca="1">IF(TYPE(VLOOKUP(H109,Nasazení!$A$3:$E$130,5,0))&lt;4,VLOOKUP(H109,Nasazení!$A$3:$E$130,5,0),0)</f>
        <v>0</v>
      </c>
      <c r="AI109" s="152" t="str">
        <f ca="1">IF(N($AH109)&gt;0,VLOOKUP($AH109,Body!$A$4:$F$259,5,0),"")</f>
        <v/>
      </c>
      <c r="AJ109" s="153" t="str">
        <f ca="1">IF(N($AH109)&gt;0,VLOOKUP($AH109,Body!$A$4:$F$259,6,0),"")</f>
        <v/>
      </c>
      <c r="AK109" s="152" t="str">
        <f ca="1">IF(N($AH109)&gt;0,VLOOKUP($AH109,Body!$A$4:$F$259,2,0),"")</f>
        <v/>
      </c>
      <c r="AL109" s="154" t="str">
        <f t="shared" ca="1" si="57"/>
        <v/>
      </c>
      <c r="AM109" s="155">
        <f t="shared" ca="1" si="58"/>
        <v>0</v>
      </c>
      <c r="AN109" s="72">
        <f ca="1">IF(OR(TYPE(I109)&gt;1,TYPE(MATCH(I109,I110:I$203,0))&gt;1),0,MATCH(I109,I110:I$203,0))+IF(OR(TYPE(I109)&gt;1,TYPE(MATCH(I109,O$11:O$203,0))&gt;1),0,MATCH(I109,O$11:O$203,0))+IF(OR(TYPE(I109)&gt;1,TYPE(MATCH(I109,U$11:U$203,0))&gt;1),0,MATCH(I109,U$11:U$203,0))+IF(OR(TYPE(I109)&gt;1,TYPE(MATCH(I109,AA$11:AA$203,0))&gt;1),0,MATCH(I109,AA$11:AA$203,0))</f>
        <v>0</v>
      </c>
      <c r="AO109" s="72">
        <f ca="1">IF(OR(TYPE(O109)&gt;1,TYPE(MATCH(O109,I$11:I$203,0))&gt;1),0,MATCH(O109,I$11:I$203,0))+IF(OR(TYPE(O109)&gt;1,TYPE(MATCH(O109,O110:O$203,0))&gt;1),0,MATCH(O109,O110:O$203,0))+IF(OR(TYPE(O109)&gt;1,TYPE(MATCH(O109,U$11:U$203,0))&gt;1),0,MATCH(O109,U$11:U$203,0))+IF(OR(TYPE(O109)&gt;1,TYPE(MATCH(O109,AA$11:AA$203,0))&gt;1),0,MATCH(O109,AA$11:AA$203,0))</f>
        <v>0</v>
      </c>
      <c r="AP109" s="72">
        <f ca="1">IF(OR(TYPE(U109)&gt;1,TYPE(MATCH(U109,I$11:I$203,0))&gt;1),0,MATCH(U109,I$11:I$203,0))+IF(OR(TYPE(U109)&gt;1,TYPE(MATCH(U109,O$11:O$203,0))&gt;1),0,MATCH(U109,O$11:O$203,0))+IF(OR(TYPE(U109)&gt;1,TYPE(MATCH(U109,U110:U$203,0))&gt;1),0,MATCH(U109,U110:U$203,0))+IF(OR(TYPE(U109)&gt;1,TYPE(MATCH(U109,AA$11:AA$203,0))&gt;1),0,MATCH(U109,AA$11:AA$203,0))</f>
        <v>0</v>
      </c>
      <c r="AQ109" s="72">
        <f ca="1">IF(OR(TYPE(AA109)&gt;1,TYPE(MATCH(AA109,I$11:I$203,0))&gt;1),0,MATCH(AA109,I$11:I$203,0))+IF(OR(TYPE(AA109)&gt;1,TYPE(MATCH(AA109,O$11:O$203,0))&gt;1),0,MATCH(AA109,O$11:O$203,0))+IF(OR(TYPE(AA109)&gt;1,TYPE(MATCH(AA109,U$11:U$203,0))&gt;1),0,MATCH(U109,U$11:U$203,0))+IF(OR(TYPE(AA109)&gt;1,TYPE(MATCH(AA109,AA110:AA$203,0))&gt;1),0,MATCH(AA109,AA110:AA$203,0))</f>
        <v>0</v>
      </c>
      <c r="AR109" s="72">
        <f t="shared" ca="1" si="59"/>
        <v>0</v>
      </c>
    </row>
    <row r="110" spans="1:44" ht="14.25">
      <c r="A110" s="103">
        <f t="shared" ca="1" si="45"/>
        <v>0</v>
      </c>
      <c r="B110" s="103">
        <f t="shared" ca="1" si="46"/>
        <v>0</v>
      </c>
      <c r="C110" s="156">
        <f t="shared" ca="1" si="47"/>
        <v>0</v>
      </c>
      <c r="D110" s="103">
        <f t="shared" ca="1" si="48"/>
        <v>99999</v>
      </c>
      <c r="E110" s="73">
        <f t="shared" ca="1" si="49"/>
        <v>9999</v>
      </c>
      <c r="F110" s="104" t="str">
        <f t="shared" ca="1" si="50"/>
        <v>00000000000000000000040211</v>
      </c>
      <c r="G110" s="145">
        <f t="shared" ca="1" si="51"/>
        <v>1</v>
      </c>
      <c r="H110" s="146">
        <f t="shared" si="52"/>
        <v>100</v>
      </c>
      <c r="I110" s="147" t="str">
        <f t="shared" ca="1" si="53"/>
        <v/>
      </c>
      <c r="J110" s="148" t="str">
        <f ca="1">IF(N(I110)&gt;0,VLOOKUP(I110,Hraci!$A$1:$I$1000,2,0),IF(TYPE(INDIRECT(ADDRESS(ROW() + $A$9-9 + (ROW()-11)*4,2,1,1,"Internet")))&gt;1,INDIRECT(ADDRESS(ROW() + $A$9-9 + (ROW()-11)*4,2,1,1,"Internet"))," "))</f>
        <v xml:space="preserve"> </v>
      </c>
      <c r="K110" s="149" t="str">
        <f ca="1">IF(N(I110)&gt;0,VLOOKUP(I110,Hraci!$A$1:$I$1000,3,0)," ")</f>
        <v xml:space="preserve"> </v>
      </c>
      <c r="L110" s="149" t="str">
        <f ca="1">IF(N(I110)&gt;0,VLOOKUP(I110,Hraci!$A$1:$I$1000,5,0),IF(TYPE(INDIRECT(ADDRESS(ROW() + $A$9-9 + (ROW()-11)*4,3,1,1,"Internet")))&gt;1,INDIRECT(ADDRESS(ROW() + $A$9-9 + (ROW()-11)*4,3,1,1,"Internet"))," "))</f>
        <v xml:space="preserve"> </v>
      </c>
      <c r="M110" s="149">
        <f ca="1">IF(N(I110)=0,9999,VLOOKUP(I110,Hraci!$A$1:$I$1000,8,0))</f>
        <v>9999</v>
      </c>
      <c r="N110" s="150">
        <f ca="1">IF(N(I110)=0,0,VLOOKUP(I110,Hraci!$A$1:$I$1000,9,0))</f>
        <v>0</v>
      </c>
      <c r="O110" s="147" t="str">
        <f t="shared" ca="1" si="54"/>
        <v/>
      </c>
      <c r="P110" s="148" t="str">
        <f ca="1">IF(N(O110)&gt;0,VLOOKUP(O110,Hraci!$A$1:$I$1000,2,0),IF(TYPE(INDIRECT(ADDRESS(ROW() + $A$9-8 + (ROW()-11)*4,2,1,1,"Internet")))&gt;1,INDIRECT(ADDRESS(ROW() + $A$9-8 + (ROW()-11)*4,2,1,1,"Internet"))," "))</f>
        <v xml:space="preserve"> </v>
      </c>
      <c r="Q110" s="149" t="str">
        <f ca="1">IF(N(O110)&gt;0,VLOOKUP(O110,Hraci!$A$1:$I$1000,3,0)," ")</f>
        <v xml:space="preserve"> </v>
      </c>
      <c r="R110" s="149" t="str">
        <f ca="1">IF(N(O110)&gt;0,VLOOKUP(O110,Hraci!$A$1:$I$1000,5,0),IF(TYPE(INDIRECT(ADDRESS(ROW() + $A$9-8 + (ROW()-11)*4,3,1,1,"Internet")))&gt;1,INDIRECT(ADDRESS(ROW() + $A$9-8 + (ROW()-11)*4,3,1,1,"Internet"))," "))</f>
        <v xml:space="preserve"> </v>
      </c>
      <c r="S110" s="149">
        <f ca="1">IF(N(O110)=0,9999,VLOOKUP(O110,Hraci!$A$1:$I$1000,8,0))</f>
        <v>9999</v>
      </c>
      <c r="T110" s="150">
        <f ca="1">IF(N(O110)=0,0,VLOOKUP(O110,Hraci!$A$1:$I$1000,9,0))</f>
        <v>0</v>
      </c>
      <c r="U110" s="147" t="str">
        <f t="shared" ca="1" si="55"/>
        <v/>
      </c>
      <c r="V110" s="148" t="str">
        <f ca="1">IF(N(U110)&gt;0,VLOOKUP(U110,Hraci!$A$1:$I$1000,2,0),IF(TYPE(INDIRECT(ADDRESS(ROW() + $A$9-7 + (ROW()-11)*4,2,1,1,"Internet")))&gt;1,INDIRECT(ADDRESS(ROW() + $A$9-7 + (ROW()-11)*4,2,1,1,"Internet"))," "))</f>
        <v xml:space="preserve"> </v>
      </c>
      <c r="W110" s="149" t="str">
        <f ca="1">IF(N(U110)&gt;0,VLOOKUP(U110,Hraci!$A$1:$I$1000,3,0)," ")</f>
        <v xml:space="preserve"> </v>
      </c>
      <c r="X110" s="149" t="str">
        <f ca="1">IF(N(U110)&gt;0,VLOOKUP(U110,Hraci!$A$1:$I$1000,5,0),IF(TYPE(INDIRECT(ADDRESS(ROW() + $A$9-7 + (ROW()-11)*4,3,1,1,"Internet")))&gt;1,INDIRECT(ADDRESS(ROW() + $A$9-7 + (ROW()-11)*4,3,1,1,"Internet"))," "))</f>
        <v xml:space="preserve"> </v>
      </c>
      <c r="Y110" s="149">
        <f ca="1">IF(N(U110)=0,9999,VLOOKUP(U110,Hraci!$A$1:$I$1000,8,0))</f>
        <v>9999</v>
      </c>
      <c r="Z110" s="150">
        <f ca="1">IF(N(U110)=0,0,VLOOKUP(U110,Hraci!$A$1:$I$1000,9,0))</f>
        <v>0</v>
      </c>
      <c r="AA110" s="147" t="str">
        <f t="shared" ca="1" si="56"/>
        <v/>
      </c>
      <c r="AB110" s="148" t="str">
        <f ca="1">IF(N(AA110)&gt;0,VLOOKUP(AA110,Hraci!$A$1:$I$1000,2,0)," ")</f>
        <v xml:space="preserve"> </v>
      </c>
      <c r="AC110" s="149" t="str">
        <f ca="1">IF(N(AA110)&gt;0,VLOOKUP(AA110,Hraci!$A$1:$I$1000,3,0)," ")</f>
        <v xml:space="preserve"> </v>
      </c>
      <c r="AD110" s="149" t="str">
        <f ca="1">IF(N(AA110)&gt;0,VLOOKUP(AA110,Hraci!$A$1:$I$1000,5,0)," ")</f>
        <v xml:space="preserve"> </v>
      </c>
      <c r="AE110" s="149">
        <f ca="1">IF(N(AA110)=0,9999,VLOOKUP(AA110,Hraci!$A$1:$I$1000,8,0))</f>
        <v>9999</v>
      </c>
      <c r="AF110" s="150">
        <f ca="1">IF(N(AA110)=0,0,VLOOKUP(AA110,Hraci!$A$1:$I$1000,9,0))</f>
        <v>0</v>
      </c>
      <c r="AG110" s="147"/>
      <c r="AH110" s="151">
        <f ca="1">IF(TYPE(VLOOKUP(H110,Nasazení!$A$3:$E$130,5,0))&lt;4,VLOOKUP(H110,Nasazení!$A$3:$E$130,5,0),0)</f>
        <v>0</v>
      </c>
      <c r="AI110" s="152" t="str">
        <f ca="1">IF(N($AH110)&gt;0,VLOOKUP($AH110,Body!$A$4:$F$259,5,0),"")</f>
        <v/>
      </c>
      <c r="AJ110" s="153" t="str">
        <f ca="1">IF(N($AH110)&gt;0,VLOOKUP($AH110,Body!$A$4:$F$259,6,0),"")</f>
        <v/>
      </c>
      <c r="AK110" s="152" t="str">
        <f ca="1">IF(N($AH110)&gt;0,VLOOKUP($AH110,Body!$A$4:$F$259,2,0),"")</f>
        <v/>
      </c>
      <c r="AL110" s="154" t="str">
        <f t="shared" ca="1" si="57"/>
        <v/>
      </c>
      <c r="AM110" s="155">
        <f t="shared" ca="1" si="58"/>
        <v>0</v>
      </c>
      <c r="AN110" s="72">
        <f ca="1">IF(OR(TYPE(I110)&gt;1,TYPE(MATCH(I110,I111:I$203,0))&gt;1),0,MATCH(I110,I111:I$203,0))+IF(OR(TYPE(I110)&gt;1,TYPE(MATCH(I110,O$11:O$203,0))&gt;1),0,MATCH(I110,O$11:O$203,0))+IF(OR(TYPE(I110)&gt;1,TYPE(MATCH(I110,U$11:U$203,0))&gt;1),0,MATCH(I110,U$11:U$203,0))+IF(OR(TYPE(I110)&gt;1,TYPE(MATCH(I110,AA$11:AA$203,0))&gt;1),0,MATCH(I110,AA$11:AA$203,0))</f>
        <v>0</v>
      </c>
      <c r="AO110" s="72">
        <f ca="1">IF(OR(TYPE(O110)&gt;1,TYPE(MATCH(O110,I$11:I$203,0))&gt;1),0,MATCH(O110,I$11:I$203,0))+IF(OR(TYPE(O110)&gt;1,TYPE(MATCH(O110,O111:O$203,0))&gt;1),0,MATCH(O110,O111:O$203,0))+IF(OR(TYPE(O110)&gt;1,TYPE(MATCH(O110,U$11:U$203,0))&gt;1),0,MATCH(O110,U$11:U$203,0))+IF(OR(TYPE(O110)&gt;1,TYPE(MATCH(O110,AA$11:AA$203,0))&gt;1),0,MATCH(O110,AA$11:AA$203,0))</f>
        <v>0</v>
      </c>
      <c r="AP110" s="72">
        <f ca="1">IF(OR(TYPE(U110)&gt;1,TYPE(MATCH(U110,I$11:I$203,0))&gt;1),0,MATCH(U110,I$11:I$203,0))+IF(OR(TYPE(U110)&gt;1,TYPE(MATCH(U110,O$11:O$203,0))&gt;1),0,MATCH(U110,O$11:O$203,0))+IF(OR(TYPE(U110)&gt;1,TYPE(MATCH(U110,U111:U$203,0))&gt;1),0,MATCH(U110,U111:U$203,0))+IF(OR(TYPE(U110)&gt;1,TYPE(MATCH(U110,AA$11:AA$203,0))&gt;1),0,MATCH(U110,AA$11:AA$203,0))</f>
        <v>0</v>
      </c>
      <c r="AQ110" s="72">
        <f ca="1">IF(OR(TYPE(AA110)&gt;1,TYPE(MATCH(AA110,I$11:I$203,0))&gt;1),0,MATCH(AA110,I$11:I$203,0))+IF(OR(TYPE(AA110)&gt;1,TYPE(MATCH(AA110,O$11:O$203,0))&gt;1),0,MATCH(AA110,O$11:O$203,0))+IF(OR(TYPE(AA110)&gt;1,TYPE(MATCH(AA110,U$11:U$203,0))&gt;1),0,MATCH(U110,U$11:U$203,0))+IF(OR(TYPE(AA110)&gt;1,TYPE(MATCH(AA110,AA111:AA$203,0))&gt;1),0,MATCH(AA110,AA111:AA$203,0))</f>
        <v>0</v>
      </c>
      <c r="AR110" s="72">
        <f t="shared" ca="1" si="59"/>
        <v>0</v>
      </c>
    </row>
    <row r="111" spans="1:44" ht="14.25">
      <c r="A111" s="103">
        <f t="shared" ca="1" si="45"/>
        <v>0</v>
      </c>
      <c r="B111" s="103">
        <f t="shared" ca="1" si="46"/>
        <v>0</v>
      </c>
      <c r="C111" s="156">
        <f t="shared" ca="1" si="47"/>
        <v>0</v>
      </c>
      <c r="D111" s="103">
        <f t="shared" ca="1" si="48"/>
        <v>99999</v>
      </c>
      <c r="E111" s="103">
        <f t="shared" ca="1" si="49"/>
        <v>9999</v>
      </c>
      <c r="F111" s="104" t="str">
        <f t="shared" ca="1" si="50"/>
        <v>00000000000000000000932255</v>
      </c>
      <c r="G111" s="145">
        <f t="shared" ca="1" si="51"/>
        <v>1</v>
      </c>
      <c r="H111" s="146">
        <f t="shared" si="52"/>
        <v>101</v>
      </c>
      <c r="I111" s="147" t="str">
        <f t="shared" ca="1" si="53"/>
        <v/>
      </c>
      <c r="J111" s="148" t="str">
        <f ca="1">IF(N(I111)&gt;0,VLOOKUP(I111,Hraci!$A$1:$I$1000,2,0),IF(TYPE(INDIRECT(ADDRESS(ROW() + $A$9-9 + (ROW()-11)*4,2,1,1,"Internet")))&gt;1,INDIRECT(ADDRESS(ROW() + $A$9-9 + (ROW()-11)*4,2,1,1,"Internet"))," "))</f>
        <v xml:space="preserve"> </v>
      </c>
      <c r="K111" s="149" t="str">
        <f ca="1">IF(N(I111)&gt;0,VLOOKUP(I111,Hraci!$A$1:$I$1000,3,0)," ")</f>
        <v xml:space="preserve"> </v>
      </c>
      <c r="L111" s="149" t="str">
        <f ca="1">IF(N(I111)&gt;0,VLOOKUP(I111,Hraci!$A$1:$I$1000,5,0),IF(TYPE(INDIRECT(ADDRESS(ROW() + $A$9-9 + (ROW()-11)*4,3,1,1,"Internet")))&gt;1,INDIRECT(ADDRESS(ROW() + $A$9-9 + (ROW()-11)*4,3,1,1,"Internet"))," "))</f>
        <v xml:space="preserve"> </v>
      </c>
      <c r="M111" s="149">
        <f ca="1">IF(N(I111)=0,9999,VLOOKUP(I111,Hraci!$A$1:$I$1000,8,0))</f>
        <v>9999</v>
      </c>
      <c r="N111" s="150">
        <f ca="1">IF(N(I111)=0,0,VLOOKUP(I111,Hraci!$A$1:$I$1000,9,0))</f>
        <v>0</v>
      </c>
      <c r="O111" s="147" t="str">
        <f t="shared" ca="1" si="54"/>
        <v/>
      </c>
      <c r="P111" s="148" t="str">
        <f ca="1">IF(N(O111)&gt;0,VLOOKUP(O111,Hraci!$A$1:$I$1000,2,0),IF(TYPE(INDIRECT(ADDRESS(ROW() + $A$9-8 + (ROW()-11)*4,2,1,1,"Internet")))&gt;1,INDIRECT(ADDRESS(ROW() + $A$9-8 + (ROW()-11)*4,2,1,1,"Internet"))," "))</f>
        <v xml:space="preserve"> </v>
      </c>
      <c r="Q111" s="149" t="str">
        <f ca="1">IF(N(O111)&gt;0,VLOOKUP(O111,Hraci!$A$1:$I$1000,3,0)," ")</f>
        <v xml:space="preserve"> </v>
      </c>
      <c r="R111" s="149" t="str">
        <f ca="1">IF(N(O111)&gt;0,VLOOKUP(O111,Hraci!$A$1:$I$1000,5,0),IF(TYPE(INDIRECT(ADDRESS(ROW() + $A$9-8 + (ROW()-11)*4,3,1,1,"Internet")))&gt;1,INDIRECT(ADDRESS(ROW() + $A$9-8 + (ROW()-11)*4,3,1,1,"Internet"))," "))</f>
        <v xml:space="preserve"> </v>
      </c>
      <c r="S111" s="149">
        <f ca="1">IF(N(O111)=0,9999,VLOOKUP(O111,Hraci!$A$1:$I$1000,8,0))</f>
        <v>9999</v>
      </c>
      <c r="T111" s="150">
        <f ca="1">IF(N(O111)=0,0,VLOOKUP(O111,Hraci!$A$1:$I$1000,9,0))</f>
        <v>0</v>
      </c>
      <c r="U111" s="147" t="str">
        <f t="shared" ca="1" si="55"/>
        <v/>
      </c>
      <c r="V111" s="148" t="str">
        <f ca="1">IF(N(U111)&gt;0,VLOOKUP(U111,Hraci!$A$1:$I$1000,2,0),IF(TYPE(INDIRECT(ADDRESS(ROW() + $A$9-7 + (ROW()-11)*4,2,1,1,"Internet")))&gt;1,INDIRECT(ADDRESS(ROW() + $A$9-7 + (ROW()-11)*4,2,1,1,"Internet"))," "))</f>
        <v xml:space="preserve"> </v>
      </c>
      <c r="W111" s="149" t="str">
        <f ca="1">IF(N(U111)&gt;0,VLOOKUP(U111,Hraci!$A$1:$I$1000,3,0)," ")</f>
        <v xml:space="preserve"> </v>
      </c>
      <c r="X111" s="149" t="str">
        <f ca="1">IF(N(U111)&gt;0,VLOOKUP(U111,Hraci!$A$1:$I$1000,5,0),IF(TYPE(INDIRECT(ADDRESS(ROW() + $A$9-7 + (ROW()-11)*4,3,1,1,"Internet")))&gt;1,INDIRECT(ADDRESS(ROW() + $A$9-7 + (ROW()-11)*4,3,1,1,"Internet"))," "))</f>
        <v xml:space="preserve"> </v>
      </c>
      <c r="Y111" s="149">
        <f ca="1">IF(N(U111)=0,9999,VLOOKUP(U111,Hraci!$A$1:$I$1000,8,0))</f>
        <v>9999</v>
      </c>
      <c r="Z111" s="150">
        <f ca="1">IF(N(U111)=0,0,VLOOKUP(U111,Hraci!$A$1:$I$1000,9,0))</f>
        <v>0</v>
      </c>
      <c r="AA111" s="147" t="str">
        <f t="shared" ca="1" si="56"/>
        <v/>
      </c>
      <c r="AB111" s="148" t="str">
        <f ca="1">IF(N(AA111)&gt;0,VLOOKUP(AA111,Hraci!$A$1:$I$1000,2,0)," ")</f>
        <v xml:space="preserve"> </v>
      </c>
      <c r="AC111" s="149" t="str">
        <f ca="1">IF(N(AA111)&gt;0,VLOOKUP(AA111,Hraci!$A$1:$I$1000,3,0)," ")</f>
        <v xml:space="preserve"> </v>
      </c>
      <c r="AD111" s="149" t="str">
        <f ca="1">IF(N(AA111)&gt;0,VLOOKUP(AA111,Hraci!$A$1:$I$1000,5,0)," ")</f>
        <v xml:space="preserve"> </v>
      </c>
      <c r="AE111" s="149">
        <f ca="1">IF(N(AA111)=0,9999,VLOOKUP(AA111,Hraci!$A$1:$I$1000,8,0))</f>
        <v>9999</v>
      </c>
      <c r="AF111" s="150">
        <f ca="1">IF(N(AA111)=0,0,VLOOKUP(AA111,Hraci!$A$1:$I$1000,9,0))</f>
        <v>0</v>
      </c>
      <c r="AG111" s="147"/>
      <c r="AH111" s="151">
        <f ca="1">IF(TYPE(VLOOKUP(H111,Nasazení!$A$3:$E$130,5,0))&lt;4,VLOOKUP(H111,Nasazení!$A$3:$E$130,5,0),0)</f>
        <v>0</v>
      </c>
      <c r="AI111" s="152" t="str">
        <f ca="1">IF(N($AH111)&gt;0,VLOOKUP($AH111,Body!$A$4:$F$259,5,0),"")</f>
        <v/>
      </c>
      <c r="AJ111" s="153" t="str">
        <f ca="1">IF(N($AH111)&gt;0,VLOOKUP($AH111,Body!$A$4:$F$259,6,0),"")</f>
        <v/>
      </c>
      <c r="AK111" s="152" t="str">
        <f ca="1">IF(N($AH111)&gt;0,VLOOKUP($AH111,Body!$A$4:$F$259,2,0),"")</f>
        <v/>
      </c>
      <c r="AL111" s="154" t="str">
        <f t="shared" ca="1" si="57"/>
        <v/>
      </c>
      <c r="AM111" s="155">
        <f t="shared" ca="1" si="58"/>
        <v>0</v>
      </c>
      <c r="AN111" s="72">
        <f ca="1">IF(OR(TYPE(I111)&gt;1,TYPE(MATCH(I111,I112:I$203,0))&gt;1),0,MATCH(I111,I112:I$203,0))+IF(OR(TYPE(I111)&gt;1,TYPE(MATCH(I111,O$11:O$203,0))&gt;1),0,MATCH(I111,O$11:O$203,0))+IF(OR(TYPE(I111)&gt;1,TYPE(MATCH(I111,U$11:U$203,0))&gt;1),0,MATCH(I111,U$11:U$203,0))+IF(OR(TYPE(I111)&gt;1,TYPE(MATCH(I111,AA$11:AA$203,0))&gt;1),0,MATCH(I111,AA$11:AA$203,0))</f>
        <v>0</v>
      </c>
      <c r="AO111" s="72">
        <f ca="1">IF(OR(TYPE(O111)&gt;1,TYPE(MATCH(O111,I$11:I$203,0))&gt;1),0,MATCH(O111,I$11:I$203,0))+IF(OR(TYPE(O111)&gt;1,TYPE(MATCH(O111,O112:O$203,0))&gt;1),0,MATCH(O111,O112:O$203,0))+IF(OR(TYPE(O111)&gt;1,TYPE(MATCH(O111,U$11:U$203,0))&gt;1),0,MATCH(O111,U$11:U$203,0))+IF(OR(TYPE(O111)&gt;1,TYPE(MATCH(O111,AA$11:AA$203,0))&gt;1),0,MATCH(O111,AA$11:AA$203,0))</f>
        <v>0</v>
      </c>
      <c r="AP111" s="72">
        <f ca="1">IF(OR(TYPE(U111)&gt;1,TYPE(MATCH(U111,I$11:I$203,0))&gt;1),0,MATCH(U111,I$11:I$203,0))+IF(OR(TYPE(U111)&gt;1,TYPE(MATCH(U111,O$11:O$203,0))&gt;1),0,MATCH(U111,O$11:O$203,0))+IF(OR(TYPE(U111)&gt;1,TYPE(MATCH(U111,U112:U$203,0))&gt;1),0,MATCH(U111,U112:U$203,0))+IF(OR(TYPE(U111)&gt;1,TYPE(MATCH(U111,AA$11:AA$203,0))&gt;1),0,MATCH(U111,AA$11:AA$203,0))</f>
        <v>0</v>
      </c>
      <c r="AQ111" s="72">
        <f ca="1">IF(OR(TYPE(AA111)&gt;1,TYPE(MATCH(AA111,I$11:I$203,0))&gt;1),0,MATCH(AA111,I$11:I$203,0))+IF(OR(TYPE(AA111)&gt;1,TYPE(MATCH(AA111,O$11:O$203,0))&gt;1),0,MATCH(AA111,O$11:O$203,0))+IF(OR(TYPE(AA111)&gt;1,TYPE(MATCH(AA111,U$11:U$203,0))&gt;1),0,MATCH(U111,U$11:U$203,0))+IF(OR(TYPE(AA111)&gt;1,TYPE(MATCH(AA111,AA112:AA$203,0))&gt;1),0,MATCH(AA111,AA112:AA$203,0))</f>
        <v>0</v>
      </c>
      <c r="AR111" s="72">
        <f t="shared" ca="1" si="59"/>
        <v>0</v>
      </c>
    </row>
    <row r="112" spans="1:44" ht="14.25">
      <c r="A112" s="103">
        <f t="shared" ca="1" si="45"/>
        <v>0</v>
      </c>
      <c r="B112" s="103">
        <f t="shared" ca="1" si="46"/>
        <v>0</v>
      </c>
      <c r="C112" s="156">
        <f t="shared" ca="1" si="47"/>
        <v>0</v>
      </c>
      <c r="D112" s="103">
        <f t="shared" ca="1" si="48"/>
        <v>99999</v>
      </c>
      <c r="E112" s="103">
        <f t="shared" ca="1" si="49"/>
        <v>9999</v>
      </c>
      <c r="F112" s="104" t="str">
        <f t="shared" ca="1" si="50"/>
        <v>00000000000000000000949419</v>
      </c>
      <c r="G112" s="145">
        <f t="shared" ca="1" si="51"/>
        <v>1</v>
      </c>
      <c r="H112" s="146">
        <f t="shared" si="52"/>
        <v>102</v>
      </c>
      <c r="I112" s="147" t="str">
        <f t="shared" ca="1" si="53"/>
        <v/>
      </c>
      <c r="J112" s="148" t="str">
        <f ca="1">IF(N(I112)&gt;0,VLOOKUP(I112,Hraci!$A$1:$I$1000,2,0),IF(TYPE(INDIRECT(ADDRESS(ROW() + $A$9-9 + (ROW()-11)*4,2,1,1,"Internet")))&gt;1,INDIRECT(ADDRESS(ROW() + $A$9-9 + (ROW()-11)*4,2,1,1,"Internet"))," "))</f>
        <v xml:space="preserve"> </v>
      </c>
      <c r="K112" s="149" t="str">
        <f ca="1">IF(N(I112)&gt;0,VLOOKUP(I112,Hraci!$A$1:$I$1000,3,0)," ")</f>
        <v xml:space="preserve"> </v>
      </c>
      <c r="L112" s="149" t="str">
        <f ca="1">IF(N(I112)&gt;0,VLOOKUP(I112,Hraci!$A$1:$I$1000,5,0),IF(TYPE(INDIRECT(ADDRESS(ROW() + $A$9-9 + (ROW()-11)*4,3,1,1,"Internet")))&gt;1,INDIRECT(ADDRESS(ROW() + $A$9-9 + (ROW()-11)*4,3,1,1,"Internet"))," "))</f>
        <v xml:space="preserve"> </v>
      </c>
      <c r="M112" s="149">
        <f ca="1">IF(N(I112)=0,9999,VLOOKUP(I112,Hraci!$A$1:$I$1000,8,0))</f>
        <v>9999</v>
      </c>
      <c r="N112" s="150">
        <f ca="1">IF(N(I112)=0,0,VLOOKUP(I112,Hraci!$A$1:$I$1000,9,0))</f>
        <v>0</v>
      </c>
      <c r="O112" s="147" t="str">
        <f t="shared" ca="1" si="54"/>
        <v/>
      </c>
      <c r="P112" s="148" t="str">
        <f ca="1">IF(N(O112)&gt;0,VLOOKUP(O112,Hraci!$A$1:$I$1000,2,0),IF(TYPE(INDIRECT(ADDRESS(ROW() + $A$9-8 + (ROW()-11)*4,2,1,1,"Internet")))&gt;1,INDIRECT(ADDRESS(ROW() + $A$9-8 + (ROW()-11)*4,2,1,1,"Internet"))," "))</f>
        <v xml:space="preserve"> </v>
      </c>
      <c r="Q112" s="149" t="str">
        <f ca="1">IF(N(O112)&gt;0,VLOOKUP(O112,Hraci!$A$1:$I$1000,3,0)," ")</f>
        <v xml:space="preserve"> </v>
      </c>
      <c r="R112" s="149" t="str">
        <f ca="1">IF(N(O112)&gt;0,VLOOKUP(O112,Hraci!$A$1:$I$1000,5,0),IF(TYPE(INDIRECT(ADDRESS(ROW() + $A$9-8 + (ROW()-11)*4,3,1,1,"Internet")))&gt;1,INDIRECT(ADDRESS(ROW() + $A$9-8 + (ROW()-11)*4,3,1,1,"Internet"))," "))</f>
        <v xml:space="preserve"> </v>
      </c>
      <c r="S112" s="149">
        <f ca="1">IF(N(O112)=0,9999,VLOOKUP(O112,Hraci!$A$1:$I$1000,8,0))</f>
        <v>9999</v>
      </c>
      <c r="T112" s="150">
        <f ca="1">IF(N(O112)=0,0,VLOOKUP(O112,Hraci!$A$1:$I$1000,9,0))</f>
        <v>0</v>
      </c>
      <c r="U112" s="147" t="str">
        <f t="shared" ca="1" si="55"/>
        <v/>
      </c>
      <c r="V112" s="148" t="str">
        <f ca="1">IF(N(U112)&gt;0,VLOOKUP(U112,Hraci!$A$1:$I$1000,2,0),IF(TYPE(INDIRECT(ADDRESS(ROW() + $A$9-7 + (ROW()-11)*4,2,1,1,"Internet")))&gt;1,INDIRECT(ADDRESS(ROW() + $A$9-7 + (ROW()-11)*4,2,1,1,"Internet"))," "))</f>
        <v xml:space="preserve"> </v>
      </c>
      <c r="W112" s="149" t="str">
        <f ca="1">IF(N(U112)&gt;0,VLOOKUP(U112,Hraci!$A$1:$I$1000,3,0)," ")</f>
        <v xml:space="preserve"> </v>
      </c>
      <c r="X112" s="149" t="str">
        <f ca="1">IF(N(U112)&gt;0,VLOOKUP(U112,Hraci!$A$1:$I$1000,5,0),IF(TYPE(INDIRECT(ADDRESS(ROW() + $A$9-7 + (ROW()-11)*4,3,1,1,"Internet")))&gt;1,INDIRECT(ADDRESS(ROW() + $A$9-7 + (ROW()-11)*4,3,1,1,"Internet"))," "))</f>
        <v xml:space="preserve"> </v>
      </c>
      <c r="Y112" s="149">
        <f ca="1">IF(N(U112)=0,9999,VLOOKUP(U112,Hraci!$A$1:$I$1000,8,0))</f>
        <v>9999</v>
      </c>
      <c r="Z112" s="150">
        <f ca="1">IF(N(U112)=0,0,VLOOKUP(U112,Hraci!$A$1:$I$1000,9,0))</f>
        <v>0</v>
      </c>
      <c r="AA112" s="147" t="str">
        <f t="shared" ca="1" si="56"/>
        <v/>
      </c>
      <c r="AB112" s="148" t="str">
        <f ca="1">IF(N(AA112)&gt;0,VLOOKUP(AA112,Hraci!$A$1:$I$1000,2,0)," ")</f>
        <v xml:space="preserve"> </v>
      </c>
      <c r="AC112" s="149" t="str">
        <f ca="1">IF(N(AA112)&gt;0,VLOOKUP(AA112,Hraci!$A$1:$I$1000,3,0)," ")</f>
        <v xml:space="preserve"> </v>
      </c>
      <c r="AD112" s="149" t="str">
        <f ca="1">IF(N(AA112)&gt;0,VLOOKUP(AA112,Hraci!$A$1:$I$1000,5,0)," ")</f>
        <v xml:space="preserve"> </v>
      </c>
      <c r="AE112" s="149">
        <f ca="1">IF(N(AA112)=0,9999,VLOOKUP(AA112,Hraci!$A$1:$I$1000,8,0))</f>
        <v>9999</v>
      </c>
      <c r="AF112" s="150">
        <f ca="1">IF(N(AA112)=0,0,VLOOKUP(AA112,Hraci!$A$1:$I$1000,9,0))</f>
        <v>0</v>
      </c>
      <c r="AG112" s="147"/>
      <c r="AH112" s="151">
        <f ca="1">IF(TYPE(VLOOKUP(H112,Nasazení!$A$3:$E$130,5,0))&lt;4,VLOOKUP(H112,Nasazení!$A$3:$E$130,5,0),0)</f>
        <v>0</v>
      </c>
      <c r="AI112" s="152" t="str">
        <f ca="1">IF(N($AH112)&gt;0,VLOOKUP($AH112,Body!$A$4:$F$259,5,0),"")</f>
        <v/>
      </c>
      <c r="AJ112" s="153" t="str">
        <f ca="1">IF(N($AH112)&gt;0,VLOOKUP($AH112,Body!$A$4:$F$259,6,0),"")</f>
        <v/>
      </c>
      <c r="AK112" s="152" t="str">
        <f ca="1">IF(N($AH112)&gt;0,VLOOKUP($AH112,Body!$A$4:$F$259,2,0),"")</f>
        <v/>
      </c>
      <c r="AL112" s="154" t="str">
        <f t="shared" ca="1" si="57"/>
        <v/>
      </c>
      <c r="AM112" s="155">
        <f t="shared" ca="1" si="58"/>
        <v>0</v>
      </c>
      <c r="AN112" s="72">
        <f ca="1">IF(OR(TYPE(I112)&gt;1,TYPE(MATCH(I112,I113:I$203,0))&gt;1),0,MATCH(I112,I113:I$203,0))+IF(OR(TYPE(I112)&gt;1,TYPE(MATCH(I112,O$11:O$203,0))&gt;1),0,MATCH(I112,O$11:O$203,0))+IF(OR(TYPE(I112)&gt;1,TYPE(MATCH(I112,U$11:U$203,0))&gt;1),0,MATCH(I112,U$11:U$203,0))+IF(OR(TYPE(I112)&gt;1,TYPE(MATCH(I112,AA$11:AA$203,0))&gt;1),0,MATCH(I112,AA$11:AA$203,0))</f>
        <v>0</v>
      </c>
      <c r="AO112" s="72">
        <f ca="1">IF(OR(TYPE(O112)&gt;1,TYPE(MATCH(O112,I$11:I$203,0))&gt;1),0,MATCH(O112,I$11:I$203,0))+IF(OR(TYPE(O112)&gt;1,TYPE(MATCH(O112,O113:O$203,0))&gt;1),0,MATCH(O112,O113:O$203,0))+IF(OR(TYPE(O112)&gt;1,TYPE(MATCH(O112,U$11:U$203,0))&gt;1),0,MATCH(O112,U$11:U$203,0))+IF(OR(TYPE(O112)&gt;1,TYPE(MATCH(O112,AA$11:AA$203,0))&gt;1),0,MATCH(O112,AA$11:AA$203,0))</f>
        <v>0</v>
      </c>
      <c r="AP112" s="72">
        <f ca="1">IF(OR(TYPE(U112)&gt;1,TYPE(MATCH(U112,I$11:I$203,0))&gt;1),0,MATCH(U112,I$11:I$203,0))+IF(OR(TYPE(U112)&gt;1,TYPE(MATCH(U112,O$11:O$203,0))&gt;1),0,MATCH(U112,O$11:O$203,0))+IF(OR(TYPE(U112)&gt;1,TYPE(MATCH(U112,U113:U$203,0))&gt;1),0,MATCH(U112,U113:U$203,0))+IF(OR(TYPE(U112)&gt;1,TYPE(MATCH(U112,AA$11:AA$203,0))&gt;1),0,MATCH(U112,AA$11:AA$203,0))</f>
        <v>0</v>
      </c>
      <c r="AQ112" s="72">
        <f ca="1">IF(OR(TYPE(AA112)&gt;1,TYPE(MATCH(AA112,I$11:I$203,0))&gt;1),0,MATCH(AA112,I$11:I$203,0))+IF(OR(TYPE(AA112)&gt;1,TYPE(MATCH(AA112,O$11:O$203,0))&gt;1),0,MATCH(AA112,O$11:O$203,0))+IF(OR(TYPE(AA112)&gt;1,TYPE(MATCH(AA112,U$11:U$203,0))&gt;1),0,MATCH(U112,U$11:U$203,0))+IF(OR(TYPE(AA112)&gt;1,TYPE(MATCH(AA112,AA113:AA$203,0))&gt;1),0,MATCH(AA112,AA113:AA$203,0))</f>
        <v>0</v>
      </c>
      <c r="AR112" s="72">
        <f t="shared" ca="1" si="59"/>
        <v>0</v>
      </c>
    </row>
    <row r="113" spans="1:44" ht="14.25">
      <c r="A113" s="103">
        <f t="shared" ca="1" si="45"/>
        <v>0</v>
      </c>
      <c r="B113" s="103">
        <f t="shared" ca="1" si="46"/>
        <v>0</v>
      </c>
      <c r="C113" s="156">
        <f t="shared" ca="1" si="47"/>
        <v>0</v>
      </c>
      <c r="D113" s="103">
        <f t="shared" ca="1" si="48"/>
        <v>99999</v>
      </c>
      <c r="E113" s="103">
        <f t="shared" ca="1" si="49"/>
        <v>9999</v>
      </c>
      <c r="F113" s="104" t="str">
        <f t="shared" ca="1" si="50"/>
        <v>00000000000000000000793602</v>
      </c>
      <c r="G113" s="145">
        <f t="shared" ca="1" si="51"/>
        <v>1</v>
      </c>
      <c r="H113" s="146">
        <f t="shared" si="52"/>
        <v>103</v>
      </c>
      <c r="I113" s="147" t="str">
        <f t="shared" ca="1" si="53"/>
        <v/>
      </c>
      <c r="J113" s="148" t="str">
        <f ca="1">IF(N(I113)&gt;0,VLOOKUP(I113,Hraci!$A$1:$I$1000,2,0),IF(TYPE(INDIRECT(ADDRESS(ROW() + $A$9-9 + (ROW()-11)*4,2,1,1,"Internet")))&gt;1,INDIRECT(ADDRESS(ROW() + $A$9-9 + (ROW()-11)*4,2,1,1,"Internet"))," "))</f>
        <v xml:space="preserve"> </v>
      </c>
      <c r="K113" s="149" t="str">
        <f ca="1">IF(N(I113)&gt;0,VLOOKUP(I113,Hraci!$A$1:$I$1000,3,0)," ")</f>
        <v xml:space="preserve"> </v>
      </c>
      <c r="L113" s="149" t="str">
        <f ca="1">IF(N(I113)&gt;0,VLOOKUP(I113,Hraci!$A$1:$I$1000,5,0),IF(TYPE(INDIRECT(ADDRESS(ROW() + $A$9-9 + (ROW()-11)*4,3,1,1,"Internet")))&gt;1,INDIRECT(ADDRESS(ROW() + $A$9-9 + (ROW()-11)*4,3,1,1,"Internet"))," "))</f>
        <v xml:space="preserve"> </v>
      </c>
      <c r="M113" s="149">
        <f ca="1">IF(N(I113)=0,9999,VLOOKUP(I113,Hraci!$A$1:$I$1000,8,0))</f>
        <v>9999</v>
      </c>
      <c r="N113" s="150">
        <f ca="1">IF(N(I113)=0,0,VLOOKUP(I113,Hraci!$A$1:$I$1000,9,0))</f>
        <v>0</v>
      </c>
      <c r="O113" s="147" t="str">
        <f t="shared" ca="1" si="54"/>
        <v/>
      </c>
      <c r="P113" s="148" t="str">
        <f ca="1">IF(N(O113)&gt;0,VLOOKUP(O113,Hraci!$A$1:$I$1000,2,0),IF(TYPE(INDIRECT(ADDRESS(ROW() + $A$9-8 + (ROW()-11)*4,2,1,1,"Internet")))&gt;1,INDIRECT(ADDRESS(ROW() + $A$9-8 + (ROW()-11)*4,2,1,1,"Internet"))," "))</f>
        <v xml:space="preserve"> </v>
      </c>
      <c r="Q113" s="149" t="str">
        <f ca="1">IF(N(O113)&gt;0,VLOOKUP(O113,Hraci!$A$1:$I$1000,3,0)," ")</f>
        <v xml:space="preserve"> </v>
      </c>
      <c r="R113" s="149" t="str">
        <f ca="1">IF(N(O113)&gt;0,VLOOKUP(O113,Hraci!$A$1:$I$1000,5,0),IF(TYPE(INDIRECT(ADDRESS(ROW() + $A$9-8 + (ROW()-11)*4,3,1,1,"Internet")))&gt;1,INDIRECT(ADDRESS(ROW() + $A$9-8 + (ROW()-11)*4,3,1,1,"Internet"))," "))</f>
        <v xml:space="preserve"> </v>
      </c>
      <c r="S113" s="149">
        <f ca="1">IF(N(O113)=0,9999,VLOOKUP(O113,Hraci!$A$1:$I$1000,8,0))</f>
        <v>9999</v>
      </c>
      <c r="T113" s="150">
        <f ca="1">IF(N(O113)=0,0,VLOOKUP(O113,Hraci!$A$1:$I$1000,9,0))</f>
        <v>0</v>
      </c>
      <c r="U113" s="147" t="str">
        <f t="shared" ca="1" si="55"/>
        <v/>
      </c>
      <c r="V113" s="148" t="str">
        <f ca="1">IF(N(U113)&gt;0,VLOOKUP(U113,Hraci!$A$1:$I$1000,2,0),IF(TYPE(INDIRECT(ADDRESS(ROW() + $A$9-7 + (ROW()-11)*4,2,1,1,"Internet")))&gt;1,INDIRECT(ADDRESS(ROW() + $A$9-7 + (ROW()-11)*4,2,1,1,"Internet"))," "))</f>
        <v xml:space="preserve"> </v>
      </c>
      <c r="W113" s="149" t="str">
        <f ca="1">IF(N(U113)&gt;0,VLOOKUP(U113,Hraci!$A$1:$I$1000,3,0)," ")</f>
        <v xml:space="preserve"> </v>
      </c>
      <c r="X113" s="149" t="str">
        <f ca="1">IF(N(U113)&gt;0,VLOOKUP(U113,Hraci!$A$1:$I$1000,5,0),IF(TYPE(INDIRECT(ADDRESS(ROW() + $A$9-7 + (ROW()-11)*4,3,1,1,"Internet")))&gt;1,INDIRECT(ADDRESS(ROW() + $A$9-7 + (ROW()-11)*4,3,1,1,"Internet"))," "))</f>
        <v xml:space="preserve"> </v>
      </c>
      <c r="Y113" s="149">
        <f ca="1">IF(N(U113)=0,9999,VLOOKUP(U113,Hraci!$A$1:$I$1000,8,0))</f>
        <v>9999</v>
      </c>
      <c r="Z113" s="150">
        <f ca="1">IF(N(U113)=0,0,VLOOKUP(U113,Hraci!$A$1:$I$1000,9,0))</f>
        <v>0</v>
      </c>
      <c r="AA113" s="147" t="str">
        <f t="shared" ca="1" si="56"/>
        <v/>
      </c>
      <c r="AB113" s="148" t="str">
        <f ca="1">IF(N(AA113)&gt;0,VLOOKUP(AA113,Hraci!$A$1:$I$1000,2,0)," ")</f>
        <v xml:space="preserve"> </v>
      </c>
      <c r="AC113" s="149" t="str">
        <f ca="1">IF(N(AA113)&gt;0,VLOOKUP(AA113,Hraci!$A$1:$I$1000,3,0)," ")</f>
        <v xml:space="preserve"> </v>
      </c>
      <c r="AD113" s="149" t="str">
        <f ca="1">IF(N(AA113)&gt;0,VLOOKUP(AA113,Hraci!$A$1:$I$1000,5,0)," ")</f>
        <v xml:space="preserve"> </v>
      </c>
      <c r="AE113" s="149">
        <f ca="1">IF(N(AA113)=0,9999,VLOOKUP(AA113,Hraci!$A$1:$I$1000,8,0))</f>
        <v>9999</v>
      </c>
      <c r="AF113" s="150">
        <f ca="1">IF(N(AA113)=0,0,VLOOKUP(AA113,Hraci!$A$1:$I$1000,9,0))</f>
        <v>0</v>
      </c>
      <c r="AG113" s="147"/>
      <c r="AH113" s="151">
        <f ca="1">IF(TYPE(VLOOKUP(H113,Nasazení!$A$3:$E$130,5,0))&lt;4,VLOOKUP(H113,Nasazení!$A$3:$E$130,5,0),0)</f>
        <v>0</v>
      </c>
      <c r="AI113" s="152" t="str">
        <f ca="1">IF(N($AH113)&gt;0,VLOOKUP($AH113,Body!$A$4:$F$259,5,0),"")</f>
        <v/>
      </c>
      <c r="AJ113" s="153" t="str">
        <f ca="1">IF(N($AH113)&gt;0,VLOOKUP($AH113,Body!$A$4:$F$259,6,0),"")</f>
        <v/>
      </c>
      <c r="AK113" s="152" t="str">
        <f ca="1">IF(N($AH113)&gt;0,VLOOKUP($AH113,Body!$A$4:$F$259,2,0),"")</f>
        <v/>
      </c>
      <c r="AL113" s="154" t="str">
        <f t="shared" ca="1" si="57"/>
        <v/>
      </c>
      <c r="AM113" s="155">
        <f t="shared" ca="1" si="58"/>
        <v>0</v>
      </c>
      <c r="AN113" s="72">
        <f ca="1">IF(OR(TYPE(I113)&gt;1,TYPE(MATCH(I113,I114:I$203,0))&gt;1),0,MATCH(I113,I114:I$203,0))+IF(OR(TYPE(I113)&gt;1,TYPE(MATCH(I113,O$11:O$203,0))&gt;1),0,MATCH(I113,O$11:O$203,0))+IF(OR(TYPE(I113)&gt;1,TYPE(MATCH(I113,U$11:U$203,0))&gt;1),0,MATCH(I113,U$11:U$203,0))+IF(OR(TYPE(I113)&gt;1,TYPE(MATCH(I113,AA$11:AA$203,0))&gt;1),0,MATCH(I113,AA$11:AA$203,0))</f>
        <v>0</v>
      </c>
      <c r="AO113" s="72">
        <f ca="1">IF(OR(TYPE(O113)&gt;1,TYPE(MATCH(O113,I$11:I$203,0))&gt;1),0,MATCH(O113,I$11:I$203,0))+IF(OR(TYPE(O113)&gt;1,TYPE(MATCH(O113,O114:O$203,0))&gt;1),0,MATCH(O113,O114:O$203,0))+IF(OR(TYPE(O113)&gt;1,TYPE(MATCH(O113,U$11:U$203,0))&gt;1),0,MATCH(O113,U$11:U$203,0))+IF(OR(TYPE(O113)&gt;1,TYPE(MATCH(O113,AA$11:AA$203,0))&gt;1),0,MATCH(O113,AA$11:AA$203,0))</f>
        <v>0</v>
      </c>
      <c r="AP113" s="72">
        <f ca="1">IF(OR(TYPE(U113)&gt;1,TYPE(MATCH(U113,I$11:I$203,0))&gt;1),0,MATCH(U113,I$11:I$203,0))+IF(OR(TYPE(U113)&gt;1,TYPE(MATCH(U113,O$11:O$203,0))&gt;1),0,MATCH(U113,O$11:O$203,0))+IF(OR(TYPE(U113)&gt;1,TYPE(MATCH(U113,U114:U$203,0))&gt;1),0,MATCH(U113,U114:U$203,0))+IF(OR(TYPE(U113)&gt;1,TYPE(MATCH(U113,AA$11:AA$203,0))&gt;1),0,MATCH(U113,AA$11:AA$203,0))</f>
        <v>0</v>
      </c>
      <c r="AQ113" s="72">
        <f ca="1">IF(OR(TYPE(AA113)&gt;1,TYPE(MATCH(AA113,I$11:I$203,0))&gt;1),0,MATCH(AA113,I$11:I$203,0))+IF(OR(TYPE(AA113)&gt;1,TYPE(MATCH(AA113,O$11:O$203,0))&gt;1),0,MATCH(AA113,O$11:O$203,0))+IF(OR(TYPE(AA113)&gt;1,TYPE(MATCH(AA113,U$11:U$203,0))&gt;1),0,MATCH(U113,U$11:U$203,0))+IF(OR(TYPE(AA113)&gt;1,TYPE(MATCH(AA113,AA114:AA$203,0))&gt;1),0,MATCH(AA113,AA114:AA$203,0))</f>
        <v>0</v>
      </c>
      <c r="AR113" s="72">
        <f t="shared" ca="1" si="59"/>
        <v>0</v>
      </c>
    </row>
    <row r="114" spans="1:44" ht="14.25">
      <c r="A114" s="103">
        <f t="shared" ca="1" si="45"/>
        <v>0</v>
      </c>
      <c r="B114" s="103">
        <f t="shared" ca="1" si="46"/>
        <v>0</v>
      </c>
      <c r="C114" s="156">
        <f t="shared" ca="1" si="47"/>
        <v>0</v>
      </c>
      <c r="D114" s="103">
        <f t="shared" ca="1" si="48"/>
        <v>99999</v>
      </c>
      <c r="E114" s="103">
        <f t="shared" ca="1" si="49"/>
        <v>9999</v>
      </c>
      <c r="F114" s="104" t="str">
        <f t="shared" ca="1" si="50"/>
        <v>00000000000000000000953535</v>
      </c>
      <c r="G114" s="145">
        <f t="shared" ca="1" si="51"/>
        <v>1</v>
      </c>
      <c r="H114" s="146">
        <f t="shared" si="52"/>
        <v>104</v>
      </c>
      <c r="I114" s="147" t="str">
        <f t="shared" ca="1" si="53"/>
        <v/>
      </c>
      <c r="J114" s="148" t="str">
        <f ca="1">IF(N(I114)&gt;0,VLOOKUP(I114,Hraci!$A$1:$I$1000,2,0),IF(TYPE(INDIRECT(ADDRESS(ROW() + $A$9-9 + (ROW()-11)*4,2,1,1,"Internet")))&gt;1,INDIRECT(ADDRESS(ROW() + $A$9-9 + (ROW()-11)*4,2,1,1,"Internet"))," "))</f>
        <v xml:space="preserve"> </v>
      </c>
      <c r="K114" s="149" t="str">
        <f ca="1">IF(N(I114)&gt;0,VLOOKUP(I114,Hraci!$A$1:$I$1000,3,0)," ")</f>
        <v xml:space="preserve"> </v>
      </c>
      <c r="L114" s="149" t="str">
        <f ca="1">IF(N(I114)&gt;0,VLOOKUP(I114,Hraci!$A$1:$I$1000,5,0),IF(TYPE(INDIRECT(ADDRESS(ROW() + $A$9-9 + (ROW()-11)*4,3,1,1,"Internet")))&gt;1,INDIRECT(ADDRESS(ROW() + $A$9-9 + (ROW()-11)*4,3,1,1,"Internet"))," "))</f>
        <v xml:space="preserve"> </v>
      </c>
      <c r="M114" s="149">
        <f ca="1">IF(N(I114)=0,9999,VLOOKUP(I114,Hraci!$A$1:$I$1000,8,0))</f>
        <v>9999</v>
      </c>
      <c r="N114" s="150">
        <f ca="1">IF(N(I114)=0,0,VLOOKUP(I114,Hraci!$A$1:$I$1000,9,0))</f>
        <v>0</v>
      </c>
      <c r="O114" s="147" t="str">
        <f t="shared" ca="1" si="54"/>
        <v/>
      </c>
      <c r="P114" s="148" t="str">
        <f ca="1">IF(N(O114)&gt;0,VLOOKUP(O114,Hraci!$A$1:$I$1000,2,0),IF(TYPE(INDIRECT(ADDRESS(ROW() + $A$9-8 + (ROW()-11)*4,2,1,1,"Internet")))&gt;1,INDIRECT(ADDRESS(ROW() + $A$9-8 + (ROW()-11)*4,2,1,1,"Internet"))," "))</f>
        <v xml:space="preserve"> </v>
      </c>
      <c r="Q114" s="149" t="str">
        <f ca="1">IF(N(O114)&gt;0,VLOOKUP(O114,Hraci!$A$1:$I$1000,3,0)," ")</f>
        <v xml:space="preserve"> </v>
      </c>
      <c r="R114" s="149" t="str">
        <f ca="1">IF(N(O114)&gt;0,VLOOKUP(O114,Hraci!$A$1:$I$1000,5,0),IF(TYPE(INDIRECT(ADDRESS(ROW() + $A$9-8 + (ROW()-11)*4,3,1,1,"Internet")))&gt;1,INDIRECT(ADDRESS(ROW() + $A$9-8 + (ROW()-11)*4,3,1,1,"Internet"))," "))</f>
        <v xml:space="preserve"> </v>
      </c>
      <c r="S114" s="149">
        <f ca="1">IF(N(O114)=0,9999,VLOOKUP(O114,Hraci!$A$1:$I$1000,8,0))</f>
        <v>9999</v>
      </c>
      <c r="T114" s="150">
        <f ca="1">IF(N(O114)=0,0,VLOOKUP(O114,Hraci!$A$1:$I$1000,9,0))</f>
        <v>0</v>
      </c>
      <c r="U114" s="147" t="str">
        <f t="shared" ca="1" si="55"/>
        <v/>
      </c>
      <c r="V114" s="148" t="str">
        <f ca="1">IF(N(U114)&gt;0,VLOOKUP(U114,Hraci!$A$1:$I$1000,2,0),IF(TYPE(INDIRECT(ADDRESS(ROW() + $A$9-7 + (ROW()-11)*4,2,1,1,"Internet")))&gt;1,INDIRECT(ADDRESS(ROW() + $A$9-7 + (ROW()-11)*4,2,1,1,"Internet"))," "))</f>
        <v xml:space="preserve"> </v>
      </c>
      <c r="W114" s="149" t="str">
        <f ca="1">IF(N(U114)&gt;0,VLOOKUP(U114,Hraci!$A$1:$I$1000,3,0)," ")</f>
        <v xml:space="preserve"> </v>
      </c>
      <c r="X114" s="149" t="str">
        <f ca="1">IF(N(U114)&gt;0,VLOOKUP(U114,Hraci!$A$1:$I$1000,5,0),IF(TYPE(INDIRECT(ADDRESS(ROW() + $A$9-7 + (ROW()-11)*4,3,1,1,"Internet")))&gt;1,INDIRECT(ADDRESS(ROW() + $A$9-7 + (ROW()-11)*4,3,1,1,"Internet"))," "))</f>
        <v xml:space="preserve"> </v>
      </c>
      <c r="Y114" s="149">
        <f ca="1">IF(N(U114)=0,9999,VLOOKUP(U114,Hraci!$A$1:$I$1000,8,0))</f>
        <v>9999</v>
      </c>
      <c r="Z114" s="150">
        <f ca="1">IF(N(U114)=0,0,VLOOKUP(U114,Hraci!$A$1:$I$1000,9,0))</f>
        <v>0</v>
      </c>
      <c r="AA114" s="147" t="str">
        <f t="shared" ca="1" si="56"/>
        <v/>
      </c>
      <c r="AB114" s="148" t="str">
        <f ca="1">IF(N(AA114)&gt;0,VLOOKUP(AA114,Hraci!$A$1:$I$1000,2,0)," ")</f>
        <v xml:space="preserve"> </v>
      </c>
      <c r="AC114" s="149" t="str">
        <f ca="1">IF(N(AA114)&gt;0,VLOOKUP(AA114,Hraci!$A$1:$I$1000,3,0)," ")</f>
        <v xml:space="preserve"> </v>
      </c>
      <c r="AD114" s="149" t="str">
        <f ca="1">IF(N(AA114)&gt;0,VLOOKUP(AA114,Hraci!$A$1:$I$1000,5,0)," ")</f>
        <v xml:space="preserve"> </v>
      </c>
      <c r="AE114" s="149">
        <f ca="1">IF(N(AA114)=0,9999,VLOOKUP(AA114,Hraci!$A$1:$I$1000,8,0))</f>
        <v>9999</v>
      </c>
      <c r="AF114" s="150">
        <f ca="1">IF(N(AA114)=0,0,VLOOKUP(AA114,Hraci!$A$1:$I$1000,9,0))</f>
        <v>0</v>
      </c>
      <c r="AG114" s="147"/>
      <c r="AH114" s="151">
        <f ca="1">IF(TYPE(VLOOKUP(H114,Nasazení!$A$3:$E$130,5,0))&lt;4,VLOOKUP(H114,Nasazení!$A$3:$E$130,5,0),0)</f>
        <v>0</v>
      </c>
      <c r="AI114" s="152" t="str">
        <f ca="1">IF(N($AH114)&gt;0,VLOOKUP($AH114,Body!$A$4:$F$259,5,0),"")</f>
        <v/>
      </c>
      <c r="AJ114" s="153" t="str">
        <f ca="1">IF(N($AH114)&gt;0,VLOOKUP($AH114,Body!$A$4:$F$259,6,0),"")</f>
        <v/>
      </c>
      <c r="AK114" s="152" t="str">
        <f ca="1">IF(N($AH114)&gt;0,VLOOKUP($AH114,Body!$A$4:$F$259,2,0),"")</f>
        <v/>
      </c>
      <c r="AL114" s="154" t="str">
        <f t="shared" ca="1" si="57"/>
        <v/>
      </c>
      <c r="AM114" s="155">
        <f t="shared" ca="1" si="58"/>
        <v>0</v>
      </c>
      <c r="AN114" s="72">
        <f ca="1">IF(OR(TYPE(I114)&gt;1,TYPE(MATCH(I114,I115:I$203,0))&gt;1),0,MATCH(I114,I115:I$203,0))+IF(OR(TYPE(I114)&gt;1,TYPE(MATCH(I114,O$11:O$203,0))&gt;1),0,MATCH(I114,O$11:O$203,0))+IF(OR(TYPE(I114)&gt;1,TYPE(MATCH(I114,U$11:U$203,0))&gt;1),0,MATCH(I114,U$11:U$203,0))+IF(OR(TYPE(I114)&gt;1,TYPE(MATCH(I114,AA$11:AA$203,0))&gt;1),0,MATCH(I114,AA$11:AA$203,0))</f>
        <v>0</v>
      </c>
      <c r="AO114" s="72">
        <f ca="1">IF(OR(TYPE(O114)&gt;1,TYPE(MATCH(O114,I$11:I$203,0))&gt;1),0,MATCH(O114,I$11:I$203,0))+IF(OR(TYPE(O114)&gt;1,TYPE(MATCH(O114,O115:O$203,0))&gt;1),0,MATCH(O114,O115:O$203,0))+IF(OR(TYPE(O114)&gt;1,TYPE(MATCH(O114,U$11:U$203,0))&gt;1),0,MATCH(O114,U$11:U$203,0))+IF(OR(TYPE(O114)&gt;1,TYPE(MATCH(O114,AA$11:AA$203,0))&gt;1),0,MATCH(O114,AA$11:AA$203,0))</f>
        <v>0</v>
      </c>
      <c r="AP114" s="72">
        <f ca="1">IF(OR(TYPE(U114)&gt;1,TYPE(MATCH(U114,I$11:I$203,0))&gt;1),0,MATCH(U114,I$11:I$203,0))+IF(OR(TYPE(U114)&gt;1,TYPE(MATCH(U114,O$11:O$203,0))&gt;1),0,MATCH(U114,O$11:O$203,0))+IF(OR(TYPE(U114)&gt;1,TYPE(MATCH(U114,U115:U$203,0))&gt;1),0,MATCH(U114,U115:U$203,0))+IF(OR(TYPE(U114)&gt;1,TYPE(MATCH(U114,AA$11:AA$203,0))&gt;1),0,MATCH(U114,AA$11:AA$203,0))</f>
        <v>0</v>
      </c>
      <c r="AQ114" s="72">
        <f ca="1">IF(OR(TYPE(AA114)&gt;1,TYPE(MATCH(AA114,I$11:I$203,0))&gt;1),0,MATCH(AA114,I$11:I$203,0))+IF(OR(TYPE(AA114)&gt;1,TYPE(MATCH(AA114,O$11:O$203,0))&gt;1),0,MATCH(AA114,O$11:O$203,0))+IF(OR(TYPE(AA114)&gt;1,TYPE(MATCH(AA114,U$11:U$203,0))&gt;1),0,MATCH(U114,U$11:U$203,0))+IF(OR(TYPE(AA114)&gt;1,TYPE(MATCH(AA114,AA115:AA$203,0))&gt;1),0,MATCH(AA114,AA115:AA$203,0))</f>
        <v>0</v>
      </c>
      <c r="AR114" s="72">
        <f t="shared" ca="1" si="59"/>
        <v>0</v>
      </c>
    </row>
    <row r="115" spans="1:44" ht="14.25">
      <c r="A115" s="103">
        <f t="shared" ca="1" si="45"/>
        <v>0</v>
      </c>
      <c r="B115" s="103">
        <f t="shared" ca="1" si="46"/>
        <v>0</v>
      </c>
      <c r="C115" s="156">
        <f t="shared" ca="1" si="47"/>
        <v>0</v>
      </c>
      <c r="D115" s="103">
        <f t="shared" ca="1" si="48"/>
        <v>99999</v>
      </c>
      <c r="E115" s="103">
        <f t="shared" ca="1" si="49"/>
        <v>9999</v>
      </c>
      <c r="F115" s="104" t="str">
        <f t="shared" ca="1" si="50"/>
        <v>00000000000000000000467704</v>
      </c>
      <c r="G115" s="145">
        <f t="shared" ca="1" si="51"/>
        <v>1</v>
      </c>
      <c r="H115" s="146">
        <f t="shared" si="52"/>
        <v>105</v>
      </c>
      <c r="I115" s="147" t="str">
        <f t="shared" ca="1" si="53"/>
        <v/>
      </c>
      <c r="J115" s="148" t="str">
        <f ca="1">IF(N(I115)&gt;0,VLOOKUP(I115,Hraci!$A$1:$I$1000,2,0),IF(TYPE(INDIRECT(ADDRESS(ROW() + $A$9-9 + (ROW()-11)*4,2,1,1,"Internet")))&gt;1,INDIRECT(ADDRESS(ROW() + $A$9-9 + (ROW()-11)*4,2,1,1,"Internet"))," "))</f>
        <v xml:space="preserve"> </v>
      </c>
      <c r="K115" s="149" t="str">
        <f ca="1">IF(N(I115)&gt;0,VLOOKUP(I115,Hraci!$A$1:$I$1000,3,0)," ")</f>
        <v xml:space="preserve"> </v>
      </c>
      <c r="L115" s="149" t="str">
        <f ca="1">IF(N(I115)&gt;0,VLOOKUP(I115,Hraci!$A$1:$I$1000,5,0),IF(TYPE(INDIRECT(ADDRESS(ROW() + $A$9-9 + (ROW()-11)*4,3,1,1,"Internet")))&gt;1,INDIRECT(ADDRESS(ROW() + $A$9-9 + (ROW()-11)*4,3,1,1,"Internet"))," "))</f>
        <v xml:space="preserve"> </v>
      </c>
      <c r="M115" s="149">
        <f ca="1">IF(N(I115)=0,9999,VLOOKUP(I115,Hraci!$A$1:$I$1000,8,0))</f>
        <v>9999</v>
      </c>
      <c r="N115" s="150">
        <f ca="1">IF(N(I115)=0,0,VLOOKUP(I115,Hraci!$A$1:$I$1000,9,0))</f>
        <v>0</v>
      </c>
      <c r="O115" s="147" t="str">
        <f t="shared" ca="1" si="54"/>
        <v/>
      </c>
      <c r="P115" s="148" t="str">
        <f ca="1">IF(N(O115)&gt;0,VLOOKUP(O115,Hraci!$A$1:$I$1000,2,0),IF(TYPE(INDIRECT(ADDRESS(ROW() + $A$9-8 + (ROW()-11)*4,2,1,1,"Internet")))&gt;1,INDIRECT(ADDRESS(ROW() + $A$9-8 + (ROW()-11)*4,2,1,1,"Internet"))," "))</f>
        <v xml:space="preserve"> </v>
      </c>
      <c r="Q115" s="149" t="str">
        <f ca="1">IF(N(O115)&gt;0,VLOOKUP(O115,Hraci!$A$1:$I$1000,3,0)," ")</f>
        <v xml:space="preserve"> </v>
      </c>
      <c r="R115" s="149" t="str">
        <f ca="1">IF(N(O115)&gt;0,VLOOKUP(O115,Hraci!$A$1:$I$1000,5,0),IF(TYPE(INDIRECT(ADDRESS(ROW() + $A$9-8 + (ROW()-11)*4,3,1,1,"Internet")))&gt;1,INDIRECT(ADDRESS(ROW() + $A$9-8 + (ROW()-11)*4,3,1,1,"Internet"))," "))</f>
        <v xml:space="preserve"> </v>
      </c>
      <c r="S115" s="149">
        <f ca="1">IF(N(O115)=0,9999,VLOOKUP(O115,Hraci!$A$1:$I$1000,8,0))</f>
        <v>9999</v>
      </c>
      <c r="T115" s="150">
        <f ca="1">IF(N(O115)=0,0,VLOOKUP(O115,Hraci!$A$1:$I$1000,9,0))</f>
        <v>0</v>
      </c>
      <c r="U115" s="147" t="str">
        <f t="shared" ca="1" si="55"/>
        <v/>
      </c>
      <c r="V115" s="148" t="str">
        <f ca="1">IF(N(U115)&gt;0,VLOOKUP(U115,Hraci!$A$1:$I$1000,2,0),IF(TYPE(INDIRECT(ADDRESS(ROW() + $A$9-7 + (ROW()-11)*4,2,1,1,"Internet")))&gt;1,INDIRECT(ADDRESS(ROW() + $A$9-7 + (ROW()-11)*4,2,1,1,"Internet"))," "))</f>
        <v xml:space="preserve"> </v>
      </c>
      <c r="W115" s="149" t="str">
        <f ca="1">IF(N(U115)&gt;0,VLOOKUP(U115,Hraci!$A$1:$I$1000,3,0)," ")</f>
        <v xml:space="preserve"> </v>
      </c>
      <c r="X115" s="149" t="str">
        <f ca="1">IF(N(U115)&gt;0,VLOOKUP(U115,Hraci!$A$1:$I$1000,5,0),IF(TYPE(INDIRECT(ADDRESS(ROW() + $A$9-7 + (ROW()-11)*4,3,1,1,"Internet")))&gt;1,INDIRECT(ADDRESS(ROW() + $A$9-7 + (ROW()-11)*4,3,1,1,"Internet"))," "))</f>
        <v xml:space="preserve"> </v>
      </c>
      <c r="Y115" s="149">
        <f ca="1">IF(N(U115)=0,9999,VLOOKUP(U115,Hraci!$A$1:$I$1000,8,0))</f>
        <v>9999</v>
      </c>
      <c r="Z115" s="150">
        <f ca="1">IF(N(U115)=0,0,VLOOKUP(U115,Hraci!$A$1:$I$1000,9,0))</f>
        <v>0</v>
      </c>
      <c r="AA115" s="147" t="str">
        <f t="shared" ca="1" si="56"/>
        <v/>
      </c>
      <c r="AB115" s="148" t="str">
        <f ca="1">IF(N(AA115)&gt;0,VLOOKUP(AA115,Hraci!$A$1:$I$1000,2,0)," ")</f>
        <v xml:space="preserve"> </v>
      </c>
      <c r="AC115" s="149" t="str">
        <f ca="1">IF(N(AA115)&gt;0,VLOOKUP(AA115,Hraci!$A$1:$I$1000,3,0)," ")</f>
        <v xml:space="preserve"> </v>
      </c>
      <c r="AD115" s="149" t="str">
        <f ca="1">IF(N(AA115)&gt;0,VLOOKUP(AA115,Hraci!$A$1:$I$1000,5,0)," ")</f>
        <v xml:space="preserve"> </v>
      </c>
      <c r="AE115" s="149">
        <f ca="1">IF(N(AA115)=0,9999,VLOOKUP(AA115,Hraci!$A$1:$I$1000,8,0))</f>
        <v>9999</v>
      </c>
      <c r="AF115" s="150">
        <f ca="1">IF(N(AA115)=0,0,VLOOKUP(AA115,Hraci!$A$1:$I$1000,9,0))</f>
        <v>0</v>
      </c>
      <c r="AG115" s="147"/>
      <c r="AH115" s="151">
        <f ca="1">IF(TYPE(VLOOKUP(H115,Nasazení!$A$3:$E$130,5,0))&lt;4,VLOOKUP(H115,Nasazení!$A$3:$E$130,5,0),0)</f>
        <v>0</v>
      </c>
      <c r="AI115" s="152" t="str">
        <f ca="1">IF(N($AH115)&gt;0,VLOOKUP($AH115,Body!$A$4:$F$259,5,0),"")</f>
        <v/>
      </c>
      <c r="AJ115" s="153" t="str">
        <f ca="1">IF(N($AH115)&gt;0,VLOOKUP($AH115,Body!$A$4:$F$259,6,0),"")</f>
        <v/>
      </c>
      <c r="AK115" s="152" t="str">
        <f ca="1">IF(N($AH115)&gt;0,VLOOKUP($AH115,Body!$A$4:$F$259,2,0),"")</f>
        <v/>
      </c>
      <c r="AL115" s="154" t="str">
        <f t="shared" ca="1" si="57"/>
        <v/>
      </c>
      <c r="AM115" s="155">
        <f t="shared" ca="1" si="58"/>
        <v>0</v>
      </c>
      <c r="AN115" s="72">
        <f ca="1">IF(OR(TYPE(I115)&gt;1,TYPE(MATCH(I115,I116:I$203,0))&gt;1),0,MATCH(I115,I116:I$203,0))+IF(OR(TYPE(I115)&gt;1,TYPE(MATCH(I115,O$11:O$203,0))&gt;1),0,MATCH(I115,O$11:O$203,0))+IF(OR(TYPE(I115)&gt;1,TYPE(MATCH(I115,U$11:U$203,0))&gt;1),0,MATCH(I115,U$11:U$203,0))+IF(OR(TYPE(I115)&gt;1,TYPE(MATCH(I115,AA$11:AA$203,0))&gt;1),0,MATCH(I115,AA$11:AA$203,0))</f>
        <v>0</v>
      </c>
      <c r="AO115" s="72">
        <f ca="1">IF(OR(TYPE(O115)&gt;1,TYPE(MATCH(O115,I$11:I$203,0))&gt;1),0,MATCH(O115,I$11:I$203,0))+IF(OR(TYPE(O115)&gt;1,TYPE(MATCH(O115,O116:O$203,0))&gt;1),0,MATCH(O115,O116:O$203,0))+IF(OR(TYPE(O115)&gt;1,TYPE(MATCH(O115,U$11:U$203,0))&gt;1),0,MATCH(O115,U$11:U$203,0))+IF(OR(TYPE(O115)&gt;1,TYPE(MATCH(O115,AA$11:AA$203,0))&gt;1),0,MATCH(O115,AA$11:AA$203,0))</f>
        <v>0</v>
      </c>
      <c r="AP115" s="72">
        <f ca="1">IF(OR(TYPE(U115)&gt;1,TYPE(MATCH(U115,I$11:I$203,0))&gt;1),0,MATCH(U115,I$11:I$203,0))+IF(OR(TYPE(U115)&gt;1,TYPE(MATCH(U115,O$11:O$203,0))&gt;1),0,MATCH(U115,O$11:O$203,0))+IF(OR(TYPE(U115)&gt;1,TYPE(MATCH(U115,U116:U$203,0))&gt;1),0,MATCH(U115,U116:U$203,0))+IF(OR(TYPE(U115)&gt;1,TYPE(MATCH(U115,AA$11:AA$203,0))&gt;1),0,MATCH(U115,AA$11:AA$203,0))</f>
        <v>0</v>
      </c>
      <c r="AQ115" s="72">
        <f ca="1">IF(OR(TYPE(AA115)&gt;1,TYPE(MATCH(AA115,I$11:I$203,0))&gt;1),0,MATCH(AA115,I$11:I$203,0))+IF(OR(TYPE(AA115)&gt;1,TYPE(MATCH(AA115,O$11:O$203,0))&gt;1),0,MATCH(AA115,O$11:O$203,0))+IF(OR(TYPE(AA115)&gt;1,TYPE(MATCH(AA115,U$11:U$203,0))&gt;1),0,MATCH(U115,U$11:U$203,0))+IF(OR(TYPE(AA115)&gt;1,TYPE(MATCH(AA115,AA116:AA$203,0))&gt;1),0,MATCH(AA115,AA116:AA$203,0))</f>
        <v>0</v>
      </c>
      <c r="AR115" s="72">
        <f t="shared" ca="1" si="59"/>
        <v>0</v>
      </c>
    </row>
    <row r="116" spans="1:44" ht="14.25">
      <c r="A116" s="103">
        <f t="shared" ca="1" si="45"/>
        <v>0</v>
      </c>
      <c r="B116" s="103">
        <f t="shared" ca="1" si="46"/>
        <v>0</v>
      </c>
      <c r="C116" s="156">
        <f t="shared" ca="1" si="47"/>
        <v>0</v>
      </c>
      <c r="D116" s="103">
        <f t="shared" ca="1" si="48"/>
        <v>99999</v>
      </c>
      <c r="E116" s="103">
        <f t="shared" ca="1" si="49"/>
        <v>9999</v>
      </c>
      <c r="F116" s="104" t="str">
        <f t="shared" ca="1" si="50"/>
        <v>00000000000000000000855899</v>
      </c>
      <c r="G116" s="145">
        <f t="shared" ca="1" si="51"/>
        <v>1</v>
      </c>
      <c r="H116" s="146">
        <f t="shared" si="52"/>
        <v>106</v>
      </c>
      <c r="I116" s="147" t="str">
        <f t="shared" ca="1" si="53"/>
        <v/>
      </c>
      <c r="J116" s="148" t="str">
        <f ca="1">IF(N(I116)&gt;0,VLOOKUP(I116,Hraci!$A$1:$I$1000,2,0),IF(TYPE(INDIRECT(ADDRESS(ROW() + $A$9-9 + (ROW()-11)*4,2,1,1,"Internet")))&gt;1,INDIRECT(ADDRESS(ROW() + $A$9-9 + (ROW()-11)*4,2,1,1,"Internet"))," "))</f>
        <v xml:space="preserve"> </v>
      </c>
      <c r="K116" s="149" t="str">
        <f ca="1">IF(N(I116)&gt;0,VLOOKUP(I116,Hraci!$A$1:$I$1000,3,0)," ")</f>
        <v xml:space="preserve"> </v>
      </c>
      <c r="L116" s="149" t="str">
        <f ca="1">IF(N(I116)&gt;0,VLOOKUP(I116,Hraci!$A$1:$I$1000,5,0),IF(TYPE(INDIRECT(ADDRESS(ROW() + $A$9-9 + (ROW()-11)*4,3,1,1,"Internet")))&gt;1,INDIRECT(ADDRESS(ROW() + $A$9-9 + (ROW()-11)*4,3,1,1,"Internet"))," "))</f>
        <v xml:space="preserve"> </v>
      </c>
      <c r="M116" s="149">
        <f ca="1">IF(N(I116)=0,9999,VLOOKUP(I116,Hraci!$A$1:$I$1000,8,0))</f>
        <v>9999</v>
      </c>
      <c r="N116" s="150">
        <f ca="1">IF(N(I116)=0,0,VLOOKUP(I116,Hraci!$A$1:$I$1000,9,0))</f>
        <v>0</v>
      </c>
      <c r="O116" s="147" t="str">
        <f t="shared" ca="1" si="54"/>
        <v/>
      </c>
      <c r="P116" s="148" t="str">
        <f ca="1">IF(N(O116)&gt;0,VLOOKUP(O116,Hraci!$A$1:$I$1000,2,0),IF(TYPE(INDIRECT(ADDRESS(ROW() + $A$9-8 + (ROW()-11)*4,2,1,1,"Internet")))&gt;1,INDIRECT(ADDRESS(ROW() + $A$9-8 + (ROW()-11)*4,2,1,1,"Internet"))," "))</f>
        <v xml:space="preserve"> </v>
      </c>
      <c r="Q116" s="149" t="str">
        <f ca="1">IF(N(O116)&gt;0,VLOOKUP(O116,Hraci!$A$1:$I$1000,3,0)," ")</f>
        <v xml:space="preserve"> </v>
      </c>
      <c r="R116" s="149" t="str">
        <f ca="1">IF(N(O116)&gt;0,VLOOKUP(O116,Hraci!$A$1:$I$1000,5,0),IF(TYPE(INDIRECT(ADDRESS(ROW() + $A$9-8 + (ROW()-11)*4,3,1,1,"Internet")))&gt;1,INDIRECT(ADDRESS(ROW() + $A$9-8 + (ROW()-11)*4,3,1,1,"Internet"))," "))</f>
        <v xml:space="preserve"> </v>
      </c>
      <c r="S116" s="149">
        <f ca="1">IF(N(O116)=0,9999,VLOOKUP(O116,Hraci!$A$1:$I$1000,8,0))</f>
        <v>9999</v>
      </c>
      <c r="T116" s="150">
        <f ca="1">IF(N(O116)=0,0,VLOOKUP(O116,Hraci!$A$1:$I$1000,9,0))</f>
        <v>0</v>
      </c>
      <c r="U116" s="147" t="str">
        <f t="shared" ca="1" si="55"/>
        <v/>
      </c>
      <c r="V116" s="148" t="str">
        <f ca="1">IF(N(U116)&gt;0,VLOOKUP(U116,Hraci!$A$1:$I$1000,2,0),IF(TYPE(INDIRECT(ADDRESS(ROW() + $A$9-7 + (ROW()-11)*4,2,1,1,"Internet")))&gt;1,INDIRECT(ADDRESS(ROW() + $A$9-7 + (ROW()-11)*4,2,1,1,"Internet"))," "))</f>
        <v xml:space="preserve"> </v>
      </c>
      <c r="W116" s="149" t="str">
        <f ca="1">IF(N(U116)&gt;0,VLOOKUP(U116,Hraci!$A$1:$I$1000,3,0)," ")</f>
        <v xml:space="preserve"> </v>
      </c>
      <c r="X116" s="149" t="str">
        <f ca="1">IF(N(U116)&gt;0,VLOOKUP(U116,Hraci!$A$1:$I$1000,5,0),IF(TYPE(INDIRECT(ADDRESS(ROW() + $A$9-7 + (ROW()-11)*4,3,1,1,"Internet")))&gt;1,INDIRECT(ADDRESS(ROW() + $A$9-7 + (ROW()-11)*4,3,1,1,"Internet"))," "))</f>
        <v xml:space="preserve"> </v>
      </c>
      <c r="Y116" s="149">
        <f ca="1">IF(N(U116)=0,9999,VLOOKUP(U116,Hraci!$A$1:$I$1000,8,0))</f>
        <v>9999</v>
      </c>
      <c r="Z116" s="150">
        <f ca="1">IF(N(U116)=0,0,VLOOKUP(U116,Hraci!$A$1:$I$1000,9,0))</f>
        <v>0</v>
      </c>
      <c r="AA116" s="147" t="str">
        <f t="shared" ca="1" si="56"/>
        <v/>
      </c>
      <c r="AB116" s="148" t="str">
        <f ca="1">IF(N(AA116)&gt;0,VLOOKUP(AA116,Hraci!$A$1:$I$1000,2,0)," ")</f>
        <v xml:space="preserve"> </v>
      </c>
      <c r="AC116" s="149" t="str">
        <f ca="1">IF(N(AA116)&gt;0,VLOOKUP(AA116,Hraci!$A$1:$I$1000,3,0)," ")</f>
        <v xml:space="preserve"> </v>
      </c>
      <c r="AD116" s="149" t="str">
        <f ca="1">IF(N(AA116)&gt;0,VLOOKUP(AA116,Hraci!$A$1:$I$1000,5,0)," ")</f>
        <v xml:space="preserve"> </v>
      </c>
      <c r="AE116" s="149">
        <f ca="1">IF(N(AA116)=0,9999,VLOOKUP(AA116,Hraci!$A$1:$I$1000,8,0))</f>
        <v>9999</v>
      </c>
      <c r="AF116" s="150">
        <f ca="1">IF(N(AA116)=0,0,VLOOKUP(AA116,Hraci!$A$1:$I$1000,9,0))</f>
        <v>0</v>
      </c>
      <c r="AG116" s="147"/>
      <c r="AH116" s="151">
        <f ca="1">IF(TYPE(VLOOKUP(H116,Nasazení!$A$3:$E$130,5,0))&lt;4,VLOOKUP(H116,Nasazení!$A$3:$E$130,5,0),0)</f>
        <v>0</v>
      </c>
      <c r="AI116" s="152" t="str">
        <f ca="1">IF(N($AH116)&gt;0,VLOOKUP($AH116,Body!$A$4:$F$259,5,0),"")</f>
        <v/>
      </c>
      <c r="AJ116" s="153" t="str">
        <f ca="1">IF(N($AH116)&gt;0,VLOOKUP($AH116,Body!$A$4:$F$259,6,0),"")</f>
        <v/>
      </c>
      <c r="AK116" s="152" t="str">
        <f ca="1">IF(N($AH116)&gt;0,VLOOKUP($AH116,Body!$A$4:$F$259,2,0),"")</f>
        <v/>
      </c>
      <c r="AL116" s="154" t="str">
        <f t="shared" ca="1" si="57"/>
        <v/>
      </c>
      <c r="AM116" s="155">
        <f t="shared" ca="1" si="58"/>
        <v>0</v>
      </c>
      <c r="AN116" s="72">
        <f ca="1">IF(OR(TYPE(I116)&gt;1,TYPE(MATCH(I116,I117:I$203,0))&gt;1),0,MATCH(I116,I117:I$203,0))+IF(OR(TYPE(I116)&gt;1,TYPE(MATCH(I116,O$11:O$203,0))&gt;1),0,MATCH(I116,O$11:O$203,0))+IF(OR(TYPE(I116)&gt;1,TYPE(MATCH(I116,U$11:U$203,0))&gt;1),0,MATCH(I116,U$11:U$203,0))+IF(OR(TYPE(I116)&gt;1,TYPE(MATCH(I116,AA$11:AA$203,0))&gt;1),0,MATCH(I116,AA$11:AA$203,0))</f>
        <v>0</v>
      </c>
      <c r="AO116" s="72">
        <f ca="1">IF(OR(TYPE(O116)&gt;1,TYPE(MATCH(O116,I$11:I$203,0))&gt;1),0,MATCH(O116,I$11:I$203,0))+IF(OR(TYPE(O116)&gt;1,TYPE(MATCH(O116,O117:O$203,0))&gt;1),0,MATCH(O116,O117:O$203,0))+IF(OR(TYPE(O116)&gt;1,TYPE(MATCH(O116,U$11:U$203,0))&gt;1),0,MATCH(O116,U$11:U$203,0))+IF(OR(TYPE(O116)&gt;1,TYPE(MATCH(O116,AA$11:AA$203,0))&gt;1),0,MATCH(O116,AA$11:AA$203,0))</f>
        <v>0</v>
      </c>
      <c r="AP116" s="72">
        <f ca="1">IF(OR(TYPE(U116)&gt;1,TYPE(MATCH(U116,I$11:I$203,0))&gt;1),0,MATCH(U116,I$11:I$203,0))+IF(OR(TYPE(U116)&gt;1,TYPE(MATCH(U116,O$11:O$203,0))&gt;1),0,MATCH(U116,O$11:O$203,0))+IF(OR(TYPE(U116)&gt;1,TYPE(MATCH(U116,U117:U$203,0))&gt;1),0,MATCH(U116,U117:U$203,0))+IF(OR(TYPE(U116)&gt;1,TYPE(MATCH(U116,AA$11:AA$203,0))&gt;1),0,MATCH(U116,AA$11:AA$203,0))</f>
        <v>0</v>
      </c>
      <c r="AQ116" s="72">
        <f ca="1">IF(OR(TYPE(AA116)&gt;1,TYPE(MATCH(AA116,I$11:I$203,0))&gt;1),0,MATCH(AA116,I$11:I$203,0))+IF(OR(TYPE(AA116)&gt;1,TYPE(MATCH(AA116,O$11:O$203,0))&gt;1),0,MATCH(AA116,O$11:O$203,0))+IF(OR(TYPE(AA116)&gt;1,TYPE(MATCH(AA116,U$11:U$203,0))&gt;1),0,MATCH(U116,U$11:U$203,0))+IF(OR(TYPE(AA116)&gt;1,TYPE(MATCH(AA116,AA117:AA$203,0))&gt;1),0,MATCH(AA116,AA117:AA$203,0))</f>
        <v>0</v>
      </c>
      <c r="AR116" s="72">
        <f t="shared" ca="1" si="59"/>
        <v>0</v>
      </c>
    </row>
    <row r="117" spans="1:44" ht="14.25">
      <c r="A117" s="103">
        <f t="shared" ca="1" si="45"/>
        <v>0</v>
      </c>
      <c r="B117" s="103">
        <f t="shared" ca="1" si="46"/>
        <v>0</v>
      </c>
      <c r="C117" s="156">
        <f t="shared" ca="1" si="47"/>
        <v>0</v>
      </c>
      <c r="D117" s="103">
        <f t="shared" ca="1" si="48"/>
        <v>99999</v>
      </c>
      <c r="E117" s="103">
        <f t="shared" ca="1" si="49"/>
        <v>9999</v>
      </c>
      <c r="F117" s="104" t="str">
        <f t="shared" ca="1" si="50"/>
        <v>00000000000000000000298092</v>
      </c>
      <c r="G117" s="145">
        <f t="shared" ca="1" si="51"/>
        <v>1</v>
      </c>
      <c r="H117" s="146">
        <f t="shared" si="52"/>
        <v>107</v>
      </c>
      <c r="I117" s="147" t="str">
        <f t="shared" ca="1" si="53"/>
        <v/>
      </c>
      <c r="J117" s="148" t="str">
        <f ca="1">IF(N(I117)&gt;0,VLOOKUP(I117,Hraci!$A$1:$I$1000,2,0),IF(TYPE(INDIRECT(ADDRESS(ROW() + $A$9-9 + (ROW()-11)*4,2,1,1,"Internet")))&gt;1,INDIRECT(ADDRESS(ROW() + $A$9-9 + (ROW()-11)*4,2,1,1,"Internet"))," "))</f>
        <v xml:space="preserve"> </v>
      </c>
      <c r="K117" s="149" t="str">
        <f ca="1">IF(N(I117)&gt;0,VLOOKUP(I117,Hraci!$A$1:$I$1000,3,0)," ")</f>
        <v xml:space="preserve"> </v>
      </c>
      <c r="L117" s="149" t="str">
        <f ca="1">IF(N(I117)&gt;0,VLOOKUP(I117,Hraci!$A$1:$I$1000,5,0),IF(TYPE(INDIRECT(ADDRESS(ROW() + $A$9-9 + (ROW()-11)*4,3,1,1,"Internet")))&gt;1,INDIRECT(ADDRESS(ROW() + $A$9-9 + (ROW()-11)*4,3,1,1,"Internet"))," "))</f>
        <v xml:space="preserve"> </v>
      </c>
      <c r="M117" s="149">
        <f ca="1">IF(N(I117)=0,9999,VLOOKUP(I117,Hraci!$A$1:$I$1000,8,0))</f>
        <v>9999</v>
      </c>
      <c r="N117" s="150">
        <f ca="1">IF(N(I117)=0,0,VLOOKUP(I117,Hraci!$A$1:$I$1000,9,0))</f>
        <v>0</v>
      </c>
      <c r="O117" s="147" t="str">
        <f t="shared" ca="1" si="54"/>
        <v/>
      </c>
      <c r="P117" s="148" t="str">
        <f ca="1">IF(N(O117)&gt;0,VLOOKUP(O117,Hraci!$A$1:$I$1000,2,0),IF(TYPE(INDIRECT(ADDRESS(ROW() + $A$9-8 + (ROW()-11)*4,2,1,1,"Internet")))&gt;1,INDIRECT(ADDRESS(ROW() + $A$9-8 + (ROW()-11)*4,2,1,1,"Internet"))," "))</f>
        <v xml:space="preserve"> </v>
      </c>
      <c r="Q117" s="149" t="str">
        <f ca="1">IF(N(O117)&gt;0,VLOOKUP(O117,Hraci!$A$1:$I$1000,3,0)," ")</f>
        <v xml:space="preserve"> </v>
      </c>
      <c r="R117" s="149" t="str">
        <f ca="1">IF(N(O117)&gt;0,VLOOKUP(O117,Hraci!$A$1:$I$1000,5,0),IF(TYPE(INDIRECT(ADDRESS(ROW() + $A$9-8 + (ROW()-11)*4,3,1,1,"Internet")))&gt;1,INDIRECT(ADDRESS(ROW() + $A$9-8 + (ROW()-11)*4,3,1,1,"Internet"))," "))</f>
        <v xml:space="preserve"> </v>
      </c>
      <c r="S117" s="149">
        <f ca="1">IF(N(O117)=0,9999,VLOOKUP(O117,Hraci!$A$1:$I$1000,8,0))</f>
        <v>9999</v>
      </c>
      <c r="T117" s="150">
        <f ca="1">IF(N(O117)=0,0,VLOOKUP(O117,Hraci!$A$1:$I$1000,9,0))</f>
        <v>0</v>
      </c>
      <c r="U117" s="147" t="str">
        <f t="shared" ca="1" si="55"/>
        <v/>
      </c>
      <c r="V117" s="148" t="str">
        <f ca="1">IF(N(U117)&gt;0,VLOOKUP(U117,Hraci!$A$1:$I$1000,2,0),IF(TYPE(INDIRECT(ADDRESS(ROW() + $A$9-7 + (ROW()-11)*4,2,1,1,"Internet")))&gt;1,INDIRECT(ADDRESS(ROW() + $A$9-7 + (ROW()-11)*4,2,1,1,"Internet"))," "))</f>
        <v xml:space="preserve"> </v>
      </c>
      <c r="W117" s="149" t="str">
        <f ca="1">IF(N(U117)&gt;0,VLOOKUP(U117,Hraci!$A$1:$I$1000,3,0)," ")</f>
        <v xml:space="preserve"> </v>
      </c>
      <c r="X117" s="149" t="str">
        <f ca="1">IF(N(U117)&gt;0,VLOOKUP(U117,Hraci!$A$1:$I$1000,5,0),IF(TYPE(INDIRECT(ADDRESS(ROW() + $A$9-7 + (ROW()-11)*4,3,1,1,"Internet")))&gt;1,INDIRECT(ADDRESS(ROW() + $A$9-7 + (ROW()-11)*4,3,1,1,"Internet"))," "))</f>
        <v xml:space="preserve"> </v>
      </c>
      <c r="Y117" s="149">
        <f ca="1">IF(N(U117)=0,9999,VLOOKUP(U117,Hraci!$A$1:$I$1000,8,0))</f>
        <v>9999</v>
      </c>
      <c r="Z117" s="150">
        <f ca="1">IF(N(U117)=0,0,VLOOKUP(U117,Hraci!$A$1:$I$1000,9,0))</f>
        <v>0</v>
      </c>
      <c r="AA117" s="147" t="str">
        <f t="shared" ca="1" si="56"/>
        <v/>
      </c>
      <c r="AB117" s="148" t="str">
        <f ca="1">IF(N(AA117)&gt;0,VLOOKUP(AA117,Hraci!$A$1:$I$1000,2,0)," ")</f>
        <v xml:space="preserve"> </v>
      </c>
      <c r="AC117" s="149" t="str">
        <f ca="1">IF(N(AA117)&gt;0,VLOOKUP(AA117,Hraci!$A$1:$I$1000,3,0)," ")</f>
        <v xml:space="preserve"> </v>
      </c>
      <c r="AD117" s="149" t="str">
        <f ca="1">IF(N(AA117)&gt;0,VLOOKUP(AA117,Hraci!$A$1:$I$1000,5,0)," ")</f>
        <v xml:space="preserve"> </v>
      </c>
      <c r="AE117" s="149">
        <f ca="1">IF(N(AA117)=0,9999,VLOOKUP(AA117,Hraci!$A$1:$I$1000,8,0))</f>
        <v>9999</v>
      </c>
      <c r="AF117" s="150">
        <f ca="1">IF(N(AA117)=0,0,VLOOKUP(AA117,Hraci!$A$1:$I$1000,9,0))</f>
        <v>0</v>
      </c>
      <c r="AG117" s="147"/>
      <c r="AH117" s="151">
        <f ca="1">IF(TYPE(VLOOKUP(H117,Nasazení!$A$3:$E$130,5,0))&lt;4,VLOOKUP(H117,Nasazení!$A$3:$E$130,5,0),0)</f>
        <v>0</v>
      </c>
      <c r="AI117" s="152" t="str">
        <f ca="1">IF(N($AH117)&gt;0,VLOOKUP($AH117,Body!$A$4:$F$259,5,0),"")</f>
        <v/>
      </c>
      <c r="AJ117" s="153" t="str">
        <f ca="1">IF(N($AH117)&gt;0,VLOOKUP($AH117,Body!$A$4:$F$259,6,0),"")</f>
        <v/>
      </c>
      <c r="AK117" s="152" t="str">
        <f ca="1">IF(N($AH117)&gt;0,VLOOKUP($AH117,Body!$A$4:$F$259,2,0),"")</f>
        <v/>
      </c>
      <c r="AL117" s="154" t="str">
        <f t="shared" ca="1" si="57"/>
        <v/>
      </c>
      <c r="AM117" s="155">
        <f t="shared" ca="1" si="58"/>
        <v>0</v>
      </c>
      <c r="AN117" s="72">
        <f ca="1">IF(OR(TYPE(I117)&gt;1,TYPE(MATCH(I117,I118:I$203,0))&gt;1),0,MATCH(I117,I118:I$203,0))+IF(OR(TYPE(I117)&gt;1,TYPE(MATCH(I117,O$11:O$203,0))&gt;1),0,MATCH(I117,O$11:O$203,0))+IF(OR(TYPE(I117)&gt;1,TYPE(MATCH(I117,U$11:U$203,0))&gt;1),0,MATCH(I117,U$11:U$203,0))+IF(OR(TYPE(I117)&gt;1,TYPE(MATCH(I117,AA$11:AA$203,0))&gt;1),0,MATCH(I117,AA$11:AA$203,0))</f>
        <v>0</v>
      </c>
      <c r="AO117" s="72">
        <f ca="1">IF(OR(TYPE(O117)&gt;1,TYPE(MATCH(O117,I$11:I$203,0))&gt;1),0,MATCH(O117,I$11:I$203,0))+IF(OR(TYPE(O117)&gt;1,TYPE(MATCH(O117,O118:O$203,0))&gt;1),0,MATCH(O117,O118:O$203,0))+IF(OR(TYPE(O117)&gt;1,TYPE(MATCH(O117,U$11:U$203,0))&gt;1),0,MATCH(O117,U$11:U$203,0))+IF(OR(TYPE(O117)&gt;1,TYPE(MATCH(O117,AA$11:AA$203,0))&gt;1),0,MATCH(O117,AA$11:AA$203,0))</f>
        <v>0</v>
      </c>
      <c r="AP117" s="72">
        <f ca="1">IF(OR(TYPE(U117)&gt;1,TYPE(MATCH(U117,I$11:I$203,0))&gt;1),0,MATCH(U117,I$11:I$203,0))+IF(OR(TYPE(U117)&gt;1,TYPE(MATCH(U117,O$11:O$203,0))&gt;1),0,MATCH(U117,O$11:O$203,0))+IF(OR(TYPE(U117)&gt;1,TYPE(MATCH(U117,U118:U$203,0))&gt;1),0,MATCH(U117,U118:U$203,0))+IF(OR(TYPE(U117)&gt;1,TYPE(MATCH(U117,AA$11:AA$203,0))&gt;1),0,MATCH(U117,AA$11:AA$203,0))</f>
        <v>0</v>
      </c>
      <c r="AQ117" s="72">
        <f ca="1">IF(OR(TYPE(AA117)&gt;1,TYPE(MATCH(AA117,I$11:I$203,0))&gt;1),0,MATCH(AA117,I$11:I$203,0))+IF(OR(TYPE(AA117)&gt;1,TYPE(MATCH(AA117,O$11:O$203,0))&gt;1),0,MATCH(AA117,O$11:O$203,0))+IF(OR(TYPE(AA117)&gt;1,TYPE(MATCH(AA117,U$11:U$203,0))&gt;1),0,MATCH(U117,U$11:U$203,0))+IF(OR(TYPE(AA117)&gt;1,TYPE(MATCH(AA117,AA118:AA$203,0))&gt;1),0,MATCH(AA117,AA118:AA$203,0))</f>
        <v>0</v>
      </c>
      <c r="AR117" s="72">
        <f t="shared" ca="1" si="59"/>
        <v>0</v>
      </c>
    </row>
    <row r="118" spans="1:44" ht="14.25">
      <c r="A118" s="103">
        <f t="shared" ca="1" si="45"/>
        <v>0</v>
      </c>
      <c r="B118" s="103">
        <f t="shared" ca="1" si="46"/>
        <v>0</v>
      </c>
      <c r="C118" s="156">
        <f t="shared" ca="1" si="47"/>
        <v>0</v>
      </c>
      <c r="D118" s="103">
        <f t="shared" ca="1" si="48"/>
        <v>99999</v>
      </c>
      <c r="E118" s="103">
        <f t="shared" ca="1" si="49"/>
        <v>9999</v>
      </c>
      <c r="F118" s="104" t="str">
        <f t="shared" ca="1" si="50"/>
        <v>00000000000000000000534283</v>
      </c>
      <c r="G118" s="145">
        <f t="shared" ca="1" si="51"/>
        <v>1</v>
      </c>
      <c r="H118" s="146">
        <f t="shared" si="52"/>
        <v>108</v>
      </c>
      <c r="I118" s="147" t="str">
        <f t="shared" ca="1" si="53"/>
        <v/>
      </c>
      <c r="J118" s="148" t="str">
        <f ca="1">IF(N(I118)&gt;0,VLOOKUP(I118,Hraci!$A$1:$I$1000,2,0),IF(TYPE(INDIRECT(ADDRESS(ROW() + $A$9-9 + (ROW()-11)*4,2,1,1,"Internet")))&gt;1,INDIRECT(ADDRESS(ROW() + $A$9-9 + (ROW()-11)*4,2,1,1,"Internet"))," "))</f>
        <v xml:space="preserve"> </v>
      </c>
      <c r="K118" s="149" t="str">
        <f ca="1">IF(N(I118)&gt;0,VLOOKUP(I118,Hraci!$A$1:$I$1000,3,0)," ")</f>
        <v xml:space="preserve"> </v>
      </c>
      <c r="L118" s="149" t="str">
        <f ca="1">IF(N(I118)&gt;0,VLOOKUP(I118,Hraci!$A$1:$I$1000,5,0),IF(TYPE(INDIRECT(ADDRESS(ROW() + $A$9-9 + (ROW()-11)*4,3,1,1,"Internet")))&gt;1,INDIRECT(ADDRESS(ROW() + $A$9-9 + (ROW()-11)*4,3,1,1,"Internet"))," "))</f>
        <v xml:space="preserve"> </v>
      </c>
      <c r="M118" s="149">
        <f ca="1">IF(N(I118)=0,9999,VLOOKUP(I118,Hraci!$A$1:$I$1000,8,0))</f>
        <v>9999</v>
      </c>
      <c r="N118" s="150">
        <f ca="1">IF(N(I118)=0,0,VLOOKUP(I118,Hraci!$A$1:$I$1000,9,0))</f>
        <v>0</v>
      </c>
      <c r="O118" s="147" t="str">
        <f t="shared" ca="1" si="54"/>
        <v/>
      </c>
      <c r="P118" s="148" t="str">
        <f ca="1">IF(N(O118)&gt;0,VLOOKUP(O118,Hraci!$A$1:$I$1000,2,0),IF(TYPE(INDIRECT(ADDRESS(ROW() + $A$9-8 + (ROW()-11)*4,2,1,1,"Internet")))&gt;1,INDIRECT(ADDRESS(ROW() + $A$9-8 + (ROW()-11)*4,2,1,1,"Internet"))," "))</f>
        <v xml:space="preserve"> </v>
      </c>
      <c r="Q118" s="149" t="str">
        <f ca="1">IF(N(O118)&gt;0,VLOOKUP(O118,Hraci!$A$1:$I$1000,3,0)," ")</f>
        <v xml:space="preserve"> </v>
      </c>
      <c r="R118" s="149" t="str">
        <f ca="1">IF(N(O118)&gt;0,VLOOKUP(O118,Hraci!$A$1:$I$1000,5,0),IF(TYPE(INDIRECT(ADDRESS(ROW() + $A$9-8 + (ROW()-11)*4,3,1,1,"Internet")))&gt;1,INDIRECT(ADDRESS(ROW() + $A$9-8 + (ROW()-11)*4,3,1,1,"Internet"))," "))</f>
        <v xml:space="preserve"> </v>
      </c>
      <c r="S118" s="149">
        <f ca="1">IF(N(O118)=0,9999,VLOOKUP(O118,Hraci!$A$1:$I$1000,8,0))</f>
        <v>9999</v>
      </c>
      <c r="T118" s="150">
        <f ca="1">IF(N(O118)=0,0,VLOOKUP(O118,Hraci!$A$1:$I$1000,9,0))</f>
        <v>0</v>
      </c>
      <c r="U118" s="147" t="str">
        <f t="shared" ca="1" si="55"/>
        <v/>
      </c>
      <c r="V118" s="148" t="str">
        <f ca="1">IF(N(U118)&gt;0,VLOOKUP(U118,Hraci!$A$1:$I$1000,2,0),IF(TYPE(INDIRECT(ADDRESS(ROW() + $A$9-7 + (ROW()-11)*4,2,1,1,"Internet")))&gt;1,INDIRECT(ADDRESS(ROW() + $A$9-7 + (ROW()-11)*4,2,1,1,"Internet"))," "))</f>
        <v xml:space="preserve"> </v>
      </c>
      <c r="W118" s="149" t="str">
        <f ca="1">IF(N(U118)&gt;0,VLOOKUP(U118,Hraci!$A$1:$I$1000,3,0)," ")</f>
        <v xml:space="preserve"> </v>
      </c>
      <c r="X118" s="149" t="str">
        <f ca="1">IF(N(U118)&gt;0,VLOOKUP(U118,Hraci!$A$1:$I$1000,5,0),IF(TYPE(INDIRECT(ADDRESS(ROW() + $A$9-7 + (ROW()-11)*4,3,1,1,"Internet")))&gt;1,INDIRECT(ADDRESS(ROW() + $A$9-7 + (ROW()-11)*4,3,1,1,"Internet"))," "))</f>
        <v xml:space="preserve"> </v>
      </c>
      <c r="Y118" s="149">
        <f ca="1">IF(N(U118)=0,9999,VLOOKUP(U118,Hraci!$A$1:$I$1000,8,0))</f>
        <v>9999</v>
      </c>
      <c r="Z118" s="150">
        <f ca="1">IF(N(U118)=0,0,VLOOKUP(U118,Hraci!$A$1:$I$1000,9,0))</f>
        <v>0</v>
      </c>
      <c r="AA118" s="147" t="str">
        <f t="shared" ca="1" si="56"/>
        <v/>
      </c>
      <c r="AB118" s="148" t="str">
        <f ca="1">IF(N(AA118)&gt;0,VLOOKUP(AA118,Hraci!$A$1:$I$1000,2,0)," ")</f>
        <v xml:space="preserve"> </v>
      </c>
      <c r="AC118" s="149" t="str">
        <f ca="1">IF(N(AA118)&gt;0,VLOOKUP(AA118,Hraci!$A$1:$I$1000,3,0)," ")</f>
        <v xml:space="preserve"> </v>
      </c>
      <c r="AD118" s="149" t="str">
        <f ca="1">IF(N(AA118)&gt;0,VLOOKUP(AA118,Hraci!$A$1:$I$1000,5,0)," ")</f>
        <v xml:space="preserve"> </v>
      </c>
      <c r="AE118" s="149">
        <f ca="1">IF(N(AA118)=0,9999,VLOOKUP(AA118,Hraci!$A$1:$I$1000,8,0))</f>
        <v>9999</v>
      </c>
      <c r="AF118" s="150">
        <f ca="1">IF(N(AA118)=0,0,VLOOKUP(AA118,Hraci!$A$1:$I$1000,9,0))</f>
        <v>0</v>
      </c>
      <c r="AG118" s="147"/>
      <c r="AH118" s="151">
        <f ca="1">IF(TYPE(VLOOKUP(H118,Nasazení!$A$3:$E$130,5,0))&lt;4,VLOOKUP(H118,Nasazení!$A$3:$E$130,5,0),0)</f>
        <v>0</v>
      </c>
      <c r="AI118" s="152" t="str">
        <f ca="1">IF(N($AH118)&gt;0,VLOOKUP($AH118,Body!$A$4:$F$259,5,0),"")</f>
        <v/>
      </c>
      <c r="AJ118" s="153" t="str">
        <f ca="1">IF(N($AH118)&gt;0,VLOOKUP($AH118,Body!$A$4:$F$259,6,0),"")</f>
        <v/>
      </c>
      <c r="AK118" s="152" t="str">
        <f ca="1">IF(N($AH118)&gt;0,VLOOKUP($AH118,Body!$A$4:$F$259,2,0),"")</f>
        <v/>
      </c>
      <c r="AL118" s="154" t="str">
        <f t="shared" ca="1" si="57"/>
        <v/>
      </c>
      <c r="AM118" s="155">
        <f t="shared" ca="1" si="58"/>
        <v>0</v>
      </c>
      <c r="AN118" s="72">
        <f ca="1">IF(OR(TYPE(I118)&gt;1,TYPE(MATCH(I118,I119:I$203,0))&gt;1),0,MATCH(I118,I119:I$203,0))+IF(OR(TYPE(I118)&gt;1,TYPE(MATCH(I118,O$11:O$203,0))&gt;1),0,MATCH(I118,O$11:O$203,0))+IF(OR(TYPE(I118)&gt;1,TYPE(MATCH(I118,U$11:U$203,0))&gt;1),0,MATCH(I118,U$11:U$203,0))+IF(OR(TYPE(I118)&gt;1,TYPE(MATCH(I118,AA$11:AA$203,0))&gt;1),0,MATCH(I118,AA$11:AA$203,0))</f>
        <v>0</v>
      </c>
      <c r="AO118" s="72">
        <f ca="1">IF(OR(TYPE(O118)&gt;1,TYPE(MATCH(O118,I$11:I$203,0))&gt;1),0,MATCH(O118,I$11:I$203,0))+IF(OR(TYPE(O118)&gt;1,TYPE(MATCH(O118,O119:O$203,0))&gt;1),0,MATCH(O118,O119:O$203,0))+IF(OR(TYPE(O118)&gt;1,TYPE(MATCH(O118,U$11:U$203,0))&gt;1),0,MATCH(O118,U$11:U$203,0))+IF(OR(TYPE(O118)&gt;1,TYPE(MATCH(O118,AA$11:AA$203,0))&gt;1),0,MATCH(O118,AA$11:AA$203,0))</f>
        <v>0</v>
      </c>
      <c r="AP118" s="72">
        <f ca="1">IF(OR(TYPE(U118)&gt;1,TYPE(MATCH(U118,I$11:I$203,0))&gt;1),0,MATCH(U118,I$11:I$203,0))+IF(OR(TYPE(U118)&gt;1,TYPE(MATCH(U118,O$11:O$203,0))&gt;1),0,MATCH(U118,O$11:O$203,0))+IF(OR(TYPE(U118)&gt;1,TYPE(MATCH(U118,U119:U$203,0))&gt;1),0,MATCH(U118,U119:U$203,0))+IF(OR(TYPE(U118)&gt;1,TYPE(MATCH(U118,AA$11:AA$203,0))&gt;1),0,MATCH(U118,AA$11:AA$203,0))</f>
        <v>0</v>
      </c>
      <c r="AQ118" s="72">
        <f ca="1">IF(OR(TYPE(AA118)&gt;1,TYPE(MATCH(AA118,I$11:I$203,0))&gt;1),0,MATCH(AA118,I$11:I$203,0))+IF(OR(TYPE(AA118)&gt;1,TYPE(MATCH(AA118,O$11:O$203,0))&gt;1),0,MATCH(AA118,O$11:O$203,0))+IF(OR(TYPE(AA118)&gt;1,TYPE(MATCH(AA118,U$11:U$203,0))&gt;1),0,MATCH(U118,U$11:U$203,0))+IF(OR(TYPE(AA118)&gt;1,TYPE(MATCH(AA118,AA119:AA$203,0))&gt;1),0,MATCH(AA118,AA119:AA$203,0))</f>
        <v>0</v>
      </c>
      <c r="AR118" s="72">
        <f t="shared" ca="1" si="59"/>
        <v>0</v>
      </c>
    </row>
    <row r="119" spans="1:44" ht="14.25">
      <c r="A119" s="103">
        <f t="shared" ca="1" si="45"/>
        <v>0</v>
      </c>
      <c r="B119" s="103">
        <f t="shared" ca="1" si="46"/>
        <v>0</v>
      </c>
      <c r="C119" s="156">
        <f t="shared" ca="1" si="47"/>
        <v>0</v>
      </c>
      <c r="D119" s="103">
        <f t="shared" ca="1" si="48"/>
        <v>99999</v>
      </c>
      <c r="E119" s="103">
        <f t="shared" ca="1" si="49"/>
        <v>9999</v>
      </c>
      <c r="F119" s="104" t="str">
        <f t="shared" ca="1" si="50"/>
        <v>00000000000000000000902137</v>
      </c>
      <c r="G119" s="145">
        <f t="shared" ca="1" si="51"/>
        <v>1</v>
      </c>
      <c r="H119" s="146">
        <f t="shared" si="52"/>
        <v>109</v>
      </c>
      <c r="I119" s="147" t="str">
        <f t="shared" ca="1" si="53"/>
        <v/>
      </c>
      <c r="J119" s="148" t="str">
        <f ca="1">IF(N(I119)&gt;0,VLOOKUP(I119,Hraci!$A$1:$I$1000,2,0),IF(TYPE(INDIRECT(ADDRESS(ROW() + $A$9-9 + (ROW()-11)*4,2,1,1,"Internet")))&gt;1,INDIRECT(ADDRESS(ROW() + $A$9-9 + (ROW()-11)*4,2,1,1,"Internet"))," "))</f>
        <v xml:space="preserve"> </v>
      </c>
      <c r="K119" s="149" t="str">
        <f ca="1">IF(N(I119)&gt;0,VLOOKUP(I119,Hraci!$A$1:$I$1000,3,0)," ")</f>
        <v xml:space="preserve"> </v>
      </c>
      <c r="L119" s="149" t="str">
        <f ca="1">IF(N(I119)&gt;0,VLOOKUP(I119,Hraci!$A$1:$I$1000,5,0),IF(TYPE(INDIRECT(ADDRESS(ROW() + $A$9-9 + (ROW()-11)*4,3,1,1,"Internet")))&gt;1,INDIRECT(ADDRESS(ROW() + $A$9-9 + (ROW()-11)*4,3,1,1,"Internet"))," "))</f>
        <v xml:space="preserve"> </v>
      </c>
      <c r="M119" s="149">
        <f ca="1">IF(N(I119)=0,9999,VLOOKUP(I119,Hraci!$A$1:$I$1000,8,0))</f>
        <v>9999</v>
      </c>
      <c r="N119" s="150">
        <f ca="1">IF(N(I119)=0,0,VLOOKUP(I119,Hraci!$A$1:$I$1000,9,0))</f>
        <v>0</v>
      </c>
      <c r="O119" s="147" t="str">
        <f t="shared" ca="1" si="54"/>
        <v/>
      </c>
      <c r="P119" s="148" t="str">
        <f ca="1">IF(N(O119)&gt;0,VLOOKUP(O119,Hraci!$A$1:$I$1000,2,0),IF(TYPE(INDIRECT(ADDRESS(ROW() + $A$9-8 + (ROW()-11)*4,2,1,1,"Internet")))&gt;1,INDIRECT(ADDRESS(ROW() + $A$9-8 + (ROW()-11)*4,2,1,1,"Internet"))," "))</f>
        <v xml:space="preserve"> </v>
      </c>
      <c r="Q119" s="149" t="str">
        <f ca="1">IF(N(O119)&gt;0,VLOOKUP(O119,Hraci!$A$1:$I$1000,3,0)," ")</f>
        <v xml:space="preserve"> </v>
      </c>
      <c r="R119" s="149" t="str">
        <f ca="1">IF(N(O119)&gt;0,VLOOKUP(O119,Hraci!$A$1:$I$1000,5,0),IF(TYPE(INDIRECT(ADDRESS(ROW() + $A$9-8 + (ROW()-11)*4,3,1,1,"Internet")))&gt;1,INDIRECT(ADDRESS(ROW() + $A$9-8 + (ROW()-11)*4,3,1,1,"Internet"))," "))</f>
        <v xml:space="preserve"> </v>
      </c>
      <c r="S119" s="149">
        <f ca="1">IF(N(O119)=0,9999,VLOOKUP(O119,Hraci!$A$1:$I$1000,8,0))</f>
        <v>9999</v>
      </c>
      <c r="T119" s="150">
        <f ca="1">IF(N(O119)=0,0,VLOOKUP(O119,Hraci!$A$1:$I$1000,9,0))</f>
        <v>0</v>
      </c>
      <c r="U119" s="147" t="str">
        <f t="shared" ca="1" si="55"/>
        <v/>
      </c>
      <c r="V119" s="148" t="str">
        <f ca="1">IF(N(U119)&gt;0,VLOOKUP(U119,Hraci!$A$1:$I$1000,2,0),IF(TYPE(INDIRECT(ADDRESS(ROW() + $A$9-7 + (ROW()-11)*4,2,1,1,"Internet")))&gt;1,INDIRECT(ADDRESS(ROW() + $A$9-7 + (ROW()-11)*4,2,1,1,"Internet"))," "))</f>
        <v xml:space="preserve"> </v>
      </c>
      <c r="W119" s="149" t="str">
        <f ca="1">IF(N(U119)&gt;0,VLOOKUP(U119,Hraci!$A$1:$I$1000,3,0)," ")</f>
        <v xml:space="preserve"> </v>
      </c>
      <c r="X119" s="149" t="str">
        <f ca="1">IF(N(U119)&gt;0,VLOOKUP(U119,Hraci!$A$1:$I$1000,5,0),IF(TYPE(INDIRECT(ADDRESS(ROW() + $A$9-7 + (ROW()-11)*4,3,1,1,"Internet")))&gt;1,INDIRECT(ADDRESS(ROW() + $A$9-7 + (ROW()-11)*4,3,1,1,"Internet"))," "))</f>
        <v xml:space="preserve"> </v>
      </c>
      <c r="Y119" s="149">
        <f ca="1">IF(N(U119)=0,9999,VLOOKUP(U119,Hraci!$A$1:$I$1000,8,0))</f>
        <v>9999</v>
      </c>
      <c r="Z119" s="150">
        <f ca="1">IF(N(U119)=0,0,VLOOKUP(U119,Hraci!$A$1:$I$1000,9,0))</f>
        <v>0</v>
      </c>
      <c r="AA119" s="147" t="str">
        <f t="shared" ca="1" si="56"/>
        <v/>
      </c>
      <c r="AB119" s="148" t="str">
        <f ca="1">IF(N(AA119)&gt;0,VLOOKUP(AA119,Hraci!$A$1:$I$1000,2,0)," ")</f>
        <v xml:space="preserve"> </v>
      </c>
      <c r="AC119" s="149" t="str">
        <f ca="1">IF(N(AA119)&gt;0,VLOOKUP(AA119,Hraci!$A$1:$I$1000,3,0)," ")</f>
        <v xml:space="preserve"> </v>
      </c>
      <c r="AD119" s="149" t="str">
        <f ca="1">IF(N(AA119)&gt;0,VLOOKUP(AA119,Hraci!$A$1:$I$1000,5,0)," ")</f>
        <v xml:space="preserve"> </v>
      </c>
      <c r="AE119" s="149">
        <f ca="1">IF(N(AA119)=0,9999,VLOOKUP(AA119,Hraci!$A$1:$I$1000,8,0))</f>
        <v>9999</v>
      </c>
      <c r="AF119" s="150">
        <f ca="1">IF(N(AA119)=0,0,VLOOKUP(AA119,Hraci!$A$1:$I$1000,9,0))</f>
        <v>0</v>
      </c>
      <c r="AG119" s="147"/>
      <c r="AH119" s="151">
        <f ca="1">IF(TYPE(VLOOKUP(H119,Nasazení!$A$3:$E$130,5,0))&lt;4,VLOOKUP(H119,Nasazení!$A$3:$E$130,5,0),0)</f>
        <v>0</v>
      </c>
      <c r="AI119" s="152" t="str">
        <f ca="1">IF(N($AH119)&gt;0,VLOOKUP($AH119,Body!$A$4:$F$259,5,0),"")</f>
        <v/>
      </c>
      <c r="AJ119" s="153" t="str">
        <f ca="1">IF(N($AH119)&gt;0,VLOOKUP($AH119,Body!$A$4:$F$259,6,0),"")</f>
        <v/>
      </c>
      <c r="AK119" s="152" t="str">
        <f ca="1">IF(N($AH119)&gt;0,VLOOKUP($AH119,Body!$A$4:$F$259,2,0),"")</f>
        <v/>
      </c>
      <c r="AL119" s="154" t="str">
        <f t="shared" ca="1" si="57"/>
        <v/>
      </c>
      <c r="AM119" s="155">
        <f t="shared" ca="1" si="58"/>
        <v>0</v>
      </c>
      <c r="AN119" s="72">
        <f ca="1">IF(OR(TYPE(I119)&gt;1,TYPE(MATCH(I119,I120:I$203,0))&gt;1),0,MATCH(I119,I120:I$203,0))+IF(OR(TYPE(I119)&gt;1,TYPE(MATCH(I119,O$11:O$203,0))&gt;1),0,MATCH(I119,O$11:O$203,0))+IF(OR(TYPE(I119)&gt;1,TYPE(MATCH(I119,U$11:U$203,0))&gt;1),0,MATCH(I119,U$11:U$203,0))+IF(OR(TYPE(I119)&gt;1,TYPE(MATCH(I119,AA$11:AA$203,0))&gt;1),0,MATCH(I119,AA$11:AA$203,0))</f>
        <v>0</v>
      </c>
      <c r="AO119" s="72">
        <f ca="1">IF(OR(TYPE(O119)&gt;1,TYPE(MATCH(O119,I$11:I$203,0))&gt;1),0,MATCH(O119,I$11:I$203,0))+IF(OR(TYPE(O119)&gt;1,TYPE(MATCH(O119,O120:O$203,0))&gt;1),0,MATCH(O119,O120:O$203,0))+IF(OR(TYPE(O119)&gt;1,TYPE(MATCH(O119,U$11:U$203,0))&gt;1),0,MATCH(O119,U$11:U$203,0))+IF(OR(TYPE(O119)&gt;1,TYPE(MATCH(O119,AA$11:AA$203,0))&gt;1),0,MATCH(O119,AA$11:AA$203,0))</f>
        <v>0</v>
      </c>
      <c r="AP119" s="72">
        <f ca="1">IF(OR(TYPE(U119)&gt;1,TYPE(MATCH(U119,I$11:I$203,0))&gt;1),0,MATCH(U119,I$11:I$203,0))+IF(OR(TYPE(U119)&gt;1,TYPE(MATCH(U119,O$11:O$203,0))&gt;1),0,MATCH(U119,O$11:O$203,0))+IF(OR(TYPE(U119)&gt;1,TYPE(MATCH(U119,U120:U$203,0))&gt;1),0,MATCH(U119,U120:U$203,0))+IF(OR(TYPE(U119)&gt;1,TYPE(MATCH(U119,AA$11:AA$203,0))&gt;1),0,MATCH(U119,AA$11:AA$203,0))</f>
        <v>0</v>
      </c>
      <c r="AQ119" s="72">
        <f ca="1">IF(OR(TYPE(AA119)&gt;1,TYPE(MATCH(AA119,I$11:I$203,0))&gt;1),0,MATCH(AA119,I$11:I$203,0))+IF(OR(TYPE(AA119)&gt;1,TYPE(MATCH(AA119,O$11:O$203,0))&gt;1),0,MATCH(AA119,O$11:O$203,0))+IF(OR(TYPE(AA119)&gt;1,TYPE(MATCH(AA119,U$11:U$203,0))&gt;1),0,MATCH(U119,U$11:U$203,0))+IF(OR(TYPE(AA119)&gt;1,TYPE(MATCH(AA119,AA120:AA$203,0))&gt;1),0,MATCH(AA119,AA120:AA$203,0))</f>
        <v>0</v>
      </c>
      <c r="AR119" s="72">
        <f t="shared" ca="1" si="59"/>
        <v>0</v>
      </c>
    </row>
    <row r="120" spans="1:44" ht="14.25">
      <c r="A120" s="103">
        <f t="shared" ca="1" si="45"/>
        <v>0</v>
      </c>
      <c r="B120" s="103">
        <f t="shared" ca="1" si="46"/>
        <v>0</v>
      </c>
      <c r="C120" s="156">
        <f t="shared" ca="1" si="47"/>
        <v>0</v>
      </c>
      <c r="D120" s="103">
        <f t="shared" ca="1" si="48"/>
        <v>99999</v>
      </c>
      <c r="E120" s="103">
        <f t="shared" ca="1" si="49"/>
        <v>9999</v>
      </c>
      <c r="F120" s="104" t="str">
        <f t="shared" ca="1" si="50"/>
        <v>00000000000000000000639552</v>
      </c>
      <c r="G120" s="145">
        <f t="shared" ca="1" si="51"/>
        <v>1</v>
      </c>
      <c r="H120" s="146">
        <f t="shared" si="52"/>
        <v>110</v>
      </c>
      <c r="I120" s="147" t="str">
        <f t="shared" ca="1" si="53"/>
        <v/>
      </c>
      <c r="J120" s="148" t="str">
        <f ca="1">IF(N(I120)&gt;0,VLOOKUP(I120,Hraci!$A$1:$I$1000,2,0),IF(TYPE(INDIRECT(ADDRESS(ROW() + $A$9-9 + (ROW()-11)*4,2,1,1,"Internet")))&gt;1,INDIRECT(ADDRESS(ROW() + $A$9-9 + (ROW()-11)*4,2,1,1,"Internet"))," "))</f>
        <v xml:space="preserve"> </v>
      </c>
      <c r="K120" s="149" t="str">
        <f ca="1">IF(N(I120)&gt;0,VLOOKUP(I120,Hraci!$A$1:$I$1000,3,0)," ")</f>
        <v xml:space="preserve"> </v>
      </c>
      <c r="L120" s="149" t="str">
        <f ca="1">IF(N(I120)&gt;0,VLOOKUP(I120,Hraci!$A$1:$I$1000,5,0),IF(TYPE(INDIRECT(ADDRESS(ROW() + $A$9-9 + (ROW()-11)*4,3,1,1,"Internet")))&gt;1,INDIRECT(ADDRESS(ROW() + $A$9-9 + (ROW()-11)*4,3,1,1,"Internet"))," "))</f>
        <v xml:space="preserve"> </v>
      </c>
      <c r="M120" s="149">
        <f ca="1">IF(N(I120)=0,9999,VLOOKUP(I120,Hraci!$A$1:$I$1000,8,0))</f>
        <v>9999</v>
      </c>
      <c r="N120" s="150">
        <f ca="1">IF(N(I120)=0,0,VLOOKUP(I120,Hraci!$A$1:$I$1000,9,0))</f>
        <v>0</v>
      </c>
      <c r="O120" s="147" t="str">
        <f t="shared" ca="1" si="54"/>
        <v/>
      </c>
      <c r="P120" s="148" t="str">
        <f ca="1">IF(N(O120)&gt;0,VLOOKUP(O120,Hraci!$A$1:$I$1000,2,0),IF(TYPE(INDIRECT(ADDRESS(ROW() + $A$9-8 + (ROW()-11)*4,2,1,1,"Internet")))&gt;1,INDIRECT(ADDRESS(ROW() + $A$9-8 + (ROW()-11)*4,2,1,1,"Internet"))," "))</f>
        <v xml:space="preserve"> </v>
      </c>
      <c r="Q120" s="149" t="str">
        <f ca="1">IF(N(O120)&gt;0,VLOOKUP(O120,Hraci!$A$1:$I$1000,3,0)," ")</f>
        <v xml:space="preserve"> </v>
      </c>
      <c r="R120" s="149" t="str">
        <f ca="1">IF(N(O120)&gt;0,VLOOKUP(O120,Hraci!$A$1:$I$1000,5,0),IF(TYPE(INDIRECT(ADDRESS(ROW() + $A$9-8 + (ROW()-11)*4,3,1,1,"Internet")))&gt;1,INDIRECT(ADDRESS(ROW() + $A$9-8 + (ROW()-11)*4,3,1,1,"Internet"))," "))</f>
        <v xml:space="preserve"> </v>
      </c>
      <c r="S120" s="149">
        <f ca="1">IF(N(O120)=0,9999,VLOOKUP(O120,Hraci!$A$1:$I$1000,8,0))</f>
        <v>9999</v>
      </c>
      <c r="T120" s="150">
        <f ca="1">IF(N(O120)=0,0,VLOOKUP(O120,Hraci!$A$1:$I$1000,9,0))</f>
        <v>0</v>
      </c>
      <c r="U120" s="147" t="str">
        <f t="shared" ca="1" si="55"/>
        <v/>
      </c>
      <c r="V120" s="148" t="str">
        <f ca="1">IF(N(U120)&gt;0,VLOOKUP(U120,Hraci!$A$1:$I$1000,2,0),IF(TYPE(INDIRECT(ADDRESS(ROW() + $A$9-7 + (ROW()-11)*4,2,1,1,"Internet")))&gt;1,INDIRECT(ADDRESS(ROW() + $A$9-7 + (ROW()-11)*4,2,1,1,"Internet"))," "))</f>
        <v xml:space="preserve"> </v>
      </c>
      <c r="W120" s="149" t="str">
        <f ca="1">IF(N(U120)&gt;0,VLOOKUP(U120,Hraci!$A$1:$I$1000,3,0)," ")</f>
        <v xml:space="preserve"> </v>
      </c>
      <c r="X120" s="149" t="str">
        <f ca="1">IF(N(U120)&gt;0,VLOOKUP(U120,Hraci!$A$1:$I$1000,5,0),IF(TYPE(INDIRECT(ADDRESS(ROW() + $A$9-7 + (ROW()-11)*4,3,1,1,"Internet")))&gt;1,INDIRECT(ADDRESS(ROW() + $A$9-7 + (ROW()-11)*4,3,1,1,"Internet"))," "))</f>
        <v xml:space="preserve"> </v>
      </c>
      <c r="Y120" s="149">
        <f ca="1">IF(N(U120)=0,9999,VLOOKUP(U120,Hraci!$A$1:$I$1000,8,0))</f>
        <v>9999</v>
      </c>
      <c r="Z120" s="150">
        <f ca="1">IF(N(U120)=0,0,VLOOKUP(U120,Hraci!$A$1:$I$1000,9,0))</f>
        <v>0</v>
      </c>
      <c r="AA120" s="147" t="str">
        <f t="shared" ca="1" si="56"/>
        <v/>
      </c>
      <c r="AB120" s="148" t="str">
        <f ca="1">IF(N(AA120)&gt;0,VLOOKUP(AA120,Hraci!$A$1:$I$1000,2,0)," ")</f>
        <v xml:space="preserve"> </v>
      </c>
      <c r="AC120" s="149" t="str">
        <f ca="1">IF(N(AA120)&gt;0,VLOOKUP(AA120,Hraci!$A$1:$I$1000,3,0)," ")</f>
        <v xml:space="preserve"> </v>
      </c>
      <c r="AD120" s="149" t="str">
        <f ca="1">IF(N(AA120)&gt;0,VLOOKUP(AA120,Hraci!$A$1:$I$1000,5,0)," ")</f>
        <v xml:space="preserve"> </v>
      </c>
      <c r="AE120" s="149">
        <f ca="1">IF(N(AA120)=0,9999,VLOOKUP(AA120,Hraci!$A$1:$I$1000,8,0))</f>
        <v>9999</v>
      </c>
      <c r="AF120" s="150">
        <f ca="1">IF(N(AA120)=0,0,VLOOKUP(AA120,Hraci!$A$1:$I$1000,9,0))</f>
        <v>0</v>
      </c>
      <c r="AG120" s="147"/>
      <c r="AH120" s="151">
        <f ca="1">IF(TYPE(VLOOKUP(H120,Nasazení!$A$3:$E$130,5,0))&lt;4,VLOOKUP(H120,Nasazení!$A$3:$E$130,5,0),0)</f>
        <v>0</v>
      </c>
      <c r="AI120" s="152" t="str">
        <f ca="1">IF(N($AH120)&gt;0,VLOOKUP($AH120,Body!$A$4:$F$259,5,0),"")</f>
        <v/>
      </c>
      <c r="AJ120" s="153" t="str">
        <f ca="1">IF(N($AH120)&gt;0,VLOOKUP($AH120,Body!$A$4:$F$259,6,0),"")</f>
        <v/>
      </c>
      <c r="AK120" s="152" t="str">
        <f ca="1">IF(N($AH120)&gt;0,VLOOKUP($AH120,Body!$A$4:$F$259,2,0),"")</f>
        <v/>
      </c>
      <c r="AL120" s="154" t="str">
        <f t="shared" ca="1" si="57"/>
        <v/>
      </c>
      <c r="AM120" s="155">
        <f t="shared" ca="1" si="58"/>
        <v>0</v>
      </c>
      <c r="AN120" s="72">
        <f ca="1">IF(OR(TYPE(I120)&gt;1,TYPE(MATCH(I120,I121:I$203,0))&gt;1),0,MATCH(I120,I121:I$203,0))+IF(OR(TYPE(I120)&gt;1,TYPE(MATCH(I120,O$11:O$203,0))&gt;1),0,MATCH(I120,O$11:O$203,0))+IF(OR(TYPE(I120)&gt;1,TYPE(MATCH(I120,U$11:U$203,0))&gt;1),0,MATCH(I120,U$11:U$203,0))+IF(OR(TYPE(I120)&gt;1,TYPE(MATCH(I120,AA$11:AA$203,0))&gt;1),0,MATCH(I120,AA$11:AA$203,0))</f>
        <v>0</v>
      </c>
      <c r="AO120" s="72">
        <f ca="1">IF(OR(TYPE(O120)&gt;1,TYPE(MATCH(O120,I$11:I$203,0))&gt;1),0,MATCH(O120,I$11:I$203,0))+IF(OR(TYPE(O120)&gt;1,TYPE(MATCH(O120,O121:O$203,0))&gt;1),0,MATCH(O120,O121:O$203,0))+IF(OR(TYPE(O120)&gt;1,TYPE(MATCH(O120,U$11:U$203,0))&gt;1),0,MATCH(O120,U$11:U$203,0))+IF(OR(TYPE(O120)&gt;1,TYPE(MATCH(O120,AA$11:AA$203,0))&gt;1),0,MATCH(O120,AA$11:AA$203,0))</f>
        <v>0</v>
      </c>
      <c r="AP120" s="72">
        <f ca="1">IF(OR(TYPE(U120)&gt;1,TYPE(MATCH(U120,I$11:I$203,0))&gt;1),0,MATCH(U120,I$11:I$203,0))+IF(OR(TYPE(U120)&gt;1,TYPE(MATCH(U120,O$11:O$203,0))&gt;1),0,MATCH(U120,O$11:O$203,0))+IF(OR(TYPE(U120)&gt;1,TYPE(MATCH(U120,U121:U$203,0))&gt;1),0,MATCH(U120,U121:U$203,0))+IF(OR(TYPE(U120)&gt;1,TYPE(MATCH(U120,AA$11:AA$203,0))&gt;1),0,MATCH(U120,AA$11:AA$203,0))</f>
        <v>0</v>
      </c>
      <c r="AQ120" s="72">
        <f ca="1">IF(OR(TYPE(AA120)&gt;1,TYPE(MATCH(AA120,I$11:I$203,0))&gt;1),0,MATCH(AA120,I$11:I$203,0))+IF(OR(TYPE(AA120)&gt;1,TYPE(MATCH(AA120,O$11:O$203,0))&gt;1),0,MATCH(AA120,O$11:O$203,0))+IF(OR(TYPE(AA120)&gt;1,TYPE(MATCH(AA120,U$11:U$203,0))&gt;1),0,MATCH(U120,U$11:U$203,0))+IF(OR(TYPE(AA120)&gt;1,TYPE(MATCH(AA120,AA121:AA$203,0))&gt;1),0,MATCH(AA120,AA121:AA$203,0))</f>
        <v>0</v>
      </c>
      <c r="AR120" s="72">
        <f t="shared" ca="1" si="59"/>
        <v>0</v>
      </c>
    </row>
    <row r="121" spans="1:44" ht="14.25">
      <c r="A121" s="103">
        <f t="shared" ca="1" si="45"/>
        <v>0</v>
      </c>
      <c r="B121" s="103">
        <f t="shared" ca="1" si="46"/>
        <v>0</v>
      </c>
      <c r="C121" s="156">
        <f t="shared" ca="1" si="47"/>
        <v>0</v>
      </c>
      <c r="D121" s="103">
        <f t="shared" ca="1" si="48"/>
        <v>99999</v>
      </c>
      <c r="E121" s="103">
        <f t="shared" ca="1" si="49"/>
        <v>9999</v>
      </c>
      <c r="F121" s="104" t="str">
        <f t="shared" ca="1" si="50"/>
        <v>00000000000000000000176579</v>
      </c>
      <c r="G121" s="145">
        <f t="shared" ca="1" si="51"/>
        <v>1</v>
      </c>
      <c r="H121" s="146">
        <f t="shared" si="52"/>
        <v>111</v>
      </c>
      <c r="I121" s="147" t="str">
        <f t="shared" ca="1" si="53"/>
        <v/>
      </c>
      <c r="J121" s="148" t="str">
        <f ca="1">IF(N(I121)&gt;0,VLOOKUP(I121,Hraci!$A$1:$I$1000,2,0),IF(TYPE(INDIRECT(ADDRESS(ROW() + $A$9-9 + (ROW()-11)*4,2,1,1,"Internet")))&gt;1,INDIRECT(ADDRESS(ROW() + $A$9-9 + (ROW()-11)*4,2,1,1,"Internet"))," "))</f>
        <v xml:space="preserve"> </v>
      </c>
      <c r="K121" s="149" t="str">
        <f ca="1">IF(N(I121)&gt;0,VLOOKUP(I121,Hraci!$A$1:$I$1000,3,0)," ")</f>
        <v xml:space="preserve"> </v>
      </c>
      <c r="L121" s="149" t="str">
        <f ca="1">IF(N(I121)&gt;0,VLOOKUP(I121,Hraci!$A$1:$I$1000,5,0),IF(TYPE(INDIRECT(ADDRESS(ROW() + $A$9-9 + (ROW()-11)*4,3,1,1,"Internet")))&gt;1,INDIRECT(ADDRESS(ROW() + $A$9-9 + (ROW()-11)*4,3,1,1,"Internet"))," "))</f>
        <v xml:space="preserve"> </v>
      </c>
      <c r="M121" s="149">
        <f ca="1">IF(N(I121)=0,9999,VLOOKUP(I121,Hraci!$A$1:$I$1000,8,0))</f>
        <v>9999</v>
      </c>
      <c r="N121" s="150">
        <f ca="1">IF(N(I121)=0,0,VLOOKUP(I121,Hraci!$A$1:$I$1000,9,0))</f>
        <v>0</v>
      </c>
      <c r="O121" s="147" t="str">
        <f t="shared" ca="1" si="54"/>
        <v/>
      </c>
      <c r="P121" s="148" t="str">
        <f ca="1">IF(N(O121)&gt;0,VLOOKUP(O121,Hraci!$A$1:$I$1000,2,0),IF(TYPE(INDIRECT(ADDRESS(ROW() + $A$9-8 + (ROW()-11)*4,2,1,1,"Internet")))&gt;1,INDIRECT(ADDRESS(ROW() + $A$9-8 + (ROW()-11)*4,2,1,1,"Internet"))," "))</f>
        <v xml:space="preserve"> </v>
      </c>
      <c r="Q121" s="149" t="str">
        <f ca="1">IF(N(O121)&gt;0,VLOOKUP(O121,Hraci!$A$1:$I$1000,3,0)," ")</f>
        <v xml:space="preserve"> </v>
      </c>
      <c r="R121" s="149" t="str">
        <f ca="1">IF(N(O121)&gt;0,VLOOKUP(O121,Hraci!$A$1:$I$1000,5,0),IF(TYPE(INDIRECT(ADDRESS(ROW() + $A$9-8 + (ROW()-11)*4,3,1,1,"Internet")))&gt;1,INDIRECT(ADDRESS(ROW() + $A$9-8 + (ROW()-11)*4,3,1,1,"Internet"))," "))</f>
        <v xml:space="preserve"> </v>
      </c>
      <c r="S121" s="149">
        <f ca="1">IF(N(O121)=0,9999,VLOOKUP(O121,Hraci!$A$1:$I$1000,8,0))</f>
        <v>9999</v>
      </c>
      <c r="T121" s="150">
        <f ca="1">IF(N(O121)=0,0,VLOOKUP(O121,Hraci!$A$1:$I$1000,9,0))</f>
        <v>0</v>
      </c>
      <c r="U121" s="147" t="str">
        <f t="shared" ca="1" si="55"/>
        <v/>
      </c>
      <c r="V121" s="148" t="str">
        <f ca="1">IF(N(U121)&gt;0,VLOOKUP(U121,Hraci!$A$1:$I$1000,2,0),IF(TYPE(INDIRECT(ADDRESS(ROW() + $A$9-7 + (ROW()-11)*4,2,1,1,"Internet")))&gt;1,INDIRECT(ADDRESS(ROW() + $A$9-7 + (ROW()-11)*4,2,1,1,"Internet"))," "))</f>
        <v xml:space="preserve"> </v>
      </c>
      <c r="W121" s="149" t="str">
        <f ca="1">IF(N(U121)&gt;0,VLOOKUP(U121,Hraci!$A$1:$I$1000,3,0)," ")</f>
        <v xml:space="preserve"> </v>
      </c>
      <c r="X121" s="149" t="str">
        <f ca="1">IF(N(U121)&gt;0,VLOOKUP(U121,Hraci!$A$1:$I$1000,5,0),IF(TYPE(INDIRECT(ADDRESS(ROW() + $A$9-7 + (ROW()-11)*4,3,1,1,"Internet")))&gt;1,INDIRECT(ADDRESS(ROW() + $A$9-7 + (ROW()-11)*4,3,1,1,"Internet"))," "))</f>
        <v xml:space="preserve"> </v>
      </c>
      <c r="Y121" s="149">
        <f ca="1">IF(N(U121)=0,9999,VLOOKUP(U121,Hraci!$A$1:$I$1000,8,0))</f>
        <v>9999</v>
      </c>
      <c r="Z121" s="150">
        <f ca="1">IF(N(U121)=0,0,VLOOKUP(U121,Hraci!$A$1:$I$1000,9,0))</f>
        <v>0</v>
      </c>
      <c r="AA121" s="147" t="str">
        <f t="shared" ca="1" si="56"/>
        <v/>
      </c>
      <c r="AB121" s="148" t="str">
        <f ca="1">IF(N(AA121)&gt;0,VLOOKUP(AA121,Hraci!$A$1:$I$1000,2,0)," ")</f>
        <v xml:space="preserve"> </v>
      </c>
      <c r="AC121" s="149" t="str">
        <f ca="1">IF(N(AA121)&gt;0,VLOOKUP(AA121,Hraci!$A$1:$I$1000,3,0)," ")</f>
        <v xml:space="preserve"> </v>
      </c>
      <c r="AD121" s="149" t="str">
        <f ca="1">IF(N(AA121)&gt;0,VLOOKUP(AA121,Hraci!$A$1:$I$1000,5,0)," ")</f>
        <v xml:space="preserve"> </v>
      </c>
      <c r="AE121" s="149">
        <f ca="1">IF(N(AA121)=0,9999,VLOOKUP(AA121,Hraci!$A$1:$I$1000,8,0))</f>
        <v>9999</v>
      </c>
      <c r="AF121" s="150">
        <f ca="1">IF(N(AA121)=0,0,VLOOKUP(AA121,Hraci!$A$1:$I$1000,9,0))</f>
        <v>0</v>
      </c>
      <c r="AG121" s="147"/>
      <c r="AH121" s="151">
        <f ca="1">IF(TYPE(VLOOKUP(H121,Nasazení!$A$3:$E$130,5,0))&lt;4,VLOOKUP(H121,Nasazení!$A$3:$E$130,5,0),0)</f>
        <v>0</v>
      </c>
      <c r="AI121" s="152" t="str">
        <f ca="1">IF(N($AH121)&gt;0,VLOOKUP($AH121,Body!$A$4:$F$259,5,0),"")</f>
        <v/>
      </c>
      <c r="AJ121" s="153" t="str">
        <f ca="1">IF(N($AH121)&gt;0,VLOOKUP($AH121,Body!$A$4:$F$259,6,0),"")</f>
        <v/>
      </c>
      <c r="AK121" s="152" t="str">
        <f ca="1">IF(N($AH121)&gt;0,VLOOKUP($AH121,Body!$A$4:$F$259,2,0),"")</f>
        <v/>
      </c>
      <c r="AL121" s="154" t="str">
        <f t="shared" ca="1" si="57"/>
        <v/>
      </c>
      <c r="AM121" s="155">
        <f t="shared" ca="1" si="58"/>
        <v>0</v>
      </c>
      <c r="AN121" s="72">
        <f ca="1">IF(OR(TYPE(I121)&gt;1,TYPE(MATCH(I121,I122:I$203,0))&gt;1),0,MATCH(I121,I122:I$203,0))+IF(OR(TYPE(I121)&gt;1,TYPE(MATCH(I121,O$11:O$203,0))&gt;1),0,MATCH(I121,O$11:O$203,0))+IF(OR(TYPE(I121)&gt;1,TYPE(MATCH(I121,U$11:U$203,0))&gt;1),0,MATCH(I121,U$11:U$203,0))+IF(OR(TYPE(I121)&gt;1,TYPE(MATCH(I121,AA$11:AA$203,0))&gt;1),0,MATCH(I121,AA$11:AA$203,0))</f>
        <v>0</v>
      </c>
      <c r="AO121" s="72">
        <f ca="1">IF(OR(TYPE(O121)&gt;1,TYPE(MATCH(O121,I$11:I$203,0))&gt;1),0,MATCH(O121,I$11:I$203,0))+IF(OR(TYPE(O121)&gt;1,TYPE(MATCH(O121,O122:O$203,0))&gt;1),0,MATCH(O121,O122:O$203,0))+IF(OR(TYPE(O121)&gt;1,TYPE(MATCH(O121,U$11:U$203,0))&gt;1),0,MATCH(O121,U$11:U$203,0))+IF(OR(TYPE(O121)&gt;1,TYPE(MATCH(O121,AA$11:AA$203,0))&gt;1),0,MATCH(O121,AA$11:AA$203,0))</f>
        <v>0</v>
      </c>
      <c r="AP121" s="72">
        <f ca="1">IF(OR(TYPE(U121)&gt;1,TYPE(MATCH(U121,I$11:I$203,0))&gt;1),0,MATCH(U121,I$11:I$203,0))+IF(OR(TYPE(U121)&gt;1,TYPE(MATCH(U121,O$11:O$203,0))&gt;1),0,MATCH(U121,O$11:O$203,0))+IF(OR(TYPE(U121)&gt;1,TYPE(MATCH(U121,U122:U$203,0))&gt;1),0,MATCH(U121,U122:U$203,0))+IF(OR(TYPE(U121)&gt;1,TYPE(MATCH(U121,AA$11:AA$203,0))&gt;1),0,MATCH(U121,AA$11:AA$203,0))</f>
        <v>0</v>
      </c>
      <c r="AQ121" s="72">
        <f ca="1">IF(OR(TYPE(AA121)&gt;1,TYPE(MATCH(AA121,I$11:I$203,0))&gt;1),0,MATCH(AA121,I$11:I$203,0))+IF(OR(TYPE(AA121)&gt;1,TYPE(MATCH(AA121,O$11:O$203,0))&gt;1),0,MATCH(AA121,O$11:O$203,0))+IF(OR(TYPE(AA121)&gt;1,TYPE(MATCH(AA121,U$11:U$203,0))&gt;1),0,MATCH(U121,U$11:U$203,0))+IF(OR(TYPE(AA121)&gt;1,TYPE(MATCH(AA121,AA122:AA$203,0))&gt;1),0,MATCH(AA121,AA122:AA$203,0))</f>
        <v>0</v>
      </c>
      <c r="AR121" s="72">
        <f t="shared" ca="1" si="59"/>
        <v>0</v>
      </c>
    </row>
    <row r="122" spans="1:44" ht="14.25">
      <c r="A122" s="103">
        <f t="shared" ca="1" si="45"/>
        <v>0</v>
      </c>
      <c r="B122" s="103">
        <f t="shared" ca="1" si="46"/>
        <v>0</v>
      </c>
      <c r="C122" s="156">
        <f t="shared" ca="1" si="47"/>
        <v>0</v>
      </c>
      <c r="D122" s="103">
        <f t="shared" ca="1" si="48"/>
        <v>99999</v>
      </c>
      <c r="E122" s="103">
        <f t="shared" ca="1" si="49"/>
        <v>9999</v>
      </c>
      <c r="F122" s="104" t="str">
        <f t="shared" ca="1" si="50"/>
        <v>00000000000000000000167565</v>
      </c>
      <c r="G122" s="145">
        <f t="shared" ca="1" si="51"/>
        <v>1</v>
      </c>
      <c r="H122" s="146">
        <f t="shared" si="52"/>
        <v>112</v>
      </c>
      <c r="I122" s="147" t="str">
        <f t="shared" ca="1" si="53"/>
        <v/>
      </c>
      <c r="J122" s="148" t="str">
        <f ca="1">IF(N(I122)&gt;0,VLOOKUP(I122,Hraci!$A$1:$I$1000,2,0),IF(TYPE(INDIRECT(ADDRESS(ROW() + $A$9-9 + (ROW()-11)*4,2,1,1,"Internet")))&gt;1,INDIRECT(ADDRESS(ROW() + $A$9-9 + (ROW()-11)*4,2,1,1,"Internet"))," "))</f>
        <v xml:space="preserve"> </v>
      </c>
      <c r="K122" s="149" t="str">
        <f ca="1">IF(N(I122)&gt;0,VLOOKUP(I122,Hraci!$A$1:$I$1000,3,0)," ")</f>
        <v xml:space="preserve"> </v>
      </c>
      <c r="L122" s="149" t="str">
        <f ca="1">IF(N(I122)&gt;0,VLOOKUP(I122,Hraci!$A$1:$I$1000,5,0),IF(TYPE(INDIRECT(ADDRESS(ROW() + $A$9-9 + (ROW()-11)*4,3,1,1,"Internet")))&gt;1,INDIRECT(ADDRESS(ROW() + $A$9-9 + (ROW()-11)*4,3,1,1,"Internet"))," "))</f>
        <v xml:space="preserve"> </v>
      </c>
      <c r="M122" s="149">
        <f ca="1">IF(N(I122)=0,9999,VLOOKUP(I122,Hraci!$A$1:$I$1000,8,0))</f>
        <v>9999</v>
      </c>
      <c r="N122" s="150">
        <f ca="1">IF(N(I122)=0,0,VLOOKUP(I122,Hraci!$A$1:$I$1000,9,0))</f>
        <v>0</v>
      </c>
      <c r="O122" s="147" t="str">
        <f t="shared" ca="1" si="54"/>
        <v/>
      </c>
      <c r="P122" s="148" t="str">
        <f ca="1">IF(N(O122)&gt;0,VLOOKUP(O122,Hraci!$A$1:$I$1000,2,0),IF(TYPE(INDIRECT(ADDRESS(ROW() + $A$9-8 + (ROW()-11)*4,2,1,1,"Internet")))&gt;1,INDIRECT(ADDRESS(ROW() + $A$9-8 + (ROW()-11)*4,2,1,1,"Internet"))," "))</f>
        <v xml:space="preserve"> </v>
      </c>
      <c r="Q122" s="149" t="str">
        <f ca="1">IF(N(O122)&gt;0,VLOOKUP(O122,Hraci!$A$1:$I$1000,3,0)," ")</f>
        <v xml:space="preserve"> </v>
      </c>
      <c r="R122" s="149" t="str">
        <f ca="1">IF(N(O122)&gt;0,VLOOKUP(O122,Hraci!$A$1:$I$1000,5,0),IF(TYPE(INDIRECT(ADDRESS(ROW() + $A$9-8 + (ROW()-11)*4,3,1,1,"Internet")))&gt;1,INDIRECT(ADDRESS(ROW() + $A$9-8 + (ROW()-11)*4,3,1,1,"Internet"))," "))</f>
        <v xml:space="preserve"> </v>
      </c>
      <c r="S122" s="149">
        <f ca="1">IF(N(O122)=0,9999,VLOOKUP(O122,Hraci!$A$1:$I$1000,8,0))</f>
        <v>9999</v>
      </c>
      <c r="T122" s="150">
        <f ca="1">IF(N(O122)=0,0,VLOOKUP(O122,Hraci!$A$1:$I$1000,9,0))</f>
        <v>0</v>
      </c>
      <c r="U122" s="147" t="str">
        <f t="shared" ca="1" si="55"/>
        <v/>
      </c>
      <c r="V122" s="148" t="str">
        <f ca="1">IF(N(U122)&gt;0,VLOOKUP(U122,Hraci!$A$1:$I$1000,2,0),IF(TYPE(INDIRECT(ADDRESS(ROW() + $A$9-7 + (ROW()-11)*4,2,1,1,"Internet")))&gt;1,INDIRECT(ADDRESS(ROW() + $A$9-7 + (ROW()-11)*4,2,1,1,"Internet"))," "))</f>
        <v xml:space="preserve"> </v>
      </c>
      <c r="W122" s="149" t="str">
        <f ca="1">IF(N(U122)&gt;0,VLOOKUP(U122,Hraci!$A$1:$I$1000,3,0)," ")</f>
        <v xml:space="preserve"> </v>
      </c>
      <c r="X122" s="149" t="str">
        <f ca="1">IF(N(U122)&gt;0,VLOOKUP(U122,Hraci!$A$1:$I$1000,5,0),IF(TYPE(INDIRECT(ADDRESS(ROW() + $A$9-7 + (ROW()-11)*4,3,1,1,"Internet")))&gt;1,INDIRECT(ADDRESS(ROW() + $A$9-7 + (ROW()-11)*4,3,1,1,"Internet"))," "))</f>
        <v xml:space="preserve"> </v>
      </c>
      <c r="Y122" s="149">
        <f ca="1">IF(N(U122)=0,9999,VLOOKUP(U122,Hraci!$A$1:$I$1000,8,0))</f>
        <v>9999</v>
      </c>
      <c r="Z122" s="150">
        <f ca="1">IF(N(U122)=0,0,VLOOKUP(U122,Hraci!$A$1:$I$1000,9,0))</f>
        <v>0</v>
      </c>
      <c r="AA122" s="147" t="str">
        <f t="shared" ca="1" si="56"/>
        <v/>
      </c>
      <c r="AB122" s="148" t="str">
        <f ca="1">IF(N(AA122)&gt;0,VLOOKUP(AA122,Hraci!$A$1:$I$1000,2,0)," ")</f>
        <v xml:space="preserve"> </v>
      </c>
      <c r="AC122" s="149" t="str">
        <f ca="1">IF(N(AA122)&gt;0,VLOOKUP(AA122,Hraci!$A$1:$I$1000,3,0)," ")</f>
        <v xml:space="preserve"> </v>
      </c>
      <c r="AD122" s="149" t="str">
        <f ca="1">IF(N(AA122)&gt;0,VLOOKUP(AA122,Hraci!$A$1:$I$1000,5,0)," ")</f>
        <v xml:space="preserve"> </v>
      </c>
      <c r="AE122" s="149">
        <f ca="1">IF(N(AA122)=0,9999,VLOOKUP(AA122,Hraci!$A$1:$I$1000,8,0))</f>
        <v>9999</v>
      </c>
      <c r="AF122" s="150">
        <f ca="1">IF(N(AA122)=0,0,VLOOKUP(AA122,Hraci!$A$1:$I$1000,9,0))</f>
        <v>0</v>
      </c>
      <c r="AG122" s="147"/>
      <c r="AH122" s="151">
        <f ca="1">IF(TYPE(VLOOKUP(H122,Nasazení!$A$3:$E$130,5,0))&lt;4,VLOOKUP(H122,Nasazení!$A$3:$E$130,5,0),0)</f>
        <v>0</v>
      </c>
      <c r="AI122" s="152" t="str">
        <f ca="1">IF(N($AH122)&gt;0,VLOOKUP($AH122,Body!$A$4:$F$259,5,0),"")</f>
        <v/>
      </c>
      <c r="AJ122" s="153" t="str">
        <f ca="1">IF(N($AH122)&gt;0,VLOOKUP($AH122,Body!$A$4:$F$259,6,0),"")</f>
        <v/>
      </c>
      <c r="AK122" s="152" t="str">
        <f ca="1">IF(N($AH122)&gt;0,VLOOKUP($AH122,Body!$A$4:$F$259,2,0),"")</f>
        <v/>
      </c>
      <c r="AL122" s="154" t="str">
        <f t="shared" ca="1" si="57"/>
        <v/>
      </c>
      <c r="AM122" s="155">
        <f t="shared" ca="1" si="58"/>
        <v>0</v>
      </c>
      <c r="AN122" s="72">
        <f ca="1">IF(OR(TYPE(I122)&gt;1,TYPE(MATCH(I122,I123:I$203,0))&gt;1),0,MATCH(I122,I123:I$203,0))+IF(OR(TYPE(I122)&gt;1,TYPE(MATCH(I122,O$11:O$203,0))&gt;1),0,MATCH(I122,O$11:O$203,0))+IF(OR(TYPE(I122)&gt;1,TYPE(MATCH(I122,U$11:U$203,0))&gt;1),0,MATCH(I122,U$11:U$203,0))+IF(OR(TYPE(I122)&gt;1,TYPE(MATCH(I122,AA$11:AA$203,0))&gt;1),0,MATCH(I122,AA$11:AA$203,0))</f>
        <v>0</v>
      </c>
      <c r="AO122" s="72">
        <f ca="1">IF(OR(TYPE(O122)&gt;1,TYPE(MATCH(O122,I$11:I$203,0))&gt;1),0,MATCH(O122,I$11:I$203,0))+IF(OR(TYPE(O122)&gt;1,TYPE(MATCH(O122,O123:O$203,0))&gt;1),0,MATCH(O122,O123:O$203,0))+IF(OR(TYPE(O122)&gt;1,TYPE(MATCH(O122,U$11:U$203,0))&gt;1),0,MATCH(O122,U$11:U$203,0))+IF(OR(TYPE(O122)&gt;1,TYPE(MATCH(O122,AA$11:AA$203,0))&gt;1),0,MATCH(O122,AA$11:AA$203,0))</f>
        <v>0</v>
      </c>
      <c r="AP122" s="72">
        <f ca="1">IF(OR(TYPE(U122)&gt;1,TYPE(MATCH(U122,I$11:I$203,0))&gt;1),0,MATCH(U122,I$11:I$203,0))+IF(OR(TYPE(U122)&gt;1,TYPE(MATCH(U122,O$11:O$203,0))&gt;1),0,MATCH(U122,O$11:O$203,0))+IF(OR(TYPE(U122)&gt;1,TYPE(MATCH(U122,U123:U$203,0))&gt;1),0,MATCH(U122,U123:U$203,0))+IF(OR(TYPE(U122)&gt;1,TYPE(MATCH(U122,AA$11:AA$203,0))&gt;1),0,MATCH(U122,AA$11:AA$203,0))</f>
        <v>0</v>
      </c>
      <c r="AQ122" s="72">
        <f ca="1">IF(OR(TYPE(AA122)&gt;1,TYPE(MATCH(AA122,I$11:I$203,0))&gt;1),0,MATCH(AA122,I$11:I$203,0))+IF(OR(TYPE(AA122)&gt;1,TYPE(MATCH(AA122,O$11:O$203,0))&gt;1),0,MATCH(AA122,O$11:O$203,0))+IF(OR(TYPE(AA122)&gt;1,TYPE(MATCH(AA122,U$11:U$203,0))&gt;1),0,MATCH(U122,U$11:U$203,0))+IF(OR(TYPE(AA122)&gt;1,TYPE(MATCH(AA122,AA123:AA$203,0))&gt;1),0,MATCH(AA122,AA123:AA$203,0))</f>
        <v>0</v>
      </c>
      <c r="AR122" s="72">
        <f t="shared" ca="1" si="59"/>
        <v>0</v>
      </c>
    </row>
    <row r="123" spans="1:44" ht="14.25">
      <c r="A123" s="103">
        <f t="shared" ca="1" si="45"/>
        <v>0</v>
      </c>
      <c r="B123" s="103">
        <f t="shared" ca="1" si="46"/>
        <v>0</v>
      </c>
      <c r="C123" s="156">
        <f t="shared" ca="1" si="47"/>
        <v>0</v>
      </c>
      <c r="D123" s="103">
        <f t="shared" ca="1" si="48"/>
        <v>99999</v>
      </c>
      <c r="E123" s="103">
        <f t="shared" ca="1" si="49"/>
        <v>9999</v>
      </c>
      <c r="F123" s="104" t="str">
        <f t="shared" ca="1" si="50"/>
        <v>00000000000000000000034390</v>
      </c>
      <c r="G123" s="145">
        <f t="shared" ca="1" si="51"/>
        <v>1</v>
      </c>
      <c r="H123" s="146">
        <f t="shared" si="52"/>
        <v>113</v>
      </c>
      <c r="I123" s="147" t="str">
        <f t="shared" ca="1" si="53"/>
        <v/>
      </c>
      <c r="J123" s="148" t="str">
        <f ca="1">IF(N(I123)&gt;0,VLOOKUP(I123,Hraci!$A$1:$I$1000,2,0),IF(TYPE(INDIRECT(ADDRESS(ROW() + $A$9-9 + (ROW()-11)*4,2,1,1,"Internet")))&gt;1,INDIRECT(ADDRESS(ROW() + $A$9-9 + (ROW()-11)*4,2,1,1,"Internet"))," "))</f>
        <v xml:space="preserve"> </v>
      </c>
      <c r="K123" s="149" t="str">
        <f ca="1">IF(N(I123)&gt;0,VLOOKUP(I123,Hraci!$A$1:$I$1000,3,0)," ")</f>
        <v xml:space="preserve"> </v>
      </c>
      <c r="L123" s="149" t="str">
        <f ca="1">IF(N(I123)&gt;0,VLOOKUP(I123,Hraci!$A$1:$I$1000,5,0),IF(TYPE(INDIRECT(ADDRESS(ROW() + $A$9-9 + (ROW()-11)*4,3,1,1,"Internet")))&gt;1,INDIRECT(ADDRESS(ROW() + $A$9-9 + (ROW()-11)*4,3,1,1,"Internet"))," "))</f>
        <v xml:space="preserve"> </v>
      </c>
      <c r="M123" s="149">
        <f ca="1">IF(N(I123)=0,9999,VLOOKUP(I123,Hraci!$A$1:$I$1000,8,0))</f>
        <v>9999</v>
      </c>
      <c r="N123" s="150">
        <f ca="1">IF(N(I123)=0,0,VLOOKUP(I123,Hraci!$A$1:$I$1000,9,0))</f>
        <v>0</v>
      </c>
      <c r="O123" s="147" t="str">
        <f t="shared" ca="1" si="54"/>
        <v/>
      </c>
      <c r="P123" s="148" t="str">
        <f ca="1">IF(N(O123)&gt;0,VLOOKUP(O123,Hraci!$A$1:$I$1000,2,0),IF(TYPE(INDIRECT(ADDRESS(ROW() + $A$9-8 + (ROW()-11)*4,2,1,1,"Internet")))&gt;1,INDIRECT(ADDRESS(ROW() + $A$9-8 + (ROW()-11)*4,2,1,1,"Internet"))," "))</f>
        <v xml:space="preserve"> </v>
      </c>
      <c r="Q123" s="149" t="str">
        <f ca="1">IF(N(O123)&gt;0,VLOOKUP(O123,Hraci!$A$1:$I$1000,3,0)," ")</f>
        <v xml:space="preserve"> </v>
      </c>
      <c r="R123" s="149" t="str">
        <f ca="1">IF(N(O123)&gt;0,VLOOKUP(O123,Hraci!$A$1:$I$1000,5,0),IF(TYPE(INDIRECT(ADDRESS(ROW() + $A$9-8 + (ROW()-11)*4,3,1,1,"Internet")))&gt;1,INDIRECT(ADDRESS(ROW() + $A$9-8 + (ROW()-11)*4,3,1,1,"Internet"))," "))</f>
        <v xml:space="preserve"> </v>
      </c>
      <c r="S123" s="149">
        <f ca="1">IF(N(O123)=0,9999,VLOOKUP(O123,Hraci!$A$1:$I$1000,8,0))</f>
        <v>9999</v>
      </c>
      <c r="T123" s="150">
        <f ca="1">IF(N(O123)=0,0,VLOOKUP(O123,Hraci!$A$1:$I$1000,9,0))</f>
        <v>0</v>
      </c>
      <c r="U123" s="147" t="str">
        <f t="shared" ca="1" si="55"/>
        <v/>
      </c>
      <c r="V123" s="148" t="str">
        <f ca="1">IF(N(U123)&gt;0,VLOOKUP(U123,Hraci!$A$1:$I$1000,2,0),IF(TYPE(INDIRECT(ADDRESS(ROW() + $A$9-7 + (ROW()-11)*4,2,1,1,"Internet")))&gt;1,INDIRECT(ADDRESS(ROW() + $A$9-7 + (ROW()-11)*4,2,1,1,"Internet"))," "))</f>
        <v xml:space="preserve"> </v>
      </c>
      <c r="W123" s="149" t="str">
        <f ca="1">IF(N(U123)&gt;0,VLOOKUP(U123,Hraci!$A$1:$I$1000,3,0)," ")</f>
        <v xml:space="preserve"> </v>
      </c>
      <c r="X123" s="149" t="str">
        <f ca="1">IF(N(U123)&gt;0,VLOOKUP(U123,Hraci!$A$1:$I$1000,5,0),IF(TYPE(INDIRECT(ADDRESS(ROW() + $A$9-7 + (ROW()-11)*4,3,1,1,"Internet")))&gt;1,INDIRECT(ADDRESS(ROW() + $A$9-7 + (ROW()-11)*4,3,1,1,"Internet"))," "))</f>
        <v xml:space="preserve"> </v>
      </c>
      <c r="Y123" s="149">
        <f ca="1">IF(N(U123)=0,9999,VLOOKUP(U123,Hraci!$A$1:$I$1000,8,0))</f>
        <v>9999</v>
      </c>
      <c r="Z123" s="150">
        <f ca="1">IF(N(U123)=0,0,VLOOKUP(U123,Hraci!$A$1:$I$1000,9,0))</f>
        <v>0</v>
      </c>
      <c r="AA123" s="147" t="str">
        <f t="shared" ca="1" si="56"/>
        <v/>
      </c>
      <c r="AB123" s="148" t="str">
        <f ca="1">IF(N(AA123)&gt;0,VLOOKUP(AA123,Hraci!$A$1:$I$1000,2,0)," ")</f>
        <v xml:space="preserve"> </v>
      </c>
      <c r="AC123" s="149" t="str">
        <f ca="1">IF(N(AA123)&gt;0,VLOOKUP(AA123,Hraci!$A$1:$I$1000,3,0)," ")</f>
        <v xml:space="preserve"> </v>
      </c>
      <c r="AD123" s="149" t="str">
        <f ca="1">IF(N(AA123)&gt;0,VLOOKUP(AA123,Hraci!$A$1:$I$1000,5,0)," ")</f>
        <v xml:space="preserve"> </v>
      </c>
      <c r="AE123" s="149">
        <f ca="1">IF(N(AA123)=0,9999,VLOOKUP(AA123,Hraci!$A$1:$I$1000,8,0))</f>
        <v>9999</v>
      </c>
      <c r="AF123" s="150">
        <f ca="1">IF(N(AA123)=0,0,VLOOKUP(AA123,Hraci!$A$1:$I$1000,9,0))</f>
        <v>0</v>
      </c>
      <c r="AG123" s="147"/>
      <c r="AH123" s="151">
        <f ca="1">IF(TYPE(VLOOKUP(H123,Nasazení!$A$3:$E$130,5,0))&lt;4,VLOOKUP(H123,Nasazení!$A$3:$E$130,5,0),0)</f>
        <v>0</v>
      </c>
      <c r="AI123" s="152" t="str">
        <f ca="1">IF(N($AH123)&gt;0,VLOOKUP($AH123,Body!$A$4:$F$259,5,0),"")</f>
        <v/>
      </c>
      <c r="AJ123" s="153" t="str">
        <f ca="1">IF(N($AH123)&gt;0,VLOOKUP($AH123,Body!$A$4:$F$259,6,0),"")</f>
        <v/>
      </c>
      <c r="AK123" s="152" t="str">
        <f ca="1">IF(N($AH123)&gt;0,VLOOKUP($AH123,Body!$A$4:$F$259,2,0),"")</f>
        <v/>
      </c>
      <c r="AL123" s="154" t="str">
        <f t="shared" ca="1" si="57"/>
        <v/>
      </c>
      <c r="AM123" s="155">
        <f t="shared" ca="1" si="58"/>
        <v>0</v>
      </c>
      <c r="AN123" s="72">
        <f ca="1">IF(OR(TYPE(I123)&gt;1,TYPE(MATCH(I123,I124:I$203,0))&gt;1),0,MATCH(I123,I124:I$203,0))+IF(OR(TYPE(I123)&gt;1,TYPE(MATCH(I123,O$11:O$203,0))&gt;1),0,MATCH(I123,O$11:O$203,0))+IF(OR(TYPE(I123)&gt;1,TYPE(MATCH(I123,U$11:U$203,0))&gt;1),0,MATCH(I123,U$11:U$203,0))+IF(OR(TYPE(I123)&gt;1,TYPE(MATCH(I123,AA$11:AA$203,0))&gt;1),0,MATCH(I123,AA$11:AA$203,0))</f>
        <v>0</v>
      </c>
      <c r="AO123" s="72">
        <f ca="1">IF(OR(TYPE(O123)&gt;1,TYPE(MATCH(O123,I$11:I$203,0))&gt;1),0,MATCH(O123,I$11:I$203,0))+IF(OR(TYPE(O123)&gt;1,TYPE(MATCH(O123,O124:O$203,0))&gt;1),0,MATCH(O123,O124:O$203,0))+IF(OR(TYPE(O123)&gt;1,TYPE(MATCH(O123,U$11:U$203,0))&gt;1),0,MATCH(O123,U$11:U$203,0))+IF(OR(TYPE(O123)&gt;1,TYPE(MATCH(O123,AA$11:AA$203,0))&gt;1),0,MATCH(O123,AA$11:AA$203,0))</f>
        <v>0</v>
      </c>
      <c r="AP123" s="72">
        <f ca="1">IF(OR(TYPE(U123)&gt;1,TYPE(MATCH(U123,I$11:I$203,0))&gt;1),0,MATCH(U123,I$11:I$203,0))+IF(OR(TYPE(U123)&gt;1,TYPE(MATCH(U123,O$11:O$203,0))&gt;1),0,MATCH(U123,O$11:O$203,0))+IF(OR(TYPE(U123)&gt;1,TYPE(MATCH(U123,U124:U$203,0))&gt;1),0,MATCH(U123,U124:U$203,0))+IF(OR(TYPE(U123)&gt;1,TYPE(MATCH(U123,AA$11:AA$203,0))&gt;1),0,MATCH(U123,AA$11:AA$203,0))</f>
        <v>0</v>
      </c>
      <c r="AQ123" s="72">
        <f ca="1">IF(OR(TYPE(AA123)&gt;1,TYPE(MATCH(AA123,I$11:I$203,0))&gt;1),0,MATCH(AA123,I$11:I$203,0))+IF(OR(TYPE(AA123)&gt;1,TYPE(MATCH(AA123,O$11:O$203,0))&gt;1),0,MATCH(AA123,O$11:O$203,0))+IF(OR(TYPE(AA123)&gt;1,TYPE(MATCH(AA123,U$11:U$203,0))&gt;1),0,MATCH(U123,U$11:U$203,0))+IF(OR(TYPE(AA123)&gt;1,TYPE(MATCH(AA123,AA124:AA$203,0))&gt;1),0,MATCH(AA123,AA124:AA$203,0))</f>
        <v>0</v>
      </c>
      <c r="AR123" s="72">
        <f t="shared" ca="1" si="59"/>
        <v>0</v>
      </c>
    </row>
    <row r="124" spans="1:44" ht="14.25">
      <c r="A124" s="103">
        <f t="shared" ca="1" si="45"/>
        <v>0</v>
      </c>
      <c r="B124" s="103">
        <f t="shared" ca="1" si="46"/>
        <v>0</v>
      </c>
      <c r="C124" s="156">
        <f t="shared" ca="1" si="47"/>
        <v>0</v>
      </c>
      <c r="D124" s="103">
        <f t="shared" ca="1" si="48"/>
        <v>99999</v>
      </c>
      <c r="E124" s="103">
        <f t="shared" ca="1" si="49"/>
        <v>9999</v>
      </c>
      <c r="F124" s="104" t="str">
        <f t="shared" ca="1" si="50"/>
        <v>00000000000000000000361612</v>
      </c>
      <c r="G124" s="145">
        <f t="shared" ca="1" si="51"/>
        <v>1</v>
      </c>
      <c r="H124" s="146">
        <f t="shared" si="52"/>
        <v>114</v>
      </c>
      <c r="I124" s="147" t="str">
        <f t="shared" ca="1" si="53"/>
        <v/>
      </c>
      <c r="J124" s="148" t="str">
        <f ca="1">IF(N(I124)&gt;0,VLOOKUP(I124,Hraci!$A$1:$I$1000,2,0),IF(TYPE(INDIRECT(ADDRESS(ROW() + $A$9-9 + (ROW()-11)*4,2,1,1,"Internet")))&gt;1,INDIRECT(ADDRESS(ROW() + $A$9-9 + (ROW()-11)*4,2,1,1,"Internet"))," "))</f>
        <v xml:space="preserve"> </v>
      </c>
      <c r="K124" s="149" t="str">
        <f ca="1">IF(N(I124)&gt;0,VLOOKUP(I124,Hraci!$A$1:$I$1000,3,0)," ")</f>
        <v xml:space="preserve"> </v>
      </c>
      <c r="L124" s="149" t="str">
        <f ca="1">IF(N(I124)&gt;0,VLOOKUP(I124,Hraci!$A$1:$I$1000,5,0),IF(TYPE(INDIRECT(ADDRESS(ROW() + $A$9-9 + (ROW()-11)*4,3,1,1,"Internet")))&gt;1,INDIRECT(ADDRESS(ROW() + $A$9-9 + (ROW()-11)*4,3,1,1,"Internet"))," "))</f>
        <v xml:space="preserve"> </v>
      </c>
      <c r="M124" s="149">
        <f ca="1">IF(N(I124)=0,9999,VLOOKUP(I124,Hraci!$A$1:$I$1000,8,0))</f>
        <v>9999</v>
      </c>
      <c r="N124" s="150">
        <f ca="1">IF(N(I124)=0,0,VLOOKUP(I124,Hraci!$A$1:$I$1000,9,0))</f>
        <v>0</v>
      </c>
      <c r="O124" s="147" t="str">
        <f t="shared" ca="1" si="54"/>
        <v/>
      </c>
      <c r="P124" s="148" t="str">
        <f ca="1">IF(N(O124)&gt;0,VLOOKUP(O124,Hraci!$A$1:$I$1000,2,0),IF(TYPE(INDIRECT(ADDRESS(ROW() + $A$9-8 + (ROW()-11)*4,2,1,1,"Internet")))&gt;1,INDIRECT(ADDRESS(ROW() + $A$9-8 + (ROW()-11)*4,2,1,1,"Internet"))," "))</f>
        <v xml:space="preserve"> </v>
      </c>
      <c r="Q124" s="149" t="str">
        <f ca="1">IF(N(O124)&gt;0,VLOOKUP(O124,Hraci!$A$1:$I$1000,3,0)," ")</f>
        <v xml:space="preserve"> </v>
      </c>
      <c r="R124" s="149" t="str">
        <f ca="1">IF(N(O124)&gt;0,VLOOKUP(O124,Hraci!$A$1:$I$1000,5,0),IF(TYPE(INDIRECT(ADDRESS(ROW() + $A$9-8 + (ROW()-11)*4,3,1,1,"Internet")))&gt;1,INDIRECT(ADDRESS(ROW() + $A$9-8 + (ROW()-11)*4,3,1,1,"Internet"))," "))</f>
        <v xml:space="preserve"> </v>
      </c>
      <c r="S124" s="149">
        <f ca="1">IF(N(O124)=0,9999,VLOOKUP(O124,Hraci!$A$1:$I$1000,8,0))</f>
        <v>9999</v>
      </c>
      <c r="T124" s="150">
        <f ca="1">IF(N(O124)=0,0,VLOOKUP(O124,Hraci!$A$1:$I$1000,9,0))</f>
        <v>0</v>
      </c>
      <c r="U124" s="147" t="str">
        <f t="shared" ca="1" si="55"/>
        <v/>
      </c>
      <c r="V124" s="148" t="str">
        <f ca="1">IF(N(U124)&gt;0,VLOOKUP(U124,Hraci!$A$1:$I$1000,2,0),IF(TYPE(INDIRECT(ADDRESS(ROW() + $A$9-7 + (ROW()-11)*4,2,1,1,"Internet")))&gt;1,INDIRECT(ADDRESS(ROW() + $A$9-7 + (ROW()-11)*4,2,1,1,"Internet"))," "))</f>
        <v xml:space="preserve"> </v>
      </c>
      <c r="W124" s="149" t="str">
        <f ca="1">IF(N(U124)&gt;0,VLOOKUP(U124,Hraci!$A$1:$I$1000,3,0)," ")</f>
        <v xml:space="preserve"> </v>
      </c>
      <c r="X124" s="149" t="str">
        <f ca="1">IF(N(U124)&gt;0,VLOOKUP(U124,Hraci!$A$1:$I$1000,5,0),IF(TYPE(INDIRECT(ADDRESS(ROW() + $A$9-7 + (ROW()-11)*4,3,1,1,"Internet")))&gt;1,INDIRECT(ADDRESS(ROW() + $A$9-7 + (ROW()-11)*4,3,1,1,"Internet"))," "))</f>
        <v xml:space="preserve"> </v>
      </c>
      <c r="Y124" s="149">
        <f ca="1">IF(N(U124)=0,9999,VLOOKUP(U124,Hraci!$A$1:$I$1000,8,0))</f>
        <v>9999</v>
      </c>
      <c r="Z124" s="150">
        <f ca="1">IF(N(U124)=0,0,VLOOKUP(U124,Hraci!$A$1:$I$1000,9,0))</f>
        <v>0</v>
      </c>
      <c r="AA124" s="147" t="str">
        <f t="shared" ca="1" si="56"/>
        <v/>
      </c>
      <c r="AB124" s="148" t="str">
        <f ca="1">IF(N(AA124)&gt;0,VLOOKUP(AA124,Hraci!$A$1:$I$1000,2,0)," ")</f>
        <v xml:space="preserve"> </v>
      </c>
      <c r="AC124" s="149" t="str">
        <f ca="1">IF(N(AA124)&gt;0,VLOOKUP(AA124,Hraci!$A$1:$I$1000,3,0)," ")</f>
        <v xml:space="preserve"> </v>
      </c>
      <c r="AD124" s="149" t="str">
        <f ca="1">IF(N(AA124)&gt;0,VLOOKUP(AA124,Hraci!$A$1:$I$1000,5,0)," ")</f>
        <v xml:space="preserve"> </v>
      </c>
      <c r="AE124" s="149">
        <f ca="1">IF(N(AA124)=0,9999,VLOOKUP(AA124,Hraci!$A$1:$I$1000,8,0))</f>
        <v>9999</v>
      </c>
      <c r="AF124" s="150">
        <f ca="1">IF(N(AA124)=0,0,VLOOKUP(AA124,Hraci!$A$1:$I$1000,9,0))</f>
        <v>0</v>
      </c>
      <c r="AG124" s="147"/>
      <c r="AH124" s="151">
        <f ca="1">IF(TYPE(VLOOKUP(H124,Nasazení!$A$3:$E$130,5,0))&lt;4,VLOOKUP(H124,Nasazení!$A$3:$E$130,5,0),0)</f>
        <v>0</v>
      </c>
      <c r="AI124" s="152" t="str">
        <f ca="1">IF(N($AH124)&gt;0,VLOOKUP($AH124,Body!$A$4:$F$259,5,0),"")</f>
        <v/>
      </c>
      <c r="AJ124" s="153" t="str">
        <f ca="1">IF(N($AH124)&gt;0,VLOOKUP($AH124,Body!$A$4:$F$259,6,0),"")</f>
        <v/>
      </c>
      <c r="AK124" s="152" t="str">
        <f ca="1">IF(N($AH124)&gt;0,VLOOKUP($AH124,Body!$A$4:$F$259,2,0),"")</f>
        <v/>
      </c>
      <c r="AL124" s="154" t="str">
        <f t="shared" ca="1" si="57"/>
        <v/>
      </c>
      <c r="AM124" s="155">
        <f t="shared" ca="1" si="58"/>
        <v>0</v>
      </c>
      <c r="AN124" s="72">
        <f ca="1">IF(OR(TYPE(I124)&gt;1,TYPE(MATCH(I124,I125:I$203,0))&gt;1),0,MATCH(I124,I125:I$203,0))+IF(OR(TYPE(I124)&gt;1,TYPE(MATCH(I124,O$11:O$203,0))&gt;1),0,MATCH(I124,O$11:O$203,0))+IF(OR(TYPE(I124)&gt;1,TYPE(MATCH(I124,U$11:U$203,0))&gt;1),0,MATCH(I124,U$11:U$203,0))+IF(OR(TYPE(I124)&gt;1,TYPE(MATCH(I124,AA$11:AA$203,0))&gt;1),0,MATCH(I124,AA$11:AA$203,0))</f>
        <v>0</v>
      </c>
      <c r="AO124" s="72">
        <f ca="1">IF(OR(TYPE(O124)&gt;1,TYPE(MATCH(O124,I$11:I$203,0))&gt;1),0,MATCH(O124,I$11:I$203,0))+IF(OR(TYPE(O124)&gt;1,TYPE(MATCH(O124,O125:O$203,0))&gt;1),0,MATCH(O124,O125:O$203,0))+IF(OR(TYPE(O124)&gt;1,TYPE(MATCH(O124,U$11:U$203,0))&gt;1),0,MATCH(O124,U$11:U$203,0))+IF(OR(TYPE(O124)&gt;1,TYPE(MATCH(O124,AA$11:AA$203,0))&gt;1),0,MATCH(O124,AA$11:AA$203,0))</f>
        <v>0</v>
      </c>
      <c r="AP124" s="72">
        <f ca="1">IF(OR(TYPE(U124)&gt;1,TYPE(MATCH(U124,I$11:I$203,0))&gt;1),0,MATCH(U124,I$11:I$203,0))+IF(OR(TYPE(U124)&gt;1,TYPE(MATCH(U124,O$11:O$203,0))&gt;1),0,MATCH(U124,O$11:O$203,0))+IF(OR(TYPE(U124)&gt;1,TYPE(MATCH(U124,U125:U$203,0))&gt;1),0,MATCH(U124,U125:U$203,0))+IF(OR(TYPE(U124)&gt;1,TYPE(MATCH(U124,AA$11:AA$203,0))&gt;1),0,MATCH(U124,AA$11:AA$203,0))</f>
        <v>0</v>
      </c>
      <c r="AQ124" s="72">
        <f ca="1">IF(OR(TYPE(AA124)&gt;1,TYPE(MATCH(AA124,I$11:I$203,0))&gt;1),0,MATCH(AA124,I$11:I$203,0))+IF(OR(TYPE(AA124)&gt;1,TYPE(MATCH(AA124,O$11:O$203,0))&gt;1),0,MATCH(AA124,O$11:O$203,0))+IF(OR(TYPE(AA124)&gt;1,TYPE(MATCH(AA124,U$11:U$203,0))&gt;1),0,MATCH(U124,U$11:U$203,0))+IF(OR(TYPE(AA124)&gt;1,TYPE(MATCH(AA124,AA125:AA$203,0))&gt;1),0,MATCH(AA124,AA125:AA$203,0))</f>
        <v>0</v>
      </c>
      <c r="AR124" s="72">
        <f t="shared" ca="1" si="59"/>
        <v>0</v>
      </c>
    </row>
    <row r="125" spans="1:44" ht="14.25">
      <c r="A125" s="103">
        <f t="shared" ca="1" si="45"/>
        <v>0</v>
      </c>
      <c r="B125" s="103">
        <f t="shared" ca="1" si="46"/>
        <v>0</v>
      </c>
      <c r="C125" s="156">
        <f t="shared" ca="1" si="47"/>
        <v>0</v>
      </c>
      <c r="D125" s="103">
        <f t="shared" ca="1" si="48"/>
        <v>99999</v>
      </c>
      <c r="E125" s="103">
        <f t="shared" ca="1" si="49"/>
        <v>9999</v>
      </c>
      <c r="F125" s="104" t="str">
        <f t="shared" ca="1" si="50"/>
        <v>00000000000000000000046365</v>
      </c>
      <c r="G125" s="145">
        <f t="shared" ca="1" si="51"/>
        <v>1</v>
      </c>
      <c r="H125" s="146">
        <f t="shared" si="52"/>
        <v>115</v>
      </c>
      <c r="I125" s="147" t="str">
        <f t="shared" ca="1" si="53"/>
        <v/>
      </c>
      <c r="J125" s="148" t="str">
        <f ca="1">IF(N(I125)&gt;0,VLOOKUP(I125,Hraci!$A$1:$I$1000,2,0),IF(TYPE(INDIRECT(ADDRESS(ROW() + $A$9-9 + (ROW()-11)*4,2,1,1,"Internet")))&gt;1,INDIRECT(ADDRESS(ROW() + $A$9-9 + (ROW()-11)*4,2,1,1,"Internet"))," "))</f>
        <v xml:space="preserve"> </v>
      </c>
      <c r="K125" s="149" t="str">
        <f ca="1">IF(N(I125)&gt;0,VLOOKUP(I125,Hraci!$A$1:$I$1000,3,0)," ")</f>
        <v xml:space="preserve"> </v>
      </c>
      <c r="L125" s="149" t="str">
        <f ca="1">IF(N(I125)&gt;0,VLOOKUP(I125,Hraci!$A$1:$I$1000,5,0),IF(TYPE(INDIRECT(ADDRESS(ROW() + $A$9-9 + (ROW()-11)*4,3,1,1,"Internet")))&gt;1,INDIRECT(ADDRESS(ROW() + $A$9-9 + (ROW()-11)*4,3,1,1,"Internet"))," "))</f>
        <v xml:space="preserve"> </v>
      </c>
      <c r="M125" s="149">
        <f ca="1">IF(N(I125)=0,9999,VLOOKUP(I125,Hraci!$A$1:$I$1000,8,0))</f>
        <v>9999</v>
      </c>
      <c r="N125" s="150">
        <f ca="1">IF(N(I125)=0,0,VLOOKUP(I125,Hraci!$A$1:$I$1000,9,0))</f>
        <v>0</v>
      </c>
      <c r="O125" s="147" t="str">
        <f t="shared" ca="1" si="54"/>
        <v/>
      </c>
      <c r="P125" s="148" t="str">
        <f ca="1">IF(N(O125)&gt;0,VLOOKUP(O125,Hraci!$A$1:$I$1000,2,0),IF(TYPE(INDIRECT(ADDRESS(ROW() + $A$9-8 + (ROW()-11)*4,2,1,1,"Internet")))&gt;1,INDIRECT(ADDRESS(ROW() + $A$9-8 + (ROW()-11)*4,2,1,1,"Internet"))," "))</f>
        <v xml:space="preserve"> </v>
      </c>
      <c r="Q125" s="149" t="str">
        <f ca="1">IF(N(O125)&gt;0,VLOOKUP(O125,Hraci!$A$1:$I$1000,3,0)," ")</f>
        <v xml:space="preserve"> </v>
      </c>
      <c r="R125" s="149" t="str">
        <f ca="1">IF(N(O125)&gt;0,VLOOKUP(O125,Hraci!$A$1:$I$1000,5,0),IF(TYPE(INDIRECT(ADDRESS(ROW() + $A$9-8 + (ROW()-11)*4,3,1,1,"Internet")))&gt;1,INDIRECT(ADDRESS(ROW() + $A$9-8 + (ROW()-11)*4,3,1,1,"Internet"))," "))</f>
        <v xml:space="preserve"> </v>
      </c>
      <c r="S125" s="149">
        <f ca="1">IF(N(O125)=0,9999,VLOOKUP(O125,Hraci!$A$1:$I$1000,8,0))</f>
        <v>9999</v>
      </c>
      <c r="T125" s="150">
        <f ca="1">IF(N(O125)=0,0,VLOOKUP(O125,Hraci!$A$1:$I$1000,9,0))</f>
        <v>0</v>
      </c>
      <c r="U125" s="147" t="str">
        <f t="shared" ca="1" si="55"/>
        <v/>
      </c>
      <c r="V125" s="148" t="str">
        <f ca="1">IF(N(U125)&gt;0,VLOOKUP(U125,Hraci!$A$1:$I$1000,2,0),IF(TYPE(INDIRECT(ADDRESS(ROW() + $A$9-7 + (ROW()-11)*4,2,1,1,"Internet")))&gt;1,INDIRECT(ADDRESS(ROW() + $A$9-7 + (ROW()-11)*4,2,1,1,"Internet"))," "))</f>
        <v xml:space="preserve"> </v>
      </c>
      <c r="W125" s="149" t="str">
        <f ca="1">IF(N(U125)&gt;0,VLOOKUP(U125,Hraci!$A$1:$I$1000,3,0)," ")</f>
        <v xml:space="preserve"> </v>
      </c>
      <c r="X125" s="149" t="str">
        <f ca="1">IF(N(U125)&gt;0,VLOOKUP(U125,Hraci!$A$1:$I$1000,5,0),IF(TYPE(INDIRECT(ADDRESS(ROW() + $A$9-7 + (ROW()-11)*4,3,1,1,"Internet")))&gt;1,INDIRECT(ADDRESS(ROW() + $A$9-7 + (ROW()-11)*4,3,1,1,"Internet"))," "))</f>
        <v xml:space="preserve"> </v>
      </c>
      <c r="Y125" s="149">
        <f ca="1">IF(N(U125)=0,9999,VLOOKUP(U125,Hraci!$A$1:$I$1000,8,0))</f>
        <v>9999</v>
      </c>
      <c r="Z125" s="150">
        <f ca="1">IF(N(U125)=0,0,VLOOKUP(U125,Hraci!$A$1:$I$1000,9,0))</f>
        <v>0</v>
      </c>
      <c r="AA125" s="147" t="str">
        <f t="shared" ca="1" si="56"/>
        <v/>
      </c>
      <c r="AB125" s="148" t="str">
        <f ca="1">IF(N(AA125)&gt;0,VLOOKUP(AA125,Hraci!$A$1:$I$1000,2,0)," ")</f>
        <v xml:space="preserve"> </v>
      </c>
      <c r="AC125" s="149" t="str">
        <f ca="1">IF(N(AA125)&gt;0,VLOOKUP(AA125,Hraci!$A$1:$I$1000,3,0)," ")</f>
        <v xml:space="preserve"> </v>
      </c>
      <c r="AD125" s="149" t="str">
        <f ca="1">IF(N(AA125)&gt;0,VLOOKUP(AA125,Hraci!$A$1:$I$1000,5,0)," ")</f>
        <v xml:space="preserve"> </v>
      </c>
      <c r="AE125" s="149">
        <f ca="1">IF(N(AA125)=0,9999,VLOOKUP(AA125,Hraci!$A$1:$I$1000,8,0))</f>
        <v>9999</v>
      </c>
      <c r="AF125" s="150">
        <f ca="1">IF(N(AA125)=0,0,VLOOKUP(AA125,Hraci!$A$1:$I$1000,9,0))</f>
        <v>0</v>
      </c>
      <c r="AG125" s="147"/>
      <c r="AH125" s="151">
        <f ca="1">IF(TYPE(VLOOKUP(H125,Nasazení!$A$3:$E$130,5,0))&lt;4,VLOOKUP(H125,Nasazení!$A$3:$E$130,5,0),0)</f>
        <v>0</v>
      </c>
      <c r="AI125" s="152" t="str">
        <f ca="1">IF(N($AH125)&gt;0,VLOOKUP($AH125,Body!$A$4:$F$259,5,0),"")</f>
        <v/>
      </c>
      <c r="AJ125" s="153" t="str">
        <f ca="1">IF(N($AH125)&gt;0,VLOOKUP($AH125,Body!$A$4:$F$259,6,0),"")</f>
        <v/>
      </c>
      <c r="AK125" s="152" t="str">
        <f ca="1">IF(N($AH125)&gt;0,VLOOKUP($AH125,Body!$A$4:$F$259,2,0),"")</f>
        <v/>
      </c>
      <c r="AL125" s="154" t="str">
        <f t="shared" ca="1" si="57"/>
        <v/>
      </c>
      <c r="AM125" s="155">
        <f t="shared" ca="1" si="58"/>
        <v>0</v>
      </c>
      <c r="AN125" s="72">
        <f ca="1">IF(OR(TYPE(I125)&gt;1,TYPE(MATCH(I125,I126:I$203,0))&gt;1),0,MATCH(I125,I126:I$203,0))+IF(OR(TYPE(I125)&gt;1,TYPE(MATCH(I125,O$11:O$203,0))&gt;1),0,MATCH(I125,O$11:O$203,0))+IF(OR(TYPE(I125)&gt;1,TYPE(MATCH(I125,U$11:U$203,0))&gt;1),0,MATCH(I125,U$11:U$203,0))+IF(OR(TYPE(I125)&gt;1,TYPE(MATCH(I125,AA$11:AA$203,0))&gt;1),0,MATCH(I125,AA$11:AA$203,0))</f>
        <v>0</v>
      </c>
      <c r="AO125" s="72">
        <f ca="1">IF(OR(TYPE(O125)&gt;1,TYPE(MATCH(O125,I$11:I$203,0))&gt;1),0,MATCH(O125,I$11:I$203,0))+IF(OR(TYPE(O125)&gt;1,TYPE(MATCH(O125,O126:O$203,0))&gt;1),0,MATCH(O125,O126:O$203,0))+IF(OR(TYPE(O125)&gt;1,TYPE(MATCH(O125,U$11:U$203,0))&gt;1),0,MATCH(O125,U$11:U$203,0))+IF(OR(TYPE(O125)&gt;1,TYPE(MATCH(O125,AA$11:AA$203,0))&gt;1),0,MATCH(O125,AA$11:AA$203,0))</f>
        <v>0</v>
      </c>
      <c r="AP125" s="72">
        <f ca="1">IF(OR(TYPE(U125)&gt;1,TYPE(MATCH(U125,I$11:I$203,0))&gt;1),0,MATCH(U125,I$11:I$203,0))+IF(OR(TYPE(U125)&gt;1,TYPE(MATCH(U125,O$11:O$203,0))&gt;1),0,MATCH(U125,O$11:O$203,0))+IF(OR(TYPE(U125)&gt;1,TYPE(MATCH(U125,U126:U$203,0))&gt;1),0,MATCH(U125,U126:U$203,0))+IF(OR(TYPE(U125)&gt;1,TYPE(MATCH(U125,AA$11:AA$203,0))&gt;1),0,MATCH(U125,AA$11:AA$203,0))</f>
        <v>0</v>
      </c>
      <c r="AQ125" s="72">
        <f ca="1">IF(OR(TYPE(AA125)&gt;1,TYPE(MATCH(AA125,I$11:I$203,0))&gt;1),0,MATCH(AA125,I$11:I$203,0))+IF(OR(TYPE(AA125)&gt;1,TYPE(MATCH(AA125,O$11:O$203,0))&gt;1),0,MATCH(AA125,O$11:O$203,0))+IF(OR(TYPE(AA125)&gt;1,TYPE(MATCH(AA125,U$11:U$203,0))&gt;1),0,MATCH(U125,U$11:U$203,0))+IF(OR(TYPE(AA125)&gt;1,TYPE(MATCH(AA125,AA126:AA$203,0))&gt;1),0,MATCH(AA125,AA126:AA$203,0))</f>
        <v>0</v>
      </c>
      <c r="AR125" s="72">
        <f t="shared" ca="1" si="59"/>
        <v>0</v>
      </c>
    </row>
    <row r="126" spans="1:44" ht="14.25">
      <c r="A126" s="103">
        <f t="shared" ca="1" si="45"/>
        <v>0</v>
      </c>
      <c r="B126" s="103">
        <f t="shared" ca="1" si="46"/>
        <v>0</v>
      </c>
      <c r="C126" s="156">
        <f t="shared" ca="1" si="47"/>
        <v>0</v>
      </c>
      <c r="D126" s="103">
        <f t="shared" ca="1" si="48"/>
        <v>99999</v>
      </c>
      <c r="E126" s="103">
        <f t="shared" ca="1" si="49"/>
        <v>9999</v>
      </c>
      <c r="F126" s="104" t="str">
        <f t="shared" ca="1" si="50"/>
        <v>00000000000000000000993057</v>
      </c>
      <c r="G126" s="145">
        <f t="shared" ca="1" si="51"/>
        <v>1</v>
      </c>
      <c r="H126" s="146">
        <f t="shared" si="52"/>
        <v>116</v>
      </c>
      <c r="I126" s="147" t="str">
        <f t="shared" ca="1" si="53"/>
        <v/>
      </c>
      <c r="J126" s="148" t="str">
        <f ca="1">IF(N(I126)&gt;0,VLOOKUP(I126,Hraci!$A$1:$I$1000,2,0),IF(TYPE(INDIRECT(ADDRESS(ROW() + $A$9-9 + (ROW()-11)*4,2,1,1,"Internet")))&gt;1,INDIRECT(ADDRESS(ROW() + $A$9-9 + (ROW()-11)*4,2,1,1,"Internet"))," "))</f>
        <v xml:space="preserve"> </v>
      </c>
      <c r="K126" s="149" t="str">
        <f ca="1">IF(N(I126)&gt;0,VLOOKUP(I126,Hraci!$A$1:$I$1000,3,0)," ")</f>
        <v xml:space="preserve"> </v>
      </c>
      <c r="L126" s="149" t="str">
        <f ca="1">IF(N(I126)&gt;0,VLOOKUP(I126,Hraci!$A$1:$I$1000,5,0),IF(TYPE(INDIRECT(ADDRESS(ROW() + $A$9-9 + (ROW()-11)*4,3,1,1,"Internet")))&gt;1,INDIRECT(ADDRESS(ROW() + $A$9-9 + (ROW()-11)*4,3,1,1,"Internet"))," "))</f>
        <v xml:space="preserve"> </v>
      </c>
      <c r="M126" s="149">
        <f ca="1">IF(N(I126)=0,9999,VLOOKUP(I126,Hraci!$A$1:$I$1000,8,0))</f>
        <v>9999</v>
      </c>
      <c r="N126" s="150">
        <f ca="1">IF(N(I126)=0,0,VLOOKUP(I126,Hraci!$A$1:$I$1000,9,0))</f>
        <v>0</v>
      </c>
      <c r="O126" s="147" t="str">
        <f t="shared" ca="1" si="54"/>
        <v/>
      </c>
      <c r="P126" s="148" t="str">
        <f ca="1">IF(N(O126)&gt;0,VLOOKUP(O126,Hraci!$A$1:$I$1000,2,0),IF(TYPE(INDIRECT(ADDRESS(ROW() + $A$9-8 + (ROW()-11)*4,2,1,1,"Internet")))&gt;1,INDIRECT(ADDRESS(ROW() + $A$9-8 + (ROW()-11)*4,2,1,1,"Internet"))," "))</f>
        <v xml:space="preserve"> </v>
      </c>
      <c r="Q126" s="149" t="str">
        <f ca="1">IF(N(O126)&gt;0,VLOOKUP(O126,Hraci!$A$1:$I$1000,3,0)," ")</f>
        <v xml:space="preserve"> </v>
      </c>
      <c r="R126" s="149" t="str">
        <f ca="1">IF(N(O126)&gt;0,VLOOKUP(O126,Hraci!$A$1:$I$1000,5,0),IF(TYPE(INDIRECT(ADDRESS(ROW() + $A$9-8 + (ROW()-11)*4,3,1,1,"Internet")))&gt;1,INDIRECT(ADDRESS(ROW() + $A$9-8 + (ROW()-11)*4,3,1,1,"Internet"))," "))</f>
        <v xml:space="preserve"> </v>
      </c>
      <c r="S126" s="149">
        <f ca="1">IF(N(O126)=0,9999,VLOOKUP(O126,Hraci!$A$1:$I$1000,8,0))</f>
        <v>9999</v>
      </c>
      <c r="T126" s="150">
        <f ca="1">IF(N(O126)=0,0,VLOOKUP(O126,Hraci!$A$1:$I$1000,9,0))</f>
        <v>0</v>
      </c>
      <c r="U126" s="147" t="str">
        <f t="shared" ca="1" si="55"/>
        <v/>
      </c>
      <c r="V126" s="148" t="str">
        <f ca="1">IF(N(U126)&gt;0,VLOOKUP(U126,Hraci!$A$1:$I$1000,2,0),IF(TYPE(INDIRECT(ADDRESS(ROW() + $A$9-7 + (ROW()-11)*4,2,1,1,"Internet")))&gt;1,INDIRECT(ADDRESS(ROW() + $A$9-7 + (ROW()-11)*4,2,1,1,"Internet"))," "))</f>
        <v xml:space="preserve"> </v>
      </c>
      <c r="W126" s="149" t="str">
        <f ca="1">IF(N(U126)&gt;0,VLOOKUP(U126,Hraci!$A$1:$I$1000,3,0)," ")</f>
        <v xml:space="preserve"> </v>
      </c>
      <c r="X126" s="149" t="str">
        <f ca="1">IF(N(U126)&gt;0,VLOOKUP(U126,Hraci!$A$1:$I$1000,5,0),IF(TYPE(INDIRECT(ADDRESS(ROW() + $A$9-7 + (ROW()-11)*4,3,1,1,"Internet")))&gt;1,INDIRECT(ADDRESS(ROW() + $A$9-7 + (ROW()-11)*4,3,1,1,"Internet"))," "))</f>
        <v xml:space="preserve"> </v>
      </c>
      <c r="Y126" s="149">
        <f ca="1">IF(N(U126)=0,9999,VLOOKUP(U126,Hraci!$A$1:$I$1000,8,0))</f>
        <v>9999</v>
      </c>
      <c r="Z126" s="150">
        <f ca="1">IF(N(U126)=0,0,VLOOKUP(U126,Hraci!$A$1:$I$1000,9,0))</f>
        <v>0</v>
      </c>
      <c r="AA126" s="147" t="str">
        <f t="shared" ca="1" si="56"/>
        <v/>
      </c>
      <c r="AB126" s="148" t="str">
        <f ca="1">IF(N(AA126)&gt;0,VLOOKUP(AA126,Hraci!$A$1:$I$1000,2,0)," ")</f>
        <v xml:space="preserve"> </v>
      </c>
      <c r="AC126" s="149" t="str">
        <f ca="1">IF(N(AA126)&gt;0,VLOOKUP(AA126,Hraci!$A$1:$I$1000,3,0)," ")</f>
        <v xml:space="preserve"> </v>
      </c>
      <c r="AD126" s="149" t="str">
        <f ca="1">IF(N(AA126)&gt;0,VLOOKUP(AA126,Hraci!$A$1:$I$1000,5,0)," ")</f>
        <v xml:space="preserve"> </v>
      </c>
      <c r="AE126" s="149">
        <f ca="1">IF(N(AA126)=0,9999,VLOOKUP(AA126,Hraci!$A$1:$I$1000,8,0))</f>
        <v>9999</v>
      </c>
      <c r="AF126" s="150">
        <f ca="1">IF(N(AA126)=0,0,VLOOKUP(AA126,Hraci!$A$1:$I$1000,9,0))</f>
        <v>0</v>
      </c>
      <c r="AG126" s="147"/>
      <c r="AH126" s="151">
        <f ca="1">IF(TYPE(VLOOKUP(H126,Nasazení!$A$3:$E$130,5,0))&lt;4,VLOOKUP(H126,Nasazení!$A$3:$E$130,5,0),0)</f>
        <v>0</v>
      </c>
      <c r="AI126" s="152" t="str">
        <f ca="1">IF(N($AH126)&gt;0,VLOOKUP($AH126,Body!$A$4:$F$259,5,0),"")</f>
        <v/>
      </c>
      <c r="AJ126" s="153" t="str">
        <f ca="1">IF(N($AH126)&gt;0,VLOOKUP($AH126,Body!$A$4:$F$259,6,0),"")</f>
        <v/>
      </c>
      <c r="AK126" s="152" t="str">
        <f ca="1">IF(N($AH126)&gt;0,VLOOKUP($AH126,Body!$A$4:$F$259,2,0),"")</f>
        <v/>
      </c>
      <c r="AL126" s="154" t="str">
        <f t="shared" ca="1" si="57"/>
        <v/>
      </c>
      <c r="AM126" s="155">
        <f t="shared" ca="1" si="58"/>
        <v>0</v>
      </c>
      <c r="AN126" s="72">
        <f ca="1">IF(OR(TYPE(I126)&gt;1,TYPE(MATCH(I126,I127:I$203,0))&gt;1),0,MATCH(I126,I127:I$203,0))+IF(OR(TYPE(I126)&gt;1,TYPE(MATCH(I126,O$11:O$203,0))&gt;1),0,MATCH(I126,O$11:O$203,0))+IF(OR(TYPE(I126)&gt;1,TYPE(MATCH(I126,U$11:U$203,0))&gt;1),0,MATCH(I126,U$11:U$203,0))+IF(OR(TYPE(I126)&gt;1,TYPE(MATCH(I126,AA$11:AA$203,0))&gt;1),0,MATCH(I126,AA$11:AA$203,0))</f>
        <v>0</v>
      </c>
      <c r="AO126" s="72">
        <f ca="1">IF(OR(TYPE(O126)&gt;1,TYPE(MATCH(O126,I$11:I$203,0))&gt;1),0,MATCH(O126,I$11:I$203,0))+IF(OR(TYPE(O126)&gt;1,TYPE(MATCH(O126,O127:O$203,0))&gt;1),0,MATCH(O126,O127:O$203,0))+IF(OR(TYPE(O126)&gt;1,TYPE(MATCH(O126,U$11:U$203,0))&gt;1),0,MATCH(O126,U$11:U$203,0))+IF(OR(TYPE(O126)&gt;1,TYPE(MATCH(O126,AA$11:AA$203,0))&gt;1),0,MATCH(O126,AA$11:AA$203,0))</f>
        <v>0</v>
      </c>
      <c r="AP126" s="72">
        <f ca="1">IF(OR(TYPE(U126)&gt;1,TYPE(MATCH(U126,I$11:I$203,0))&gt;1),0,MATCH(U126,I$11:I$203,0))+IF(OR(TYPE(U126)&gt;1,TYPE(MATCH(U126,O$11:O$203,0))&gt;1),0,MATCH(U126,O$11:O$203,0))+IF(OR(TYPE(U126)&gt;1,TYPE(MATCH(U126,U127:U$203,0))&gt;1),0,MATCH(U126,U127:U$203,0))+IF(OR(TYPE(U126)&gt;1,TYPE(MATCH(U126,AA$11:AA$203,0))&gt;1),0,MATCH(U126,AA$11:AA$203,0))</f>
        <v>0</v>
      </c>
      <c r="AQ126" s="72">
        <f ca="1">IF(OR(TYPE(AA126)&gt;1,TYPE(MATCH(AA126,I$11:I$203,0))&gt;1),0,MATCH(AA126,I$11:I$203,0))+IF(OR(TYPE(AA126)&gt;1,TYPE(MATCH(AA126,O$11:O$203,0))&gt;1),0,MATCH(AA126,O$11:O$203,0))+IF(OR(TYPE(AA126)&gt;1,TYPE(MATCH(AA126,U$11:U$203,0))&gt;1),0,MATCH(U126,U$11:U$203,0))+IF(OR(TYPE(AA126)&gt;1,TYPE(MATCH(AA126,AA127:AA$203,0))&gt;1),0,MATCH(AA126,AA127:AA$203,0))</f>
        <v>0</v>
      </c>
      <c r="AR126" s="72">
        <f t="shared" ca="1" si="59"/>
        <v>0</v>
      </c>
    </row>
    <row r="127" spans="1:44" ht="14.25">
      <c r="A127" s="103">
        <f t="shared" ca="1" si="45"/>
        <v>0</v>
      </c>
      <c r="B127" s="103">
        <f t="shared" ca="1" si="46"/>
        <v>0</v>
      </c>
      <c r="C127" s="156">
        <f t="shared" ca="1" si="47"/>
        <v>0</v>
      </c>
      <c r="D127" s="103">
        <f t="shared" ca="1" si="48"/>
        <v>99999</v>
      </c>
      <c r="E127" s="103">
        <f t="shared" ca="1" si="49"/>
        <v>9999</v>
      </c>
      <c r="F127" s="104" t="str">
        <f t="shared" ca="1" si="50"/>
        <v>00000000000000000000585322</v>
      </c>
      <c r="G127" s="145">
        <f t="shared" ca="1" si="51"/>
        <v>1</v>
      </c>
      <c r="H127" s="146">
        <f t="shared" si="52"/>
        <v>117</v>
      </c>
      <c r="I127" s="147" t="str">
        <f t="shared" ca="1" si="53"/>
        <v/>
      </c>
      <c r="J127" s="148" t="str">
        <f ca="1">IF(N(I127)&gt;0,VLOOKUP(I127,Hraci!$A$1:$I$1000,2,0),IF(TYPE(INDIRECT(ADDRESS(ROW() + $A$9-9 + (ROW()-11)*4,2,1,1,"Internet")))&gt;1,INDIRECT(ADDRESS(ROW() + $A$9-9 + (ROW()-11)*4,2,1,1,"Internet"))," "))</f>
        <v xml:space="preserve"> </v>
      </c>
      <c r="K127" s="149" t="str">
        <f ca="1">IF(N(I127)&gt;0,VLOOKUP(I127,Hraci!$A$1:$I$1000,3,0)," ")</f>
        <v xml:space="preserve"> </v>
      </c>
      <c r="L127" s="149" t="str">
        <f ca="1">IF(N(I127)&gt;0,VLOOKUP(I127,Hraci!$A$1:$I$1000,5,0),IF(TYPE(INDIRECT(ADDRESS(ROW() + $A$9-9 + (ROW()-11)*4,3,1,1,"Internet")))&gt;1,INDIRECT(ADDRESS(ROW() + $A$9-9 + (ROW()-11)*4,3,1,1,"Internet"))," "))</f>
        <v xml:space="preserve"> </v>
      </c>
      <c r="M127" s="149">
        <f ca="1">IF(N(I127)=0,9999,VLOOKUP(I127,Hraci!$A$1:$I$1000,8,0))</f>
        <v>9999</v>
      </c>
      <c r="N127" s="150">
        <f ca="1">IF(N(I127)=0,0,VLOOKUP(I127,Hraci!$A$1:$I$1000,9,0))</f>
        <v>0</v>
      </c>
      <c r="O127" s="147" t="str">
        <f t="shared" ca="1" si="54"/>
        <v/>
      </c>
      <c r="P127" s="148" t="str">
        <f ca="1">IF(N(O127)&gt;0,VLOOKUP(O127,Hraci!$A$1:$I$1000,2,0),IF(TYPE(INDIRECT(ADDRESS(ROW() + $A$9-8 + (ROW()-11)*4,2,1,1,"Internet")))&gt;1,INDIRECT(ADDRESS(ROW() + $A$9-8 + (ROW()-11)*4,2,1,1,"Internet"))," "))</f>
        <v xml:space="preserve"> </v>
      </c>
      <c r="Q127" s="149" t="str">
        <f ca="1">IF(N(O127)&gt;0,VLOOKUP(O127,Hraci!$A$1:$I$1000,3,0)," ")</f>
        <v xml:space="preserve"> </v>
      </c>
      <c r="R127" s="149" t="str">
        <f ca="1">IF(N(O127)&gt;0,VLOOKUP(O127,Hraci!$A$1:$I$1000,5,0),IF(TYPE(INDIRECT(ADDRESS(ROW() + $A$9-8 + (ROW()-11)*4,3,1,1,"Internet")))&gt;1,INDIRECT(ADDRESS(ROW() + $A$9-8 + (ROW()-11)*4,3,1,1,"Internet"))," "))</f>
        <v xml:space="preserve"> </v>
      </c>
      <c r="S127" s="149">
        <f ca="1">IF(N(O127)=0,9999,VLOOKUP(O127,Hraci!$A$1:$I$1000,8,0))</f>
        <v>9999</v>
      </c>
      <c r="T127" s="150">
        <f ca="1">IF(N(O127)=0,0,VLOOKUP(O127,Hraci!$A$1:$I$1000,9,0))</f>
        <v>0</v>
      </c>
      <c r="U127" s="147" t="str">
        <f t="shared" ca="1" si="55"/>
        <v/>
      </c>
      <c r="V127" s="148" t="str">
        <f ca="1">IF(N(U127)&gt;0,VLOOKUP(U127,Hraci!$A$1:$I$1000,2,0),IF(TYPE(INDIRECT(ADDRESS(ROW() + $A$9-7 + (ROW()-11)*4,2,1,1,"Internet")))&gt;1,INDIRECT(ADDRESS(ROW() + $A$9-7 + (ROW()-11)*4,2,1,1,"Internet"))," "))</f>
        <v xml:space="preserve"> </v>
      </c>
      <c r="W127" s="149" t="str">
        <f ca="1">IF(N(U127)&gt;0,VLOOKUP(U127,Hraci!$A$1:$I$1000,3,0)," ")</f>
        <v xml:space="preserve"> </v>
      </c>
      <c r="X127" s="149" t="str">
        <f ca="1">IF(N(U127)&gt;0,VLOOKUP(U127,Hraci!$A$1:$I$1000,5,0),IF(TYPE(INDIRECT(ADDRESS(ROW() + $A$9-7 + (ROW()-11)*4,3,1,1,"Internet")))&gt;1,INDIRECT(ADDRESS(ROW() + $A$9-7 + (ROW()-11)*4,3,1,1,"Internet"))," "))</f>
        <v xml:space="preserve"> </v>
      </c>
      <c r="Y127" s="149">
        <f ca="1">IF(N(U127)=0,9999,VLOOKUP(U127,Hraci!$A$1:$I$1000,8,0))</f>
        <v>9999</v>
      </c>
      <c r="Z127" s="150">
        <f ca="1">IF(N(U127)=0,0,VLOOKUP(U127,Hraci!$A$1:$I$1000,9,0))</f>
        <v>0</v>
      </c>
      <c r="AA127" s="147" t="str">
        <f t="shared" ca="1" si="56"/>
        <v/>
      </c>
      <c r="AB127" s="148" t="str">
        <f ca="1">IF(N(AA127)&gt;0,VLOOKUP(AA127,Hraci!$A$1:$I$1000,2,0)," ")</f>
        <v xml:space="preserve"> </v>
      </c>
      <c r="AC127" s="149" t="str">
        <f ca="1">IF(N(AA127)&gt;0,VLOOKUP(AA127,Hraci!$A$1:$I$1000,3,0)," ")</f>
        <v xml:space="preserve"> </v>
      </c>
      <c r="AD127" s="149" t="str">
        <f ca="1">IF(N(AA127)&gt;0,VLOOKUP(AA127,Hraci!$A$1:$I$1000,5,0)," ")</f>
        <v xml:space="preserve"> </v>
      </c>
      <c r="AE127" s="149">
        <f ca="1">IF(N(AA127)=0,9999,VLOOKUP(AA127,Hraci!$A$1:$I$1000,8,0))</f>
        <v>9999</v>
      </c>
      <c r="AF127" s="150">
        <f ca="1">IF(N(AA127)=0,0,VLOOKUP(AA127,Hraci!$A$1:$I$1000,9,0))</f>
        <v>0</v>
      </c>
      <c r="AG127" s="147"/>
      <c r="AH127" s="151">
        <f ca="1">IF(TYPE(VLOOKUP(H127,Nasazení!$A$3:$E$130,5,0))&lt;4,VLOOKUP(H127,Nasazení!$A$3:$E$130,5,0),0)</f>
        <v>0</v>
      </c>
      <c r="AI127" s="152" t="str">
        <f ca="1">IF(N($AH127)&gt;0,VLOOKUP($AH127,Body!$A$4:$F$259,5,0),"")</f>
        <v/>
      </c>
      <c r="AJ127" s="153" t="str">
        <f ca="1">IF(N($AH127)&gt;0,VLOOKUP($AH127,Body!$A$4:$F$259,6,0),"")</f>
        <v/>
      </c>
      <c r="AK127" s="152" t="str">
        <f ca="1">IF(N($AH127)&gt;0,VLOOKUP($AH127,Body!$A$4:$F$259,2,0),"")</f>
        <v/>
      </c>
      <c r="AL127" s="154" t="str">
        <f t="shared" ca="1" si="57"/>
        <v/>
      </c>
      <c r="AM127" s="155">
        <f t="shared" ca="1" si="58"/>
        <v>0</v>
      </c>
      <c r="AN127" s="72">
        <f ca="1">IF(OR(TYPE(I127)&gt;1,TYPE(MATCH(I127,I128:I$203,0))&gt;1),0,MATCH(I127,I128:I$203,0))+IF(OR(TYPE(I127)&gt;1,TYPE(MATCH(I127,O$11:O$203,0))&gt;1),0,MATCH(I127,O$11:O$203,0))+IF(OR(TYPE(I127)&gt;1,TYPE(MATCH(I127,U$11:U$203,0))&gt;1),0,MATCH(I127,U$11:U$203,0))+IF(OR(TYPE(I127)&gt;1,TYPE(MATCH(I127,AA$11:AA$203,0))&gt;1),0,MATCH(I127,AA$11:AA$203,0))</f>
        <v>0</v>
      </c>
      <c r="AO127" s="72">
        <f ca="1">IF(OR(TYPE(O127)&gt;1,TYPE(MATCH(O127,I$11:I$203,0))&gt;1),0,MATCH(O127,I$11:I$203,0))+IF(OR(TYPE(O127)&gt;1,TYPE(MATCH(O127,O128:O$203,0))&gt;1),0,MATCH(O127,O128:O$203,0))+IF(OR(TYPE(O127)&gt;1,TYPE(MATCH(O127,U$11:U$203,0))&gt;1),0,MATCH(O127,U$11:U$203,0))+IF(OR(TYPE(O127)&gt;1,TYPE(MATCH(O127,AA$11:AA$203,0))&gt;1),0,MATCH(O127,AA$11:AA$203,0))</f>
        <v>0</v>
      </c>
      <c r="AP127" s="72">
        <f ca="1">IF(OR(TYPE(U127)&gt;1,TYPE(MATCH(U127,I$11:I$203,0))&gt;1),0,MATCH(U127,I$11:I$203,0))+IF(OR(TYPE(U127)&gt;1,TYPE(MATCH(U127,O$11:O$203,0))&gt;1),0,MATCH(U127,O$11:O$203,0))+IF(OR(TYPE(U127)&gt;1,TYPE(MATCH(U127,U128:U$203,0))&gt;1),0,MATCH(U127,U128:U$203,0))+IF(OR(TYPE(U127)&gt;1,TYPE(MATCH(U127,AA$11:AA$203,0))&gt;1),0,MATCH(U127,AA$11:AA$203,0))</f>
        <v>0</v>
      </c>
      <c r="AQ127" s="72">
        <f ca="1">IF(OR(TYPE(AA127)&gt;1,TYPE(MATCH(AA127,I$11:I$203,0))&gt;1),0,MATCH(AA127,I$11:I$203,0))+IF(OR(TYPE(AA127)&gt;1,TYPE(MATCH(AA127,O$11:O$203,0))&gt;1),0,MATCH(AA127,O$11:O$203,0))+IF(OR(TYPE(AA127)&gt;1,TYPE(MATCH(AA127,U$11:U$203,0))&gt;1),0,MATCH(U127,U$11:U$203,0))+IF(OR(TYPE(AA127)&gt;1,TYPE(MATCH(AA127,AA128:AA$203,0))&gt;1),0,MATCH(AA127,AA128:AA$203,0))</f>
        <v>0</v>
      </c>
      <c r="AR127" s="72">
        <f t="shared" ca="1" si="59"/>
        <v>0</v>
      </c>
    </row>
    <row r="128" spans="1:44" ht="14.25">
      <c r="A128" s="103">
        <f t="shared" ca="1" si="45"/>
        <v>0</v>
      </c>
      <c r="B128" s="103">
        <f t="shared" ca="1" si="46"/>
        <v>0</v>
      </c>
      <c r="C128" s="156">
        <f t="shared" ca="1" si="47"/>
        <v>0</v>
      </c>
      <c r="D128" s="103">
        <f t="shared" ca="1" si="48"/>
        <v>99999</v>
      </c>
      <c r="E128" s="103">
        <f t="shared" ca="1" si="49"/>
        <v>9999</v>
      </c>
      <c r="F128" s="104" t="str">
        <f t="shared" ca="1" si="50"/>
        <v>00000000000000000000902459</v>
      </c>
      <c r="G128" s="145">
        <f t="shared" ca="1" si="51"/>
        <v>1</v>
      </c>
      <c r="H128" s="146">
        <f t="shared" si="52"/>
        <v>118</v>
      </c>
      <c r="I128" s="147" t="str">
        <f t="shared" ca="1" si="53"/>
        <v/>
      </c>
      <c r="J128" s="148" t="str">
        <f ca="1">IF(N(I128)&gt;0,VLOOKUP(I128,Hraci!$A$1:$I$1000,2,0),IF(TYPE(INDIRECT(ADDRESS(ROW() + $A$9-9 + (ROW()-11)*4,2,1,1,"Internet")))&gt;1,INDIRECT(ADDRESS(ROW() + $A$9-9 + (ROW()-11)*4,2,1,1,"Internet"))," "))</f>
        <v xml:space="preserve"> </v>
      </c>
      <c r="K128" s="149" t="str">
        <f ca="1">IF(N(I128)&gt;0,VLOOKUP(I128,Hraci!$A$1:$I$1000,3,0)," ")</f>
        <v xml:space="preserve"> </v>
      </c>
      <c r="L128" s="149" t="str">
        <f ca="1">IF(N(I128)&gt;0,VLOOKUP(I128,Hraci!$A$1:$I$1000,5,0),IF(TYPE(INDIRECT(ADDRESS(ROW() + $A$9-9 + (ROW()-11)*4,3,1,1,"Internet")))&gt;1,INDIRECT(ADDRESS(ROW() + $A$9-9 + (ROW()-11)*4,3,1,1,"Internet"))," "))</f>
        <v xml:space="preserve"> </v>
      </c>
      <c r="M128" s="149">
        <f ca="1">IF(N(I128)=0,9999,VLOOKUP(I128,Hraci!$A$1:$I$1000,8,0))</f>
        <v>9999</v>
      </c>
      <c r="N128" s="150">
        <f ca="1">IF(N(I128)=0,0,VLOOKUP(I128,Hraci!$A$1:$I$1000,9,0))</f>
        <v>0</v>
      </c>
      <c r="O128" s="147" t="str">
        <f t="shared" ca="1" si="54"/>
        <v/>
      </c>
      <c r="P128" s="148" t="str">
        <f ca="1">IF(N(O128)&gt;0,VLOOKUP(O128,Hraci!$A$1:$I$1000,2,0),IF(TYPE(INDIRECT(ADDRESS(ROW() + $A$9-8 + (ROW()-11)*4,2,1,1,"Internet")))&gt;1,INDIRECT(ADDRESS(ROW() + $A$9-8 + (ROW()-11)*4,2,1,1,"Internet"))," "))</f>
        <v xml:space="preserve"> </v>
      </c>
      <c r="Q128" s="149" t="str">
        <f ca="1">IF(N(O128)&gt;0,VLOOKUP(O128,Hraci!$A$1:$I$1000,3,0)," ")</f>
        <v xml:space="preserve"> </v>
      </c>
      <c r="R128" s="149" t="str">
        <f ca="1">IF(N(O128)&gt;0,VLOOKUP(O128,Hraci!$A$1:$I$1000,5,0),IF(TYPE(INDIRECT(ADDRESS(ROW() + $A$9-8 + (ROW()-11)*4,3,1,1,"Internet")))&gt;1,INDIRECT(ADDRESS(ROW() + $A$9-8 + (ROW()-11)*4,3,1,1,"Internet"))," "))</f>
        <v xml:space="preserve"> </v>
      </c>
      <c r="S128" s="149">
        <f ca="1">IF(N(O128)=0,9999,VLOOKUP(O128,Hraci!$A$1:$I$1000,8,0))</f>
        <v>9999</v>
      </c>
      <c r="T128" s="150">
        <f ca="1">IF(N(O128)=0,0,VLOOKUP(O128,Hraci!$A$1:$I$1000,9,0))</f>
        <v>0</v>
      </c>
      <c r="U128" s="147" t="str">
        <f t="shared" ca="1" si="55"/>
        <v/>
      </c>
      <c r="V128" s="148" t="str">
        <f ca="1">IF(N(U128)&gt;0,VLOOKUP(U128,Hraci!$A$1:$I$1000,2,0),IF(TYPE(INDIRECT(ADDRESS(ROW() + $A$9-7 + (ROW()-11)*4,2,1,1,"Internet")))&gt;1,INDIRECT(ADDRESS(ROW() + $A$9-7 + (ROW()-11)*4,2,1,1,"Internet"))," "))</f>
        <v xml:space="preserve"> </v>
      </c>
      <c r="W128" s="149" t="str">
        <f ca="1">IF(N(U128)&gt;0,VLOOKUP(U128,Hraci!$A$1:$I$1000,3,0)," ")</f>
        <v xml:space="preserve"> </v>
      </c>
      <c r="X128" s="149" t="str">
        <f ca="1">IF(N(U128)&gt;0,VLOOKUP(U128,Hraci!$A$1:$I$1000,5,0),IF(TYPE(INDIRECT(ADDRESS(ROW() + $A$9-7 + (ROW()-11)*4,3,1,1,"Internet")))&gt;1,INDIRECT(ADDRESS(ROW() + $A$9-7 + (ROW()-11)*4,3,1,1,"Internet"))," "))</f>
        <v xml:space="preserve"> </v>
      </c>
      <c r="Y128" s="149">
        <f ca="1">IF(N(U128)=0,9999,VLOOKUP(U128,Hraci!$A$1:$I$1000,8,0))</f>
        <v>9999</v>
      </c>
      <c r="Z128" s="150">
        <f ca="1">IF(N(U128)=0,0,VLOOKUP(U128,Hraci!$A$1:$I$1000,9,0))</f>
        <v>0</v>
      </c>
      <c r="AA128" s="147" t="str">
        <f t="shared" ca="1" si="56"/>
        <v/>
      </c>
      <c r="AB128" s="148" t="str">
        <f ca="1">IF(N(AA128)&gt;0,VLOOKUP(AA128,Hraci!$A$1:$I$1000,2,0)," ")</f>
        <v xml:space="preserve"> </v>
      </c>
      <c r="AC128" s="149" t="str">
        <f ca="1">IF(N(AA128)&gt;0,VLOOKUP(AA128,Hraci!$A$1:$I$1000,3,0)," ")</f>
        <v xml:space="preserve"> </v>
      </c>
      <c r="AD128" s="149" t="str">
        <f ca="1">IF(N(AA128)&gt;0,VLOOKUP(AA128,Hraci!$A$1:$I$1000,5,0)," ")</f>
        <v xml:space="preserve"> </v>
      </c>
      <c r="AE128" s="149">
        <f ca="1">IF(N(AA128)=0,9999,VLOOKUP(AA128,Hraci!$A$1:$I$1000,8,0))</f>
        <v>9999</v>
      </c>
      <c r="AF128" s="150">
        <f ca="1">IF(N(AA128)=0,0,VLOOKUP(AA128,Hraci!$A$1:$I$1000,9,0))</f>
        <v>0</v>
      </c>
      <c r="AG128" s="147"/>
      <c r="AH128" s="151">
        <f ca="1">IF(TYPE(VLOOKUP(H128,Nasazení!$A$3:$E$130,5,0))&lt;4,VLOOKUP(H128,Nasazení!$A$3:$E$130,5,0),0)</f>
        <v>0</v>
      </c>
      <c r="AI128" s="152" t="str">
        <f ca="1">IF(N($AH128)&gt;0,VLOOKUP($AH128,Body!$A$4:$F$259,5,0),"")</f>
        <v/>
      </c>
      <c r="AJ128" s="153" t="str">
        <f ca="1">IF(N($AH128)&gt;0,VLOOKUP($AH128,Body!$A$4:$F$259,6,0),"")</f>
        <v/>
      </c>
      <c r="AK128" s="152" t="str">
        <f ca="1">IF(N($AH128)&gt;0,VLOOKUP($AH128,Body!$A$4:$F$259,2,0),"")</f>
        <v/>
      </c>
      <c r="AL128" s="154" t="str">
        <f t="shared" ca="1" si="57"/>
        <v/>
      </c>
      <c r="AM128" s="155">
        <f t="shared" ca="1" si="58"/>
        <v>0</v>
      </c>
      <c r="AN128" s="72">
        <f ca="1">IF(OR(TYPE(I128)&gt;1,TYPE(MATCH(I128,I129:I$203,0))&gt;1),0,MATCH(I128,I129:I$203,0))+IF(OR(TYPE(I128)&gt;1,TYPE(MATCH(I128,O$11:O$203,0))&gt;1),0,MATCH(I128,O$11:O$203,0))+IF(OR(TYPE(I128)&gt;1,TYPE(MATCH(I128,U$11:U$203,0))&gt;1),0,MATCH(I128,U$11:U$203,0))+IF(OR(TYPE(I128)&gt;1,TYPE(MATCH(I128,AA$11:AA$203,0))&gt;1),0,MATCH(I128,AA$11:AA$203,0))</f>
        <v>0</v>
      </c>
      <c r="AO128" s="72">
        <f ca="1">IF(OR(TYPE(O128)&gt;1,TYPE(MATCH(O128,I$11:I$203,0))&gt;1),0,MATCH(O128,I$11:I$203,0))+IF(OR(TYPE(O128)&gt;1,TYPE(MATCH(O128,O129:O$203,0))&gt;1),0,MATCH(O128,O129:O$203,0))+IF(OR(TYPE(O128)&gt;1,TYPE(MATCH(O128,U$11:U$203,0))&gt;1),0,MATCH(O128,U$11:U$203,0))+IF(OR(TYPE(O128)&gt;1,TYPE(MATCH(O128,AA$11:AA$203,0))&gt;1),0,MATCH(O128,AA$11:AA$203,0))</f>
        <v>0</v>
      </c>
      <c r="AP128" s="72">
        <f ca="1">IF(OR(TYPE(U128)&gt;1,TYPE(MATCH(U128,I$11:I$203,0))&gt;1),0,MATCH(U128,I$11:I$203,0))+IF(OR(TYPE(U128)&gt;1,TYPE(MATCH(U128,O$11:O$203,0))&gt;1),0,MATCH(U128,O$11:O$203,0))+IF(OR(TYPE(U128)&gt;1,TYPE(MATCH(U128,U129:U$203,0))&gt;1),0,MATCH(U128,U129:U$203,0))+IF(OR(TYPE(U128)&gt;1,TYPE(MATCH(U128,AA$11:AA$203,0))&gt;1),0,MATCH(U128,AA$11:AA$203,0))</f>
        <v>0</v>
      </c>
      <c r="AQ128" s="72">
        <f ca="1">IF(OR(TYPE(AA128)&gt;1,TYPE(MATCH(AA128,I$11:I$203,0))&gt;1),0,MATCH(AA128,I$11:I$203,0))+IF(OR(TYPE(AA128)&gt;1,TYPE(MATCH(AA128,O$11:O$203,0))&gt;1),0,MATCH(AA128,O$11:O$203,0))+IF(OR(TYPE(AA128)&gt;1,TYPE(MATCH(AA128,U$11:U$203,0))&gt;1),0,MATCH(U128,U$11:U$203,0))+IF(OR(TYPE(AA128)&gt;1,TYPE(MATCH(AA128,AA129:AA$203,0))&gt;1),0,MATCH(AA128,AA129:AA$203,0))</f>
        <v>0</v>
      </c>
      <c r="AR128" s="72">
        <f t="shared" ca="1" si="59"/>
        <v>0</v>
      </c>
    </row>
    <row r="129" spans="1:44" ht="14.25">
      <c r="A129" s="103">
        <f t="shared" ca="1" si="45"/>
        <v>0</v>
      </c>
      <c r="B129" s="103">
        <f t="shared" ca="1" si="46"/>
        <v>0</v>
      </c>
      <c r="C129" s="156">
        <f t="shared" ca="1" si="47"/>
        <v>0</v>
      </c>
      <c r="D129" s="103">
        <f t="shared" ca="1" si="48"/>
        <v>99999</v>
      </c>
      <c r="E129" s="103">
        <f t="shared" ca="1" si="49"/>
        <v>9999</v>
      </c>
      <c r="F129" s="104" t="str">
        <f t="shared" ca="1" si="50"/>
        <v>00000000000000000000824419</v>
      </c>
      <c r="G129" s="145">
        <f t="shared" ca="1" si="51"/>
        <v>1</v>
      </c>
      <c r="H129" s="146">
        <f t="shared" si="52"/>
        <v>119</v>
      </c>
      <c r="I129" s="147" t="str">
        <f t="shared" ca="1" si="53"/>
        <v/>
      </c>
      <c r="J129" s="148" t="str">
        <f ca="1">IF(N(I129)&gt;0,VLOOKUP(I129,Hraci!$A$1:$I$1000,2,0),IF(TYPE(INDIRECT(ADDRESS(ROW() + $A$9-9 + (ROW()-11)*4,2,1,1,"Internet")))&gt;1,INDIRECT(ADDRESS(ROW() + $A$9-9 + (ROW()-11)*4,2,1,1,"Internet"))," "))</f>
        <v xml:space="preserve"> </v>
      </c>
      <c r="K129" s="149" t="str">
        <f ca="1">IF(N(I129)&gt;0,VLOOKUP(I129,Hraci!$A$1:$I$1000,3,0)," ")</f>
        <v xml:space="preserve"> </v>
      </c>
      <c r="L129" s="149" t="str">
        <f ca="1">IF(N(I129)&gt;0,VLOOKUP(I129,Hraci!$A$1:$I$1000,5,0),IF(TYPE(INDIRECT(ADDRESS(ROW() + $A$9-9 + (ROW()-11)*4,3,1,1,"Internet")))&gt;1,INDIRECT(ADDRESS(ROW() + $A$9-9 + (ROW()-11)*4,3,1,1,"Internet"))," "))</f>
        <v xml:space="preserve"> </v>
      </c>
      <c r="M129" s="149">
        <f ca="1">IF(N(I129)=0,9999,VLOOKUP(I129,Hraci!$A$1:$I$1000,8,0))</f>
        <v>9999</v>
      </c>
      <c r="N129" s="150">
        <f ca="1">IF(N(I129)=0,0,VLOOKUP(I129,Hraci!$A$1:$I$1000,9,0))</f>
        <v>0</v>
      </c>
      <c r="O129" s="147" t="str">
        <f t="shared" ca="1" si="54"/>
        <v/>
      </c>
      <c r="P129" s="148" t="str">
        <f ca="1">IF(N(O129)&gt;0,VLOOKUP(O129,Hraci!$A$1:$I$1000,2,0),IF(TYPE(INDIRECT(ADDRESS(ROW() + $A$9-8 + (ROW()-11)*4,2,1,1,"Internet")))&gt;1,INDIRECT(ADDRESS(ROW() + $A$9-8 + (ROW()-11)*4,2,1,1,"Internet"))," "))</f>
        <v xml:space="preserve"> </v>
      </c>
      <c r="Q129" s="149" t="str">
        <f ca="1">IF(N(O129)&gt;0,VLOOKUP(O129,Hraci!$A$1:$I$1000,3,0)," ")</f>
        <v xml:space="preserve"> </v>
      </c>
      <c r="R129" s="149" t="str">
        <f ca="1">IF(N(O129)&gt;0,VLOOKUP(O129,Hraci!$A$1:$I$1000,5,0),IF(TYPE(INDIRECT(ADDRESS(ROW() + $A$9-8 + (ROW()-11)*4,3,1,1,"Internet")))&gt;1,INDIRECT(ADDRESS(ROW() + $A$9-8 + (ROW()-11)*4,3,1,1,"Internet"))," "))</f>
        <v xml:space="preserve"> </v>
      </c>
      <c r="S129" s="149">
        <f ca="1">IF(N(O129)=0,9999,VLOOKUP(O129,Hraci!$A$1:$I$1000,8,0))</f>
        <v>9999</v>
      </c>
      <c r="T129" s="150">
        <f ca="1">IF(N(O129)=0,0,VLOOKUP(O129,Hraci!$A$1:$I$1000,9,0))</f>
        <v>0</v>
      </c>
      <c r="U129" s="147" t="str">
        <f t="shared" ca="1" si="55"/>
        <v/>
      </c>
      <c r="V129" s="148" t="str">
        <f ca="1">IF(N(U129)&gt;0,VLOOKUP(U129,Hraci!$A$1:$I$1000,2,0),IF(TYPE(INDIRECT(ADDRESS(ROW() + $A$9-7 + (ROW()-11)*4,2,1,1,"Internet")))&gt;1,INDIRECT(ADDRESS(ROW() + $A$9-7 + (ROW()-11)*4,2,1,1,"Internet"))," "))</f>
        <v xml:space="preserve"> </v>
      </c>
      <c r="W129" s="149" t="str">
        <f ca="1">IF(N(U129)&gt;0,VLOOKUP(U129,Hraci!$A$1:$I$1000,3,0)," ")</f>
        <v xml:space="preserve"> </v>
      </c>
      <c r="X129" s="149" t="str">
        <f ca="1">IF(N(U129)&gt;0,VLOOKUP(U129,Hraci!$A$1:$I$1000,5,0),IF(TYPE(INDIRECT(ADDRESS(ROW() + $A$9-7 + (ROW()-11)*4,3,1,1,"Internet")))&gt;1,INDIRECT(ADDRESS(ROW() + $A$9-7 + (ROW()-11)*4,3,1,1,"Internet"))," "))</f>
        <v xml:space="preserve"> </v>
      </c>
      <c r="Y129" s="149">
        <f ca="1">IF(N(U129)=0,9999,VLOOKUP(U129,Hraci!$A$1:$I$1000,8,0))</f>
        <v>9999</v>
      </c>
      <c r="Z129" s="150">
        <f ca="1">IF(N(U129)=0,0,VLOOKUP(U129,Hraci!$A$1:$I$1000,9,0))</f>
        <v>0</v>
      </c>
      <c r="AA129" s="147" t="str">
        <f t="shared" ca="1" si="56"/>
        <v/>
      </c>
      <c r="AB129" s="148" t="str">
        <f ca="1">IF(N(AA129)&gt;0,VLOOKUP(AA129,Hraci!$A$1:$I$1000,2,0)," ")</f>
        <v xml:space="preserve"> </v>
      </c>
      <c r="AC129" s="149" t="str">
        <f ca="1">IF(N(AA129)&gt;0,VLOOKUP(AA129,Hraci!$A$1:$I$1000,3,0)," ")</f>
        <v xml:space="preserve"> </v>
      </c>
      <c r="AD129" s="149" t="str">
        <f ca="1">IF(N(AA129)&gt;0,VLOOKUP(AA129,Hraci!$A$1:$I$1000,5,0)," ")</f>
        <v xml:space="preserve"> </v>
      </c>
      <c r="AE129" s="149">
        <f ca="1">IF(N(AA129)=0,9999,VLOOKUP(AA129,Hraci!$A$1:$I$1000,8,0))</f>
        <v>9999</v>
      </c>
      <c r="AF129" s="150">
        <f ca="1">IF(N(AA129)=0,0,VLOOKUP(AA129,Hraci!$A$1:$I$1000,9,0))</f>
        <v>0</v>
      </c>
      <c r="AG129" s="147"/>
      <c r="AH129" s="151">
        <f ca="1">IF(TYPE(VLOOKUP(H129,Nasazení!$A$3:$E$130,5,0))&lt;4,VLOOKUP(H129,Nasazení!$A$3:$E$130,5,0),0)</f>
        <v>0</v>
      </c>
      <c r="AI129" s="152" t="str">
        <f ca="1">IF(N($AH129)&gt;0,VLOOKUP($AH129,Body!$A$4:$F$259,5,0),"")</f>
        <v/>
      </c>
      <c r="AJ129" s="153" t="str">
        <f ca="1">IF(N($AH129)&gt;0,VLOOKUP($AH129,Body!$A$4:$F$259,6,0),"")</f>
        <v/>
      </c>
      <c r="AK129" s="152" t="str">
        <f ca="1">IF(N($AH129)&gt;0,VLOOKUP($AH129,Body!$A$4:$F$259,2,0),"")</f>
        <v/>
      </c>
      <c r="AL129" s="154" t="str">
        <f t="shared" ca="1" si="57"/>
        <v/>
      </c>
      <c r="AM129" s="155">
        <f t="shared" ca="1" si="58"/>
        <v>0</v>
      </c>
      <c r="AN129" s="72">
        <f ca="1">IF(OR(TYPE(I129)&gt;1,TYPE(MATCH(I129,I130:I$203,0))&gt;1),0,MATCH(I129,I130:I$203,0))+IF(OR(TYPE(I129)&gt;1,TYPE(MATCH(I129,O$11:O$203,0))&gt;1),0,MATCH(I129,O$11:O$203,0))+IF(OR(TYPE(I129)&gt;1,TYPE(MATCH(I129,U$11:U$203,0))&gt;1),0,MATCH(I129,U$11:U$203,0))+IF(OR(TYPE(I129)&gt;1,TYPE(MATCH(I129,AA$11:AA$203,0))&gt;1),0,MATCH(I129,AA$11:AA$203,0))</f>
        <v>0</v>
      </c>
      <c r="AO129" s="72">
        <f ca="1">IF(OR(TYPE(O129)&gt;1,TYPE(MATCH(O129,I$11:I$203,0))&gt;1),0,MATCH(O129,I$11:I$203,0))+IF(OR(TYPE(O129)&gt;1,TYPE(MATCH(O129,O130:O$203,0))&gt;1),0,MATCH(O129,O130:O$203,0))+IF(OR(TYPE(O129)&gt;1,TYPE(MATCH(O129,U$11:U$203,0))&gt;1),0,MATCH(O129,U$11:U$203,0))+IF(OR(TYPE(O129)&gt;1,TYPE(MATCH(O129,AA$11:AA$203,0))&gt;1),0,MATCH(O129,AA$11:AA$203,0))</f>
        <v>0</v>
      </c>
      <c r="AP129" s="72">
        <f ca="1">IF(OR(TYPE(U129)&gt;1,TYPE(MATCH(U129,I$11:I$203,0))&gt;1),0,MATCH(U129,I$11:I$203,0))+IF(OR(TYPE(U129)&gt;1,TYPE(MATCH(U129,O$11:O$203,0))&gt;1),0,MATCH(U129,O$11:O$203,0))+IF(OR(TYPE(U129)&gt;1,TYPE(MATCH(U129,U130:U$203,0))&gt;1),0,MATCH(U129,U130:U$203,0))+IF(OR(TYPE(U129)&gt;1,TYPE(MATCH(U129,AA$11:AA$203,0))&gt;1),0,MATCH(U129,AA$11:AA$203,0))</f>
        <v>0</v>
      </c>
      <c r="AQ129" s="72">
        <f ca="1">IF(OR(TYPE(AA129)&gt;1,TYPE(MATCH(AA129,I$11:I$203,0))&gt;1),0,MATCH(AA129,I$11:I$203,0))+IF(OR(TYPE(AA129)&gt;1,TYPE(MATCH(AA129,O$11:O$203,0))&gt;1),0,MATCH(AA129,O$11:O$203,0))+IF(OR(TYPE(AA129)&gt;1,TYPE(MATCH(AA129,U$11:U$203,0))&gt;1),0,MATCH(U129,U$11:U$203,0))+IF(OR(TYPE(AA129)&gt;1,TYPE(MATCH(AA129,AA130:AA$203,0))&gt;1),0,MATCH(AA129,AA130:AA$203,0))</f>
        <v>0</v>
      </c>
      <c r="AR129" s="72">
        <f t="shared" ca="1" si="59"/>
        <v>0</v>
      </c>
    </row>
    <row r="130" spans="1:44" ht="14.25">
      <c r="A130" s="73">
        <f t="shared" ca="1" si="45"/>
        <v>0</v>
      </c>
      <c r="B130" s="73">
        <f t="shared" ca="1" si="46"/>
        <v>0</v>
      </c>
      <c r="C130" s="157">
        <f t="shared" ca="1" si="47"/>
        <v>0</v>
      </c>
      <c r="D130" s="73">
        <f t="shared" ca="1" si="48"/>
        <v>99999</v>
      </c>
      <c r="E130" s="103">
        <f t="shared" ca="1" si="49"/>
        <v>9999</v>
      </c>
      <c r="F130" s="104" t="str">
        <f t="shared" ca="1" si="50"/>
        <v>00000000000000000000595995</v>
      </c>
      <c r="G130" s="145">
        <f t="shared" ca="1" si="51"/>
        <v>1</v>
      </c>
      <c r="H130" s="146">
        <f t="shared" si="52"/>
        <v>120</v>
      </c>
      <c r="I130" s="147" t="str">
        <f t="shared" ca="1" si="53"/>
        <v/>
      </c>
      <c r="J130" s="148" t="str">
        <f ca="1">IF(N(I130)&gt;0,VLOOKUP(I130,Hraci!$A$1:$I$1000,2,0),IF(TYPE(INDIRECT(ADDRESS(ROW() + $A$9-9 + (ROW()-11)*4,2,1,1,"Internet")))&gt;1,INDIRECT(ADDRESS(ROW() + $A$9-9 + (ROW()-11)*4,2,1,1,"Internet"))," "))</f>
        <v xml:space="preserve"> </v>
      </c>
      <c r="K130" s="149" t="str">
        <f ca="1">IF(N(I130)&gt;0,VLOOKUP(I130,Hraci!$A$1:$I$1000,3,0)," ")</f>
        <v xml:space="preserve"> </v>
      </c>
      <c r="L130" s="149" t="str">
        <f ca="1">IF(N(I130)&gt;0,VLOOKUP(I130,Hraci!$A$1:$I$1000,5,0),IF(TYPE(INDIRECT(ADDRESS(ROW() + $A$9-9 + (ROW()-11)*4,3,1,1,"Internet")))&gt;1,INDIRECT(ADDRESS(ROW() + $A$9-9 + (ROW()-11)*4,3,1,1,"Internet"))," "))</f>
        <v xml:space="preserve"> </v>
      </c>
      <c r="M130" s="149">
        <f ca="1">IF(N(I130)=0,9999,VLOOKUP(I130,Hraci!$A$1:$I$1000,8,0))</f>
        <v>9999</v>
      </c>
      <c r="N130" s="150">
        <f ca="1">IF(N(I130)=0,0,VLOOKUP(I130,Hraci!$A$1:$I$1000,9,0))</f>
        <v>0</v>
      </c>
      <c r="O130" s="147" t="str">
        <f t="shared" ca="1" si="54"/>
        <v/>
      </c>
      <c r="P130" s="148" t="str">
        <f ca="1">IF(N(O130)&gt;0,VLOOKUP(O130,Hraci!$A$1:$I$1000,2,0),IF(TYPE(INDIRECT(ADDRESS(ROW() + $A$9-8 + (ROW()-11)*4,2,1,1,"Internet")))&gt;1,INDIRECT(ADDRESS(ROW() + $A$9-8 + (ROW()-11)*4,2,1,1,"Internet"))," "))</f>
        <v xml:space="preserve"> </v>
      </c>
      <c r="Q130" s="149" t="str">
        <f ca="1">IF(N(O130)&gt;0,VLOOKUP(O130,Hraci!$A$1:$I$1000,3,0)," ")</f>
        <v xml:space="preserve"> </v>
      </c>
      <c r="R130" s="149" t="str">
        <f ca="1">IF(N(O130)&gt;0,VLOOKUP(O130,Hraci!$A$1:$I$1000,5,0),IF(TYPE(INDIRECT(ADDRESS(ROW() + $A$9-8 + (ROW()-11)*4,3,1,1,"Internet")))&gt;1,INDIRECT(ADDRESS(ROW() + $A$9-8 + (ROW()-11)*4,3,1,1,"Internet"))," "))</f>
        <v xml:space="preserve"> </v>
      </c>
      <c r="S130" s="149">
        <f ca="1">IF(N(O130)=0,9999,VLOOKUP(O130,Hraci!$A$1:$I$1000,8,0))</f>
        <v>9999</v>
      </c>
      <c r="T130" s="150">
        <f ca="1">IF(N(O130)=0,0,VLOOKUP(O130,Hraci!$A$1:$I$1000,9,0))</f>
        <v>0</v>
      </c>
      <c r="U130" s="147" t="str">
        <f t="shared" ca="1" si="55"/>
        <v/>
      </c>
      <c r="V130" s="148" t="str">
        <f ca="1">IF(N(U130)&gt;0,VLOOKUP(U130,Hraci!$A$1:$I$1000,2,0),IF(TYPE(INDIRECT(ADDRESS(ROW() + $A$9-7 + (ROW()-11)*4,2,1,1,"Internet")))&gt;1,INDIRECT(ADDRESS(ROW() + $A$9-7 + (ROW()-11)*4,2,1,1,"Internet"))," "))</f>
        <v xml:space="preserve"> </v>
      </c>
      <c r="W130" s="149" t="str">
        <f ca="1">IF(N(U130)&gt;0,VLOOKUP(U130,Hraci!$A$1:$I$1000,3,0)," ")</f>
        <v xml:space="preserve"> </v>
      </c>
      <c r="X130" s="149" t="str">
        <f ca="1">IF(N(U130)&gt;0,VLOOKUP(U130,Hraci!$A$1:$I$1000,5,0),IF(TYPE(INDIRECT(ADDRESS(ROW() + $A$9-7 + (ROW()-11)*4,3,1,1,"Internet")))&gt;1,INDIRECT(ADDRESS(ROW() + $A$9-7 + (ROW()-11)*4,3,1,1,"Internet"))," "))</f>
        <v xml:space="preserve"> </v>
      </c>
      <c r="Y130" s="149">
        <f ca="1">IF(N(U130)=0,9999,VLOOKUP(U130,Hraci!$A$1:$I$1000,8,0))</f>
        <v>9999</v>
      </c>
      <c r="Z130" s="150">
        <f ca="1">IF(N(U130)=0,0,VLOOKUP(U130,Hraci!$A$1:$I$1000,9,0))</f>
        <v>0</v>
      </c>
      <c r="AA130" s="147" t="str">
        <f t="shared" ca="1" si="56"/>
        <v/>
      </c>
      <c r="AB130" s="148" t="str">
        <f ca="1">IF(N(AA130)&gt;0,VLOOKUP(AA130,Hraci!$A$1:$I$1000,2,0)," ")</f>
        <v xml:space="preserve"> </v>
      </c>
      <c r="AC130" s="149" t="str">
        <f ca="1">IF(N(AA130)&gt;0,VLOOKUP(AA130,Hraci!$A$1:$I$1000,3,0)," ")</f>
        <v xml:space="preserve"> </v>
      </c>
      <c r="AD130" s="149" t="str">
        <f ca="1">IF(N(AA130)&gt;0,VLOOKUP(AA130,Hraci!$A$1:$I$1000,5,0)," ")</f>
        <v xml:space="preserve"> </v>
      </c>
      <c r="AE130" s="149">
        <f ca="1">IF(N(AA130)=0,9999,VLOOKUP(AA130,Hraci!$A$1:$I$1000,8,0))</f>
        <v>9999</v>
      </c>
      <c r="AF130" s="150">
        <f ca="1">IF(N(AA130)=0,0,VLOOKUP(AA130,Hraci!$A$1:$I$1000,9,0))</f>
        <v>0</v>
      </c>
      <c r="AG130" s="147"/>
      <c r="AH130" s="151">
        <f ca="1">IF(TYPE(VLOOKUP(H130,Nasazení!$A$3:$E$130,5,0))&lt;4,VLOOKUP(H130,Nasazení!$A$3:$E$130,5,0),0)</f>
        <v>0</v>
      </c>
      <c r="AI130" s="152" t="str">
        <f ca="1">IF(N($AH130)&gt;0,VLOOKUP($AH130,Body!$A$4:$F$259,5,0),"")</f>
        <v/>
      </c>
      <c r="AJ130" s="153" t="str">
        <f ca="1">IF(N($AH130)&gt;0,VLOOKUP($AH130,Body!$A$4:$F$259,6,0),"")</f>
        <v/>
      </c>
      <c r="AK130" s="152" t="str">
        <f ca="1">IF(N($AH130)&gt;0,VLOOKUP($AH130,Body!$A$4:$F$259,2,0),"")</f>
        <v/>
      </c>
      <c r="AL130" s="154" t="str">
        <f t="shared" ca="1" si="57"/>
        <v/>
      </c>
      <c r="AM130" s="155">
        <f t="shared" ca="1" si="58"/>
        <v>0</v>
      </c>
      <c r="AN130" s="72">
        <f ca="1">IF(OR(TYPE(I130)&gt;1,TYPE(MATCH(I130,I131:I$203,0))&gt;1),0,MATCH(I130,I131:I$203,0))+IF(OR(TYPE(I130)&gt;1,TYPE(MATCH(I130,O$11:O$203,0))&gt;1),0,MATCH(I130,O$11:O$203,0))+IF(OR(TYPE(I130)&gt;1,TYPE(MATCH(I130,U$11:U$203,0))&gt;1),0,MATCH(I130,U$11:U$203,0))+IF(OR(TYPE(I130)&gt;1,TYPE(MATCH(I130,AA$11:AA$203,0))&gt;1),0,MATCH(I130,AA$11:AA$203,0))</f>
        <v>0</v>
      </c>
      <c r="AO130" s="72">
        <f ca="1">IF(OR(TYPE(O130)&gt;1,TYPE(MATCH(O130,I$11:I$203,0))&gt;1),0,MATCH(O130,I$11:I$203,0))+IF(OR(TYPE(O130)&gt;1,TYPE(MATCH(O130,O131:O$203,0))&gt;1),0,MATCH(O130,O131:O$203,0))+IF(OR(TYPE(O130)&gt;1,TYPE(MATCH(O130,U$11:U$203,0))&gt;1),0,MATCH(O130,U$11:U$203,0))+IF(OR(TYPE(O130)&gt;1,TYPE(MATCH(O130,AA$11:AA$203,0))&gt;1),0,MATCH(O130,AA$11:AA$203,0))</f>
        <v>0</v>
      </c>
      <c r="AP130" s="72">
        <f ca="1">IF(OR(TYPE(U130)&gt;1,TYPE(MATCH(U130,I$11:I$203,0))&gt;1),0,MATCH(U130,I$11:I$203,0))+IF(OR(TYPE(U130)&gt;1,TYPE(MATCH(U130,O$11:O$203,0))&gt;1),0,MATCH(U130,O$11:O$203,0))+IF(OR(TYPE(U130)&gt;1,TYPE(MATCH(U130,U131:U$203,0))&gt;1),0,MATCH(U130,U131:U$203,0))+IF(OR(TYPE(U130)&gt;1,TYPE(MATCH(U130,AA$11:AA$203,0))&gt;1),0,MATCH(U130,AA$11:AA$203,0))</f>
        <v>0</v>
      </c>
      <c r="AQ130" s="72">
        <f ca="1">IF(OR(TYPE(AA130)&gt;1,TYPE(MATCH(AA130,I$11:I$203,0))&gt;1),0,MATCH(AA130,I$11:I$203,0))+IF(OR(TYPE(AA130)&gt;1,TYPE(MATCH(AA130,O$11:O$203,0))&gt;1),0,MATCH(AA130,O$11:O$203,0))+IF(OR(TYPE(AA130)&gt;1,TYPE(MATCH(AA130,U$11:U$203,0))&gt;1),0,MATCH(U130,U$11:U$203,0))+IF(OR(TYPE(AA130)&gt;1,TYPE(MATCH(AA130,AA131:AA$203,0))&gt;1),0,MATCH(AA130,AA131:AA$203,0))</f>
        <v>0</v>
      </c>
      <c r="AR130" s="72">
        <f t="shared" ca="1" si="59"/>
        <v>0</v>
      </c>
    </row>
    <row r="131" spans="1:44" ht="14.25">
      <c r="A131" s="103">
        <f t="shared" ca="1" si="45"/>
        <v>0</v>
      </c>
      <c r="B131" s="103">
        <f t="shared" ca="1" si="46"/>
        <v>0</v>
      </c>
      <c r="C131" s="156">
        <f t="shared" ca="1" si="47"/>
        <v>0</v>
      </c>
      <c r="D131" s="103">
        <f t="shared" ca="1" si="48"/>
        <v>99999</v>
      </c>
      <c r="E131" s="103">
        <f t="shared" ca="1" si="49"/>
        <v>9999</v>
      </c>
      <c r="F131" s="104" t="str">
        <f t="shared" ca="1" si="50"/>
        <v>00000000000000000000998274</v>
      </c>
      <c r="G131" s="145">
        <f t="shared" ca="1" si="51"/>
        <v>1</v>
      </c>
      <c r="H131" s="146">
        <f t="shared" si="52"/>
        <v>121</v>
      </c>
      <c r="I131" s="147" t="str">
        <f t="shared" ca="1" si="53"/>
        <v/>
      </c>
      <c r="J131" s="148" t="str">
        <f ca="1">IF(N(I131)&gt;0,VLOOKUP(I131,Hraci!$A$1:$I$1000,2,0),IF(TYPE(INDIRECT(ADDRESS(ROW() + $A$9-9 + (ROW()-11)*4,2,1,1,"Internet")))&gt;1,INDIRECT(ADDRESS(ROW() + $A$9-9 + (ROW()-11)*4,2,1,1,"Internet"))," "))</f>
        <v xml:space="preserve"> </v>
      </c>
      <c r="K131" s="149" t="str">
        <f ca="1">IF(N(I131)&gt;0,VLOOKUP(I131,Hraci!$A$1:$I$1000,3,0)," ")</f>
        <v xml:space="preserve"> </v>
      </c>
      <c r="L131" s="149" t="str">
        <f ca="1">IF(N(I131)&gt;0,VLOOKUP(I131,Hraci!$A$1:$I$1000,5,0),IF(TYPE(INDIRECT(ADDRESS(ROW() + $A$9-9 + (ROW()-11)*4,3,1,1,"Internet")))&gt;1,INDIRECT(ADDRESS(ROW() + $A$9-9 + (ROW()-11)*4,3,1,1,"Internet"))," "))</f>
        <v xml:space="preserve"> </v>
      </c>
      <c r="M131" s="149">
        <f ca="1">IF(N(I131)=0,9999,VLOOKUP(I131,Hraci!$A$1:$I$1000,8,0))</f>
        <v>9999</v>
      </c>
      <c r="N131" s="150">
        <f ca="1">IF(N(I131)=0,0,VLOOKUP(I131,Hraci!$A$1:$I$1000,9,0))</f>
        <v>0</v>
      </c>
      <c r="O131" s="147" t="str">
        <f t="shared" ca="1" si="54"/>
        <v/>
      </c>
      <c r="P131" s="148" t="str">
        <f ca="1">IF(N(O131)&gt;0,VLOOKUP(O131,Hraci!$A$1:$I$1000,2,0),IF(TYPE(INDIRECT(ADDRESS(ROW() + $A$9-8 + (ROW()-11)*4,2,1,1,"Internet")))&gt;1,INDIRECT(ADDRESS(ROW() + $A$9-8 + (ROW()-11)*4,2,1,1,"Internet"))," "))</f>
        <v xml:space="preserve"> </v>
      </c>
      <c r="Q131" s="149" t="str">
        <f ca="1">IF(N(O131)&gt;0,VLOOKUP(O131,Hraci!$A$1:$I$1000,3,0)," ")</f>
        <v xml:space="preserve"> </v>
      </c>
      <c r="R131" s="149" t="str">
        <f ca="1">IF(N(O131)&gt;0,VLOOKUP(O131,Hraci!$A$1:$I$1000,5,0),IF(TYPE(INDIRECT(ADDRESS(ROW() + $A$9-8 + (ROW()-11)*4,3,1,1,"Internet")))&gt;1,INDIRECT(ADDRESS(ROW() + $A$9-8 + (ROW()-11)*4,3,1,1,"Internet"))," "))</f>
        <v xml:space="preserve"> </v>
      </c>
      <c r="S131" s="149">
        <f ca="1">IF(N(O131)=0,9999,VLOOKUP(O131,Hraci!$A$1:$I$1000,8,0))</f>
        <v>9999</v>
      </c>
      <c r="T131" s="150">
        <f ca="1">IF(N(O131)=0,0,VLOOKUP(O131,Hraci!$A$1:$I$1000,9,0))</f>
        <v>0</v>
      </c>
      <c r="U131" s="147" t="str">
        <f t="shared" ca="1" si="55"/>
        <v/>
      </c>
      <c r="V131" s="148" t="str">
        <f ca="1">IF(N(U131)&gt;0,VLOOKUP(U131,Hraci!$A$1:$I$1000,2,0),IF(TYPE(INDIRECT(ADDRESS(ROW() + $A$9-7 + (ROW()-11)*4,2,1,1,"Internet")))&gt;1,INDIRECT(ADDRESS(ROW() + $A$9-7 + (ROW()-11)*4,2,1,1,"Internet"))," "))</f>
        <v xml:space="preserve"> </v>
      </c>
      <c r="W131" s="149" t="str">
        <f ca="1">IF(N(U131)&gt;0,VLOOKUP(U131,Hraci!$A$1:$I$1000,3,0)," ")</f>
        <v xml:space="preserve"> </v>
      </c>
      <c r="X131" s="149" t="str">
        <f ca="1">IF(N(U131)&gt;0,VLOOKUP(U131,Hraci!$A$1:$I$1000,5,0),IF(TYPE(INDIRECT(ADDRESS(ROW() + $A$9-7 + (ROW()-11)*4,3,1,1,"Internet")))&gt;1,INDIRECT(ADDRESS(ROW() + $A$9-7 + (ROW()-11)*4,3,1,1,"Internet"))," "))</f>
        <v xml:space="preserve"> </v>
      </c>
      <c r="Y131" s="149">
        <f ca="1">IF(N(U131)=0,9999,VLOOKUP(U131,Hraci!$A$1:$I$1000,8,0))</f>
        <v>9999</v>
      </c>
      <c r="Z131" s="150">
        <f ca="1">IF(N(U131)=0,0,VLOOKUP(U131,Hraci!$A$1:$I$1000,9,0))</f>
        <v>0</v>
      </c>
      <c r="AA131" s="147" t="str">
        <f t="shared" ca="1" si="56"/>
        <v/>
      </c>
      <c r="AB131" s="148" t="str">
        <f ca="1">IF(N(AA131)&gt;0,VLOOKUP(AA131,Hraci!$A$1:$I$1000,2,0)," ")</f>
        <v xml:space="preserve"> </v>
      </c>
      <c r="AC131" s="149" t="str">
        <f ca="1">IF(N(AA131)&gt;0,VLOOKUP(AA131,Hraci!$A$1:$I$1000,3,0)," ")</f>
        <v xml:space="preserve"> </v>
      </c>
      <c r="AD131" s="149" t="str">
        <f ca="1">IF(N(AA131)&gt;0,VLOOKUP(AA131,Hraci!$A$1:$I$1000,5,0)," ")</f>
        <v xml:space="preserve"> </v>
      </c>
      <c r="AE131" s="149">
        <f ca="1">IF(N(AA131)=0,9999,VLOOKUP(AA131,Hraci!$A$1:$I$1000,8,0))</f>
        <v>9999</v>
      </c>
      <c r="AF131" s="150">
        <f ca="1">IF(N(AA131)=0,0,VLOOKUP(AA131,Hraci!$A$1:$I$1000,9,0))</f>
        <v>0</v>
      </c>
      <c r="AG131" s="147"/>
      <c r="AH131" s="151">
        <f ca="1">IF(TYPE(VLOOKUP(H131,Nasazení!$A$3:$E$130,5,0))&lt;4,VLOOKUP(H131,Nasazení!$A$3:$E$130,5,0),0)</f>
        <v>0</v>
      </c>
      <c r="AI131" s="152" t="str">
        <f ca="1">IF(N($AH131)&gt;0,VLOOKUP($AH131,Body!$A$4:$F$259,5,0),"")</f>
        <v/>
      </c>
      <c r="AJ131" s="153" t="str">
        <f ca="1">IF(N($AH131)&gt;0,VLOOKUP($AH131,Body!$A$4:$F$259,6,0),"")</f>
        <v/>
      </c>
      <c r="AK131" s="152" t="str">
        <f ca="1">IF(N($AH131)&gt;0,VLOOKUP($AH131,Body!$A$4:$F$259,2,0),"")</f>
        <v/>
      </c>
      <c r="AL131" s="154" t="str">
        <f t="shared" ca="1" si="57"/>
        <v/>
      </c>
      <c r="AM131" s="155">
        <f t="shared" ca="1" si="58"/>
        <v>0</v>
      </c>
      <c r="AN131" s="72">
        <f ca="1">IF(OR(TYPE(I131)&gt;1,TYPE(MATCH(I131,I132:I$203,0))&gt;1),0,MATCH(I131,I132:I$203,0))+IF(OR(TYPE(I131)&gt;1,TYPE(MATCH(I131,O$11:O$203,0))&gt;1),0,MATCH(I131,O$11:O$203,0))+IF(OR(TYPE(I131)&gt;1,TYPE(MATCH(I131,U$11:U$203,0))&gt;1),0,MATCH(I131,U$11:U$203,0))+IF(OR(TYPE(I131)&gt;1,TYPE(MATCH(I131,AA$11:AA$203,0))&gt;1),0,MATCH(I131,AA$11:AA$203,0))</f>
        <v>0</v>
      </c>
      <c r="AO131" s="72">
        <f ca="1">IF(OR(TYPE(O131)&gt;1,TYPE(MATCH(O131,I$11:I$203,0))&gt;1),0,MATCH(O131,I$11:I$203,0))+IF(OR(TYPE(O131)&gt;1,TYPE(MATCH(O131,O132:O$203,0))&gt;1),0,MATCH(O131,O132:O$203,0))+IF(OR(TYPE(O131)&gt;1,TYPE(MATCH(O131,U$11:U$203,0))&gt;1),0,MATCH(O131,U$11:U$203,0))+IF(OR(TYPE(O131)&gt;1,TYPE(MATCH(O131,AA$11:AA$203,0))&gt;1),0,MATCH(O131,AA$11:AA$203,0))</f>
        <v>0</v>
      </c>
      <c r="AP131" s="72">
        <f ca="1">IF(OR(TYPE(U131)&gt;1,TYPE(MATCH(U131,I$11:I$203,0))&gt;1),0,MATCH(U131,I$11:I$203,0))+IF(OR(TYPE(U131)&gt;1,TYPE(MATCH(U131,O$11:O$203,0))&gt;1),0,MATCH(U131,O$11:O$203,0))+IF(OR(TYPE(U131)&gt;1,TYPE(MATCH(U131,U132:U$203,0))&gt;1),0,MATCH(U131,U132:U$203,0))+IF(OR(TYPE(U131)&gt;1,TYPE(MATCH(U131,AA$11:AA$203,0))&gt;1),0,MATCH(U131,AA$11:AA$203,0))</f>
        <v>0</v>
      </c>
      <c r="AQ131" s="72">
        <f ca="1">IF(OR(TYPE(AA131)&gt;1,TYPE(MATCH(AA131,I$11:I$203,0))&gt;1),0,MATCH(AA131,I$11:I$203,0))+IF(OR(TYPE(AA131)&gt;1,TYPE(MATCH(AA131,O$11:O$203,0))&gt;1),0,MATCH(AA131,O$11:O$203,0))+IF(OR(TYPE(AA131)&gt;1,TYPE(MATCH(AA131,U$11:U$203,0))&gt;1),0,MATCH(U131,U$11:U$203,0))+IF(OR(TYPE(AA131)&gt;1,TYPE(MATCH(AA131,AA132:AA$203,0))&gt;1),0,MATCH(AA131,AA132:AA$203,0))</f>
        <v>0</v>
      </c>
      <c r="AR131" s="72">
        <f t="shared" ca="1" si="59"/>
        <v>0</v>
      </c>
    </row>
    <row r="132" spans="1:44" ht="14.25">
      <c r="A132" s="103">
        <f t="shared" ca="1" si="45"/>
        <v>0</v>
      </c>
      <c r="B132" s="103">
        <f t="shared" ca="1" si="46"/>
        <v>0</v>
      </c>
      <c r="C132" s="156">
        <f t="shared" ca="1" si="47"/>
        <v>0</v>
      </c>
      <c r="D132" s="103">
        <f t="shared" ca="1" si="48"/>
        <v>99999</v>
      </c>
      <c r="E132" s="103">
        <f t="shared" ca="1" si="49"/>
        <v>9999</v>
      </c>
      <c r="F132" s="104" t="str">
        <f t="shared" ca="1" si="50"/>
        <v>00000000000000000000731887</v>
      </c>
      <c r="G132" s="145">
        <f t="shared" ca="1" si="51"/>
        <v>1</v>
      </c>
      <c r="H132" s="146">
        <f t="shared" si="52"/>
        <v>122</v>
      </c>
      <c r="I132" s="147" t="str">
        <f t="shared" ca="1" si="53"/>
        <v/>
      </c>
      <c r="J132" s="148" t="str">
        <f ca="1">IF(N(I132)&gt;0,VLOOKUP(I132,Hraci!$A$1:$I$1000,2,0),IF(TYPE(INDIRECT(ADDRESS(ROW() + $A$9-9 + (ROW()-11)*4,2,1,1,"Internet")))&gt;1,INDIRECT(ADDRESS(ROW() + $A$9-9 + (ROW()-11)*4,2,1,1,"Internet"))," "))</f>
        <v xml:space="preserve"> </v>
      </c>
      <c r="K132" s="149" t="str">
        <f ca="1">IF(N(I132)&gt;0,VLOOKUP(I132,Hraci!$A$1:$I$1000,3,0)," ")</f>
        <v xml:space="preserve"> </v>
      </c>
      <c r="L132" s="149" t="str">
        <f ca="1">IF(N(I132)&gt;0,VLOOKUP(I132,Hraci!$A$1:$I$1000,5,0),IF(TYPE(INDIRECT(ADDRESS(ROW() + $A$9-9 + (ROW()-11)*4,3,1,1,"Internet")))&gt;1,INDIRECT(ADDRESS(ROW() + $A$9-9 + (ROW()-11)*4,3,1,1,"Internet"))," "))</f>
        <v xml:space="preserve"> </v>
      </c>
      <c r="M132" s="149">
        <f ca="1">IF(N(I132)=0,9999,VLOOKUP(I132,Hraci!$A$1:$I$1000,8,0))</f>
        <v>9999</v>
      </c>
      <c r="N132" s="150">
        <f ca="1">IF(N(I132)=0,0,VLOOKUP(I132,Hraci!$A$1:$I$1000,9,0))</f>
        <v>0</v>
      </c>
      <c r="O132" s="147" t="str">
        <f t="shared" ca="1" si="54"/>
        <v/>
      </c>
      <c r="P132" s="148" t="str">
        <f ca="1">IF(N(O132)&gt;0,VLOOKUP(O132,Hraci!$A$1:$I$1000,2,0),IF(TYPE(INDIRECT(ADDRESS(ROW() + $A$9-8 + (ROW()-11)*4,2,1,1,"Internet")))&gt;1,INDIRECT(ADDRESS(ROW() + $A$9-8 + (ROW()-11)*4,2,1,1,"Internet"))," "))</f>
        <v xml:space="preserve"> </v>
      </c>
      <c r="Q132" s="149" t="str">
        <f ca="1">IF(N(O132)&gt;0,VLOOKUP(O132,Hraci!$A$1:$I$1000,3,0)," ")</f>
        <v xml:space="preserve"> </v>
      </c>
      <c r="R132" s="149" t="str">
        <f ca="1">IF(N(O132)&gt;0,VLOOKUP(O132,Hraci!$A$1:$I$1000,5,0),IF(TYPE(INDIRECT(ADDRESS(ROW() + $A$9-8 + (ROW()-11)*4,3,1,1,"Internet")))&gt;1,INDIRECT(ADDRESS(ROW() + $A$9-8 + (ROW()-11)*4,3,1,1,"Internet"))," "))</f>
        <v xml:space="preserve"> </v>
      </c>
      <c r="S132" s="149">
        <f ca="1">IF(N(O132)=0,9999,VLOOKUP(O132,Hraci!$A$1:$I$1000,8,0))</f>
        <v>9999</v>
      </c>
      <c r="T132" s="150">
        <f ca="1">IF(N(O132)=0,0,VLOOKUP(O132,Hraci!$A$1:$I$1000,9,0))</f>
        <v>0</v>
      </c>
      <c r="U132" s="147" t="str">
        <f t="shared" ca="1" si="55"/>
        <v/>
      </c>
      <c r="V132" s="148" t="str">
        <f ca="1">IF(N(U132)&gt;0,VLOOKUP(U132,Hraci!$A$1:$I$1000,2,0),IF(TYPE(INDIRECT(ADDRESS(ROW() + $A$9-7 + (ROW()-11)*4,2,1,1,"Internet")))&gt;1,INDIRECT(ADDRESS(ROW() + $A$9-7 + (ROW()-11)*4,2,1,1,"Internet"))," "))</f>
        <v xml:space="preserve"> </v>
      </c>
      <c r="W132" s="149" t="str">
        <f ca="1">IF(N(U132)&gt;0,VLOOKUP(U132,Hraci!$A$1:$I$1000,3,0)," ")</f>
        <v xml:space="preserve"> </v>
      </c>
      <c r="X132" s="149" t="str">
        <f ca="1">IF(N(U132)&gt;0,VLOOKUP(U132,Hraci!$A$1:$I$1000,5,0),IF(TYPE(INDIRECT(ADDRESS(ROW() + $A$9-7 + (ROW()-11)*4,3,1,1,"Internet")))&gt;1,INDIRECT(ADDRESS(ROW() + $A$9-7 + (ROW()-11)*4,3,1,1,"Internet"))," "))</f>
        <v xml:space="preserve"> </v>
      </c>
      <c r="Y132" s="149">
        <f ca="1">IF(N(U132)=0,9999,VLOOKUP(U132,Hraci!$A$1:$I$1000,8,0))</f>
        <v>9999</v>
      </c>
      <c r="Z132" s="150">
        <f ca="1">IF(N(U132)=0,0,VLOOKUP(U132,Hraci!$A$1:$I$1000,9,0))</f>
        <v>0</v>
      </c>
      <c r="AA132" s="147" t="str">
        <f t="shared" ca="1" si="56"/>
        <v/>
      </c>
      <c r="AB132" s="148" t="str">
        <f ca="1">IF(N(AA132)&gt;0,VLOOKUP(AA132,Hraci!$A$1:$I$1000,2,0)," ")</f>
        <v xml:space="preserve"> </v>
      </c>
      <c r="AC132" s="149" t="str">
        <f ca="1">IF(N(AA132)&gt;0,VLOOKUP(AA132,Hraci!$A$1:$I$1000,3,0)," ")</f>
        <v xml:space="preserve"> </v>
      </c>
      <c r="AD132" s="149" t="str">
        <f ca="1">IF(N(AA132)&gt;0,VLOOKUP(AA132,Hraci!$A$1:$I$1000,5,0)," ")</f>
        <v xml:space="preserve"> </v>
      </c>
      <c r="AE132" s="149">
        <f ca="1">IF(N(AA132)=0,9999,VLOOKUP(AA132,Hraci!$A$1:$I$1000,8,0))</f>
        <v>9999</v>
      </c>
      <c r="AF132" s="150">
        <f ca="1">IF(N(AA132)=0,0,VLOOKUP(AA132,Hraci!$A$1:$I$1000,9,0))</f>
        <v>0</v>
      </c>
      <c r="AG132" s="147"/>
      <c r="AH132" s="151">
        <f ca="1">IF(TYPE(VLOOKUP(H132,Nasazení!$A$3:$E$130,5,0))&lt;4,VLOOKUP(H132,Nasazení!$A$3:$E$130,5,0),0)</f>
        <v>0</v>
      </c>
      <c r="AI132" s="152" t="str">
        <f ca="1">IF(N($AH132)&gt;0,VLOOKUP($AH132,Body!$A$4:$F$259,5,0),"")</f>
        <v/>
      </c>
      <c r="AJ132" s="153" t="str">
        <f ca="1">IF(N($AH132)&gt;0,VLOOKUP($AH132,Body!$A$4:$F$259,6,0),"")</f>
        <v/>
      </c>
      <c r="AK132" s="152" t="str">
        <f ca="1">IF(N($AH132)&gt;0,VLOOKUP($AH132,Body!$A$4:$F$259,2,0),"")</f>
        <v/>
      </c>
      <c r="AL132" s="154" t="str">
        <f t="shared" ca="1" si="57"/>
        <v/>
      </c>
      <c r="AM132" s="155">
        <f t="shared" ca="1" si="58"/>
        <v>0</v>
      </c>
      <c r="AN132" s="72">
        <f ca="1">IF(OR(TYPE(I132)&gt;1,TYPE(MATCH(I132,I133:I$203,0))&gt;1),0,MATCH(I132,I133:I$203,0))+IF(OR(TYPE(I132)&gt;1,TYPE(MATCH(I132,O$11:O$203,0))&gt;1),0,MATCH(I132,O$11:O$203,0))+IF(OR(TYPE(I132)&gt;1,TYPE(MATCH(I132,U$11:U$203,0))&gt;1),0,MATCH(I132,U$11:U$203,0))+IF(OR(TYPE(I132)&gt;1,TYPE(MATCH(I132,AA$11:AA$203,0))&gt;1),0,MATCH(I132,AA$11:AA$203,0))</f>
        <v>0</v>
      </c>
      <c r="AO132" s="72">
        <f ca="1">IF(OR(TYPE(O132)&gt;1,TYPE(MATCH(O132,I$11:I$203,0))&gt;1),0,MATCH(O132,I$11:I$203,0))+IF(OR(TYPE(O132)&gt;1,TYPE(MATCH(O132,O133:O$203,0))&gt;1),0,MATCH(O132,O133:O$203,0))+IF(OR(TYPE(O132)&gt;1,TYPE(MATCH(O132,U$11:U$203,0))&gt;1),0,MATCH(O132,U$11:U$203,0))+IF(OR(TYPE(O132)&gt;1,TYPE(MATCH(O132,AA$11:AA$203,0))&gt;1),0,MATCH(O132,AA$11:AA$203,0))</f>
        <v>0</v>
      </c>
      <c r="AP132" s="72">
        <f ca="1">IF(OR(TYPE(U132)&gt;1,TYPE(MATCH(U132,I$11:I$203,0))&gt;1),0,MATCH(U132,I$11:I$203,0))+IF(OR(TYPE(U132)&gt;1,TYPE(MATCH(U132,O$11:O$203,0))&gt;1),0,MATCH(U132,O$11:O$203,0))+IF(OR(TYPE(U132)&gt;1,TYPE(MATCH(U132,U133:U$203,0))&gt;1),0,MATCH(U132,U133:U$203,0))+IF(OR(TYPE(U132)&gt;1,TYPE(MATCH(U132,AA$11:AA$203,0))&gt;1),0,MATCH(U132,AA$11:AA$203,0))</f>
        <v>0</v>
      </c>
      <c r="AQ132" s="72">
        <f ca="1">IF(OR(TYPE(AA132)&gt;1,TYPE(MATCH(AA132,I$11:I$203,0))&gt;1),0,MATCH(AA132,I$11:I$203,0))+IF(OR(TYPE(AA132)&gt;1,TYPE(MATCH(AA132,O$11:O$203,0))&gt;1),0,MATCH(AA132,O$11:O$203,0))+IF(OR(TYPE(AA132)&gt;1,TYPE(MATCH(AA132,U$11:U$203,0))&gt;1),0,MATCH(U132,U$11:U$203,0))+IF(OR(TYPE(AA132)&gt;1,TYPE(MATCH(AA132,AA133:AA$203,0))&gt;1),0,MATCH(AA132,AA133:AA$203,0))</f>
        <v>0</v>
      </c>
      <c r="AR132" s="72">
        <f t="shared" ca="1" si="59"/>
        <v>0</v>
      </c>
    </row>
    <row r="133" spans="1:44" ht="14.25">
      <c r="A133" s="103">
        <f t="shared" ca="1" si="45"/>
        <v>0</v>
      </c>
      <c r="B133" s="103">
        <f t="shared" ca="1" si="46"/>
        <v>0</v>
      </c>
      <c r="C133" s="156">
        <f t="shared" ca="1" si="47"/>
        <v>0</v>
      </c>
      <c r="D133" s="103">
        <f t="shared" ca="1" si="48"/>
        <v>99999</v>
      </c>
      <c r="E133" s="103">
        <f t="shared" ca="1" si="49"/>
        <v>9999</v>
      </c>
      <c r="F133" s="104" t="str">
        <f t="shared" ca="1" si="50"/>
        <v>00000000000000000000050935</v>
      </c>
      <c r="G133" s="145">
        <f t="shared" ca="1" si="51"/>
        <v>1</v>
      </c>
      <c r="H133" s="146">
        <f t="shared" si="52"/>
        <v>123</v>
      </c>
      <c r="I133" s="147" t="str">
        <f t="shared" ca="1" si="53"/>
        <v/>
      </c>
      <c r="J133" s="148" t="str">
        <f ca="1">IF(N(I133)&gt;0,VLOOKUP(I133,Hraci!$A$1:$I$1000,2,0),IF(TYPE(INDIRECT(ADDRESS(ROW() + $A$9-9 + (ROW()-11)*4,2,1,1,"Internet")))&gt;1,INDIRECT(ADDRESS(ROW() + $A$9-9 + (ROW()-11)*4,2,1,1,"Internet"))," "))</f>
        <v xml:space="preserve"> </v>
      </c>
      <c r="K133" s="149" t="str">
        <f ca="1">IF(N(I133)&gt;0,VLOOKUP(I133,Hraci!$A$1:$I$1000,3,0)," ")</f>
        <v xml:space="preserve"> </v>
      </c>
      <c r="L133" s="149" t="str">
        <f ca="1">IF(N(I133)&gt;0,VLOOKUP(I133,Hraci!$A$1:$I$1000,5,0),IF(TYPE(INDIRECT(ADDRESS(ROW() + $A$9-9 + (ROW()-11)*4,3,1,1,"Internet")))&gt;1,INDIRECT(ADDRESS(ROW() + $A$9-9 + (ROW()-11)*4,3,1,1,"Internet"))," "))</f>
        <v xml:space="preserve"> </v>
      </c>
      <c r="M133" s="149">
        <f ca="1">IF(N(I133)=0,9999,VLOOKUP(I133,Hraci!$A$1:$I$1000,8,0))</f>
        <v>9999</v>
      </c>
      <c r="N133" s="150">
        <f ca="1">IF(N(I133)=0,0,VLOOKUP(I133,Hraci!$A$1:$I$1000,9,0))</f>
        <v>0</v>
      </c>
      <c r="O133" s="147" t="str">
        <f t="shared" ca="1" si="54"/>
        <v/>
      </c>
      <c r="P133" s="148" t="str">
        <f ca="1">IF(N(O133)&gt;0,VLOOKUP(O133,Hraci!$A$1:$I$1000,2,0),IF(TYPE(INDIRECT(ADDRESS(ROW() + $A$9-8 + (ROW()-11)*4,2,1,1,"Internet")))&gt;1,INDIRECT(ADDRESS(ROW() + $A$9-8 + (ROW()-11)*4,2,1,1,"Internet"))," "))</f>
        <v xml:space="preserve"> </v>
      </c>
      <c r="Q133" s="149" t="str">
        <f ca="1">IF(N(O133)&gt;0,VLOOKUP(O133,Hraci!$A$1:$I$1000,3,0)," ")</f>
        <v xml:space="preserve"> </v>
      </c>
      <c r="R133" s="149" t="str">
        <f ca="1">IF(N(O133)&gt;0,VLOOKUP(O133,Hraci!$A$1:$I$1000,5,0),IF(TYPE(INDIRECT(ADDRESS(ROW() + $A$9-8 + (ROW()-11)*4,3,1,1,"Internet")))&gt;1,INDIRECT(ADDRESS(ROW() + $A$9-8 + (ROW()-11)*4,3,1,1,"Internet"))," "))</f>
        <v xml:space="preserve"> </v>
      </c>
      <c r="S133" s="149">
        <f ca="1">IF(N(O133)=0,9999,VLOOKUP(O133,Hraci!$A$1:$I$1000,8,0))</f>
        <v>9999</v>
      </c>
      <c r="T133" s="150">
        <f ca="1">IF(N(O133)=0,0,VLOOKUP(O133,Hraci!$A$1:$I$1000,9,0))</f>
        <v>0</v>
      </c>
      <c r="U133" s="147" t="str">
        <f t="shared" ca="1" si="55"/>
        <v/>
      </c>
      <c r="V133" s="148" t="str">
        <f ca="1">IF(N(U133)&gt;0,VLOOKUP(U133,Hraci!$A$1:$I$1000,2,0),IF(TYPE(INDIRECT(ADDRESS(ROW() + $A$9-7 + (ROW()-11)*4,2,1,1,"Internet")))&gt;1,INDIRECT(ADDRESS(ROW() + $A$9-7 + (ROW()-11)*4,2,1,1,"Internet"))," "))</f>
        <v xml:space="preserve"> </v>
      </c>
      <c r="W133" s="149" t="str">
        <f ca="1">IF(N(U133)&gt;0,VLOOKUP(U133,Hraci!$A$1:$I$1000,3,0)," ")</f>
        <v xml:space="preserve"> </v>
      </c>
      <c r="X133" s="149" t="str">
        <f ca="1">IF(N(U133)&gt;0,VLOOKUP(U133,Hraci!$A$1:$I$1000,5,0),IF(TYPE(INDIRECT(ADDRESS(ROW() + $A$9-7 + (ROW()-11)*4,3,1,1,"Internet")))&gt;1,INDIRECT(ADDRESS(ROW() + $A$9-7 + (ROW()-11)*4,3,1,1,"Internet"))," "))</f>
        <v xml:space="preserve"> </v>
      </c>
      <c r="Y133" s="149">
        <f ca="1">IF(N(U133)=0,9999,VLOOKUP(U133,Hraci!$A$1:$I$1000,8,0))</f>
        <v>9999</v>
      </c>
      <c r="Z133" s="150">
        <f ca="1">IF(N(U133)=0,0,VLOOKUP(U133,Hraci!$A$1:$I$1000,9,0))</f>
        <v>0</v>
      </c>
      <c r="AA133" s="147" t="str">
        <f t="shared" ca="1" si="56"/>
        <v/>
      </c>
      <c r="AB133" s="148" t="str">
        <f ca="1">IF(N(AA133)&gt;0,VLOOKUP(AA133,Hraci!$A$1:$I$1000,2,0)," ")</f>
        <v xml:space="preserve"> </v>
      </c>
      <c r="AC133" s="149" t="str">
        <f ca="1">IF(N(AA133)&gt;0,VLOOKUP(AA133,Hraci!$A$1:$I$1000,3,0)," ")</f>
        <v xml:space="preserve"> </v>
      </c>
      <c r="AD133" s="149" t="str">
        <f ca="1">IF(N(AA133)&gt;0,VLOOKUP(AA133,Hraci!$A$1:$I$1000,5,0)," ")</f>
        <v xml:space="preserve"> </v>
      </c>
      <c r="AE133" s="149">
        <f ca="1">IF(N(AA133)=0,9999,VLOOKUP(AA133,Hraci!$A$1:$I$1000,8,0))</f>
        <v>9999</v>
      </c>
      <c r="AF133" s="150">
        <f ca="1">IF(N(AA133)=0,0,VLOOKUP(AA133,Hraci!$A$1:$I$1000,9,0))</f>
        <v>0</v>
      </c>
      <c r="AG133" s="147"/>
      <c r="AH133" s="151">
        <f ca="1">IF(TYPE(VLOOKUP(H133,Nasazení!$A$3:$E$130,5,0))&lt;4,VLOOKUP(H133,Nasazení!$A$3:$E$130,5,0),0)</f>
        <v>0</v>
      </c>
      <c r="AI133" s="152" t="str">
        <f ca="1">IF(N($AH133)&gt;0,VLOOKUP($AH133,Body!$A$4:$F$259,5,0),"")</f>
        <v/>
      </c>
      <c r="AJ133" s="153" t="str">
        <f ca="1">IF(N($AH133)&gt;0,VLOOKUP($AH133,Body!$A$4:$F$259,6,0),"")</f>
        <v/>
      </c>
      <c r="AK133" s="152" t="str">
        <f ca="1">IF(N($AH133)&gt;0,VLOOKUP($AH133,Body!$A$4:$F$259,2,0),"")</f>
        <v/>
      </c>
      <c r="AL133" s="154" t="str">
        <f t="shared" ca="1" si="57"/>
        <v/>
      </c>
      <c r="AM133" s="155">
        <f t="shared" ca="1" si="58"/>
        <v>0</v>
      </c>
      <c r="AN133" s="72">
        <f ca="1">IF(OR(TYPE(I133)&gt;1,TYPE(MATCH(I133,I134:I$203,0))&gt;1),0,MATCH(I133,I134:I$203,0))+IF(OR(TYPE(I133)&gt;1,TYPE(MATCH(I133,O$11:O$203,0))&gt;1),0,MATCH(I133,O$11:O$203,0))+IF(OR(TYPE(I133)&gt;1,TYPE(MATCH(I133,U$11:U$203,0))&gt;1),0,MATCH(I133,U$11:U$203,0))+IF(OR(TYPE(I133)&gt;1,TYPE(MATCH(I133,AA$11:AA$203,0))&gt;1),0,MATCH(I133,AA$11:AA$203,0))</f>
        <v>0</v>
      </c>
      <c r="AO133" s="72">
        <f ca="1">IF(OR(TYPE(O133)&gt;1,TYPE(MATCH(O133,I$11:I$203,0))&gt;1),0,MATCH(O133,I$11:I$203,0))+IF(OR(TYPE(O133)&gt;1,TYPE(MATCH(O133,O134:O$203,0))&gt;1),0,MATCH(O133,O134:O$203,0))+IF(OR(TYPE(O133)&gt;1,TYPE(MATCH(O133,U$11:U$203,0))&gt;1),0,MATCH(O133,U$11:U$203,0))+IF(OR(TYPE(O133)&gt;1,TYPE(MATCH(O133,AA$11:AA$203,0))&gt;1),0,MATCH(O133,AA$11:AA$203,0))</f>
        <v>0</v>
      </c>
      <c r="AP133" s="72">
        <f ca="1">IF(OR(TYPE(U133)&gt;1,TYPE(MATCH(U133,I$11:I$203,0))&gt;1),0,MATCH(U133,I$11:I$203,0))+IF(OR(TYPE(U133)&gt;1,TYPE(MATCH(U133,O$11:O$203,0))&gt;1),0,MATCH(U133,O$11:O$203,0))+IF(OR(TYPE(U133)&gt;1,TYPE(MATCH(U133,U134:U$203,0))&gt;1),0,MATCH(U133,U134:U$203,0))+IF(OR(TYPE(U133)&gt;1,TYPE(MATCH(U133,AA$11:AA$203,0))&gt;1),0,MATCH(U133,AA$11:AA$203,0))</f>
        <v>0</v>
      </c>
      <c r="AQ133" s="72">
        <f ca="1">IF(OR(TYPE(AA133)&gt;1,TYPE(MATCH(AA133,I$11:I$203,0))&gt;1),0,MATCH(AA133,I$11:I$203,0))+IF(OR(TYPE(AA133)&gt;1,TYPE(MATCH(AA133,O$11:O$203,0))&gt;1),0,MATCH(AA133,O$11:O$203,0))+IF(OR(TYPE(AA133)&gt;1,TYPE(MATCH(AA133,U$11:U$203,0))&gt;1),0,MATCH(U133,U$11:U$203,0))+IF(OR(TYPE(AA133)&gt;1,TYPE(MATCH(AA133,AA134:AA$203,0))&gt;1),0,MATCH(AA133,AA134:AA$203,0))</f>
        <v>0</v>
      </c>
      <c r="AR133" s="72">
        <f t="shared" ca="1" si="59"/>
        <v>0</v>
      </c>
    </row>
    <row r="134" spans="1:44" ht="14.25">
      <c r="A134" s="103">
        <f t="shared" ca="1" si="45"/>
        <v>0</v>
      </c>
      <c r="B134" s="103">
        <f t="shared" ca="1" si="46"/>
        <v>0</v>
      </c>
      <c r="C134" s="156">
        <f t="shared" ca="1" si="47"/>
        <v>0</v>
      </c>
      <c r="D134" s="103">
        <f t="shared" ca="1" si="48"/>
        <v>99999</v>
      </c>
      <c r="E134" s="103">
        <f t="shared" ca="1" si="49"/>
        <v>9999</v>
      </c>
      <c r="F134" s="104" t="str">
        <f t="shared" ca="1" si="50"/>
        <v>00000000000000000000295890</v>
      </c>
      <c r="G134" s="145">
        <f t="shared" ca="1" si="51"/>
        <v>1</v>
      </c>
      <c r="H134" s="146">
        <f t="shared" si="52"/>
        <v>124</v>
      </c>
      <c r="I134" s="147" t="str">
        <f t="shared" ca="1" si="53"/>
        <v/>
      </c>
      <c r="J134" s="148" t="str">
        <f ca="1">IF(N(I134)&gt;0,VLOOKUP(I134,Hraci!$A$1:$I$1000,2,0),IF(TYPE(INDIRECT(ADDRESS(ROW() + $A$9-9 + (ROW()-11)*4,2,1,1,"Internet")))&gt;1,INDIRECT(ADDRESS(ROW() + $A$9-9 + (ROW()-11)*4,2,1,1,"Internet"))," "))</f>
        <v xml:space="preserve"> </v>
      </c>
      <c r="K134" s="149" t="str">
        <f ca="1">IF(N(I134)&gt;0,VLOOKUP(I134,Hraci!$A$1:$I$1000,3,0)," ")</f>
        <v xml:space="preserve"> </v>
      </c>
      <c r="L134" s="149" t="str">
        <f ca="1">IF(N(I134)&gt;0,VLOOKUP(I134,Hraci!$A$1:$I$1000,5,0),IF(TYPE(INDIRECT(ADDRESS(ROW() + $A$9-9 + (ROW()-11)*4,3,1,1,"Internet")))&gt;1,INDIRECT(ADDRESS(ROW() + $A$9-9 + (ROW()-11)*4,3,1,1,"Internet"))," "))</f>
        <v xml:space="preserve"> </v>
      </c>
      <c r="M134" s="149">
        <f ca="1">IF(N(I134)=0,9999,VLOOKUP(I134,Hraci!$A$1:$I$1000,8,0))</f>
        <v>9999</v>
      </c>
      <c r="N134" s="150">
        <f ca="1">IF(N(I134)=0,0,VLOOKUP(I134,Hraci!$A$1:$I$1000,9,0))</f>
        <v>0</v>
      </c>
      <c r="O134" s="147" t="str">
        <f t="shared" ca="1" si="54"/>
        <v/>
      </c>
      <c r="P134" s="148" t="str">
        <f ca="1">IF(N(O134)&gt;0,VLOOKUP(O134,Hraci!$A$1:$I$1000,2,0),IF(TYPE(INDIRECT(ADDRESS(ROW() + $A$9-8 + (ROW()-11)*4,2,1,1,"Internet")))&gt;1,INDIRECT(ADDRESS(ROW() + $A$9-8 + (ROW()-11)*4,2,1,1,"Internet"))," "))</f>
        <v xml:space="preserve"> </v>
      </c>
      <c r="Q134" s="149" t="str">
        <f ca="1">IF(N(O134)&gt;0,VLOOKUP(O134,Hraci!$A$1:$I$1000,3,0)," ")</f>
        <v xml:space="preserve"> </v>
      </c>
      <c r="R134" s="149" t="str">
        <f ca="1">IF(N(O134)&gt;0,VLOOKUP(O134,Hraci!$A$1:$I$1000,5,0),IF(TYPE(INDIRECT(ADDRESS(ROW() + $A$9-8 + (ROW()-11)*4,3,1,1,"Internet")))&gt;1,INDIRECT(ADDRESS(ROW() + $A$9-8 + (ROW()-11)*4,3,1,1,"Internet"))," "))</f>
        <v xml:space="preserve"> </v>
      </c>
      <c r="S134" s="149">
        <f ca="1">IF(N(O134)=0,9999,VLOOKUP(O134,Hraci!$A$1:$I$1000,8,0))</f>
        <v>9999</v>
      </c>
      <c r="T134" s="150">
        <f ca="1">IF(N(O134)=0,0,VLOOKUP(O134,Hraci!$A$1:$I$1000,9,0))</f>
        <v>0</v>
      </c>
      <c r="U134" s="147" t="str">
        <f t="shared" ca="1" si="55"/>
        <v/>
      </c>
      <c r="V134" s="148" t="str">
        <f ca="1">IF(N(U134)&gt;0,VLOOKUP(U134,Hraci!$A$1:$I$1000,2,0),IF(TYPE(INDIRECT(ADDRESS(ROW() + $A$9-7 + (ROW()-11)*4,2,1,1,"Internet")))&gt;1,INDIRECT(ADDRESS(ROW() + $A$9-7 + (ROW()-11)*4,2,1,1,"Internet"))," "))</f>
        <v xml:space="preserve"> </v>
      </c>
      <c r="W134" s="149" t="str">
        <f ca="1">IF(N(U134)&gt;0,VLOOKUP(U134,Hraci!$A$1:$I$1000,3,0)," ")</f>
        <v xml:space="preserve"> </v>
      </c>
      <c r="X134" s="149" t="str">
        <f ca="1">IF(N(U134)&gt;0,VLOOKUP(U134,Hraci!$A$1:$I$1000,5,0),IF(TYPE(INDIRECT(ADDRESS(ROW() + $A$9-7 + (ROW()-11)*4,3,1,1,"Internet")))&gt;1,INDIRECT(ADDRESS(ROW() + $A$9-7 + (ROW()-11)*4,3,1,1,"Internet"))," "))</f>
        <v xml:space="preserve"> </v>
      </c>
      <c r="Y134" s="149">
        <f ca="1">IF(N(U134)=0,9999,VLOOKUP(U134,Hraci!$A$1:$I$1000,8,0))</f>
        <v>9999</v>
      </c>
      <c r="Z134" s="150">
        <f ca="1">IF(N(U134)=0,0,VLOOKUP(U134,Hraci!$A$1:$I$1000,9,0))</f>
        <v>0</v>
      </c>
      <c r="AA134" s="147" t="str">
        <f t="shared" ca="1" si="56"/>
        <v/>
      </c>
      <c r="AB134" s="148" t="str">
        <f ca="1">IF(N(AA134)&gt;0,VLOOKUP(AA134,Hraci!$A$1:$I$1000,2,0)," ")</f>
        <v xml:space="preserve"> </v>
      </c>
      <c r="AC134" s="149" t="str">
        <f ca="1">IF(N(AA134)&gt;0,VLOOKUP(AA134,Hraci!$A$1:$I$1000,3,0)," ")</f>
        <v xml:space="preserve"> </v>
      </c>
      <c r="AD134" s="149" t="str">
        <f ca="1">IF(N(AA134)&gt;0,VLOOKUP(AA134,Hraci!$A$1:$I$1000,5,0)," ")</f>
        <v xml:space="preserve"> </v>
      </c>
      <c r="AE134" s="149">
        <f ca="1">IF(N(AA134)=0,9999,VLOOKUP(AA134,Hraci!$A$1:$I$1000,8,0))</f>
        <v>9999</v>
      </c>
      <c r="AF134" s="150">
        <f ca="1">IF(N(AA134)=0,0,VLOOKUP(AA134,Hraci!$A$1:$I$1000,9,0))</f>
        <v>0</v>
      </c>
      <c r="AG134" s="147"/>
      <c r="AH134" s="151">
        <f ca="1">IF(TYPE(VLOOKUP(H134,Nasazení!$A$3:$E$130,5,0))&lt;4,VLOOKUP(H134,Nasazení!$A$3:$E$130,5,0),0)</f>
        <v>0</v>
      </c>
      <c r="AI134" s="152" t="str">
        <f ca="1">IF(N($AH134)&gt;0,VLOOKUP($AH134,Body!$A$4:$F$259,5,0),"")</f>
        <v/>
      </c>
      <c r="AJ134" s="153" t="str">
        <f ca="1">IF(N($AH134)&gt;0,VLOOKUP($AH134,Body!$A$4:$F$259,6,0),"")</f>
        <v/>
      </c>
      <c r="AK134" s="152" t="str">
        <f ca="1">IF(N($AH134)&gt;0,VLOOKUP($AH134,Body!$A$4:$F$259,2,0),"")</f>
        <v/>
      </c>
      <c r="AL134" s="154" t="str">
        <f t="shared" ca="1" si="57"/>
        <v/>
      </c>
      <c r="AM134" s="155">
        <f t="shared" ca="1" si="58"/>
        <v>0</v>
      </c>
      <c r="AN134" s="72">
        <f ca="1">IF(OR(TYPE(I134)&gt;1,TYPE(MATCH(I134,I135:I$203,0))&gt;1),0,MATCH(I134,I135:I$203,0))+IF(OR(TYPE(I134)&gt;1,TYPE(MATCH(I134,O$11:O$203,0))&gt;1),0,MATCH(I134,O$11:O$203,0))+IF(OR(TYPE(I134)&gt;1,TYPE(MATCH(I134,U$11:U$203,0))&gt;1),0,MATCH(I134,U$11:U$203,0))+IF(OR(TYPE(I134)&gt;1,TYPE(MATCH(I134,AA$11:AA$203,0))&gt;1),0,MATCH(I134,AA$11:AA$203,0))</f>
        <v>0</v>
      </c>
      <c r="AO134" s="72">
        <f ca="1">IF(OR(TYPE(O134)&gt;1,TYPE(MATCH(O134,I$11:I$203,0))&gt;1),0,MATCH(O134,I$11:I$203,0))+IF(OR(TYPE(O134)&gt;1,TYPE(MATCH(O134,O135:O$203,0))&gt;1),0,MATCH(O134,O135:O$203,0))+IF(OR(TYPE(O134)&gt;1,TYPE(MATCH(O134,U$11:U$203,0))&gt;1),0,MATCH(O134,U$11:U$203,0))+IF(OR(TYPE(O134)&gt;1,TYPE(MATCH(O134,AA$11:AA$203,0))&gt;1),0,MATCH(O134,AA$11:AA$203,0))</f>
        <v>0</v>
      </c>
      <c r="AP134" s="72">
        <f ca="1">IF(OR(TYPE(U134)&gt;1,TYPE(MATCH(U134,I$11:I$203,0))&gt;1),0,MATCH(U134,I$11:I$203,0))+IF(OR(TYPE(U134)&gt;1,TYPE(MATCH(U134,O$11:O$203,0))&gt;1),0,MATCH(U134,O$11:O$203,0))+IF(OR(TYPE(U134)&gt;1,TYPE(MATCH(U134,U135:U$203,0))&gt;1),0,MATCH(U134,U135:U$203,0))+IF(OR(TYPE(U134)&gt;1,TYPE(MATCH(U134,AA$11:AA$203,0))&gt;1),0,MATCH(U134,AA$11:AA$203,0))</f>
        <v>0</v>
      </c>
      <c r="AQ134" s="72">
        <f ca="1">IF(OR(TYPE(AA134)&gt;1,TYPE(MATCH(AA134,I$11:I$203,0))&gt;1),0,MATCH(AA134,I$11:I$203,0))+IF(OR(TYPE(AA134)&gt;1,TYPE(MATCH(AA134,O$11:O$203,0))&gt;1),0,MATCH(AA134,O$11:O$203,0))+IF(OR(TYPE(AA134)&gt;1,TYPE(MATCH(AA134,U$11:U$203,0))&gt;1),0,MATCH(U134,U$11:U$203,0))+IF(OR(TYPE(AA134)&gt;1,TYPE(MATCH(AA134,AA135:AA$203,0))&gt;1),0,MATCH(AA134,AA135:AA$203,0))</f>
        <v>0</v>
      </c>
      <c r="AR134" s="72">
        <f t="shared" ca="1" si="59"/>
        <v>0</v>
      </c>
    </row>
    <row r="135" spans="1:44" ht="14.25">
      <c r="A135" s="103">
        <f t="shared" ca="1" si="45"/>
        <v>0</v>
      </c>
      <c r="B135" s="103">
        <f t="shared" ca="1" si="46"/>
        <v>0</v>
      </c>
      <c r="C135" s="156">
        <f t="shared" ca="1" si="47"/>
        <v>0</v>
      </c>
      <c r="D135" s="103">
        <f t="shared" ca="1" si="48"/>
        <v>99999</v>
      </c>
      <c r="E135" s="103">
        <f t="shared" ca="1" si="49"/>
        <v>9999</v>
      </c>
      <c r="F135" s="104" t="str">
        <f t="shared" ca="1" si="50"/>
        <v>00000000000000000000073419</v>
      </c>
      <c r="G135" s="145">
        <f t="shared" ca="1" si="51"/>
        <v>1</v>
      </c>
      <c r="H135" s="146">
        <f t="shared" si="52"/>
        <v>125</v>
      </c>
      <c r="I135" s="147" t="str">
        <f t="shared" ca="1" si="53"/>
        <v/>
      </c>
      <c r="J135" s="148" t="str">
        <f ca="1">IF(N(I135)&gt;0,VLOOKUP(I135,Hraci!$A$1:$I$1000,2,0),IF(TYPE(INDIRECT(ADDRESS(ROW() + $A$9-9 + (ROW()-11)*4,2,1,1,"Internet")))&gt;1,INDIRECT(ADDRESS(ROW() + $A$9-9 + (ROW()-11)*4,2,1,1,"Internet"))," "))</f>
        <v xml:space="preserve"> </v>
      </c>
      <c r="K135" s="149" t="str">
        <f ca="1">IF(N(I135)&gt;0,VLOOKUP(I135,Hraci!$A$1:$I$1000,3,0)," ")</f>
        <v xml:space="preserve"> </v>
      </c>
      <c r="L135" s="149" t="str">
        <f ca="1">IF(N(I135)&gt;0,VLOOKUP(I135,Hraci!$A$1:$I$1000,5,0),IF(TYPE(INDIRECT(ADDRESS(ROW() + $A$9-9 + (ROW()-11)*4,3,1,1,"Internet")))&gt;1,INDIRECT(ADDRESS(ROW() + $A$9-9 + (ROW()-11)*4,3,1,1,"Internet"))," "))</f>
        <v xml:space="preserve"> </v>
      </c>
      <c r="M135" s="149">
        <f ca="1">IF(N(I135)=0,9999,VLOOKUP(I135,Hraci!$A$1:$I$1000,8,0))</f>
        <v>9999</v>
      </c>
      <c r="N135" s="150">
        <f ca="1">IF(N(I135)=0,0,VLOOKUP(I135,Hraci!$A$1:$I$1000,9,0))</f>
        <v>0</v>
      </c>
      <c r="O135" s="147" t="str">
        <f t="shared" ca="1" si="54"/>
        <v/>
      </c>
      <c r="P135" s="148" t="str">
        <f ca="1">IF(N(O135)&gt;0,VLOOKUP(O135,Hraci!$A$1:$I$1000,2,0),IF(TYPE(INDIRECT(ADDRESS(ROW() + $A$9-8 + (ROW()-11)*4,2,1,1,"Internet")))&gt;1,INDIRECT(ADDRESS(ROW() + $A$9-8 + (ROW()-11)*4,2,1,1,"Internet"))," "))</f>
        <v xml:space="preserve"> </v>
      </c>
      <c r="Q135" s="149" t="str">
        <f ca="1">IF(N(O135)&gt;0,VLOOKUP(O135,Hraci!$A$1:$I$1000,3,0)," ")</f>
        <v xml:space="preserve"> </v>
      </c>
      <c r="R135" s="149" t="str">
        <f ca="1">IF(N(O135)&gt;0,VLOOKUP(O135,Hraci!$A$1:$I$1000,5,0),IF(TYPE(INDIRECT(ADDRESS(ROW() + $A$9-8 + (ROW()-11)*4,3,1,1,"Internet")))&gt;1,INDIRECT(ADDRESS(ROW() + $A$9-8 + (ROW()-11)*4,3,1,1,"Internet"))," "))</f>
        <v xml:space="preserve"> </v>
      </c>
      <c r="S135" s="149">
        <f ca="1">IF(N(O135)=0,9999,VLOOKUP(O135,Hraci!$A$1:$I$1000,8,0))</f>
        <v>9999</v>
      </c>
      <c r="T135" s="150">
        <f ca="1">IF(N(O135)=0,0,VLOOKUP(O135,Hraci!$A$1:$I$1000,9,0))</f>
        <v>0</v>
      </c>
      <c r="U135" s="147" t="str">
        <f t="shared" ca="1" si="55"/>
        <v/>
      </c>
      <c r="V135" s="148" t="str">
        <f ca="1">IF(N(U135)&gt;0,VLOOKUP(U135,Hraci!$A$1:$I$1000,2,0),IF(TYPE(INDIRECT(ADDRESS(ROW() + $A$9-7 + (ROW()-11)*4,2,1,1,"Internet")))&gt;1,INDIRECT(ADDRESS(ROW() + $A$9-7 + (ROW()-11)*4,2,1,1,"Internet"))," "))</f>
        <v xml:space="preserve"> </v>
      </c>
      <c r="W135" s="149" t="str">
        <f ca="1">IF(N(U135)&gt;0,VLOOKUP(U135,Hraci!$A$1:$I$1000,3,0)," ")</f>
        <v xml:space="preserve"> </v>
      </c>
      <c r="X135" s="149" t="str">
        <f ca="1">IF(N(U135)&gt;0,VLOOKUP(U135,Hraci!$A$1:$I$1000,5,0),IF(TYPE(INDIRECT(ADDRESS(ROW() + $A$9-7 + (ROW()-11)*4,3,1,1,"Internet")))&gt;1,INDIRECT(ADDRESS(ROW() + $A$9-7 + (ROW()-11)*4,3,1,1,"Internet"))," "))</f>
        <v xml:space="preserve"> </v>
      </c>
      <c r="Y135" s="149">
        <f ca="1">IF(N(U135)=0,9999,VLOOKUP(U135,Hraci!$A$1:$I$1000,8,0))</f>
        <v>9999</v>
      </c>
      <c r="Z135" s="150">
        <f ca="1">IF(N(U135)=0,0,VLOOKUP(U135,Hraci!$A$1:$I$1000,9,0))</f>
        <v>0</v>
      </c>
      <c r="AA135" s="147" t="str">
        <f t="shared" ca="1" si="56"/>
        <v/>
      </c>
      <c r="AB135" s="148" t="str">
        <f ca="1">IF(N(AA135)&gt;0,VLOOKUP(AA135,Hraci!$A$1:$I$1000,2,0)," ")</f>
        <v xml:space="preserve"> </v>
      </c>
      <c r="AC135" s="149" t="str">
        <f ca="1">IF(N(AA135)&gt;0,VLOOKUP(AA135,Hraci!$A$1:$I$1000,3,0)," ")</f>
        <v xml:space="preserve"> </v>
      </c>
      <c r="AD135" s="149" t="str">
        <f ca="1">IF(N(AA135)&gt;0,VLOOKUP(AA135,Hraci!$A$1:$I$1000,5,0)," ")</f>
        <v xml:space="preserve"> </v>
      </c>
      <c r="AE135" s="149">
        <f ca="1">IF(N(AA135)=0,9999,VLOOKUP(AA135,Hraci!$A$1:$I$1000,8,0))</f>
        <v>9999</v>
      </c>
      <c r="AF135" s="150">
        <f ca="1">IF(N(AA135)=0,0,VLOOKUP(AA135,Hraci!$A$1:$I$1000,9,0))</f>
        <v>0</v>
      </c>
      <c r="AG135" s="147"/>
      <c r="AH135" s="151">
        <f ca="1">IF(TYPE(VLOOKUP(H135,Nasazení!$A$3:$E$130,5,0))&lt;4,VLOOKUP(H135,Nasazení!$A$3:$E$130,5,0),0)</f>
        <v>0</v>
      </c>
      <c r="AI135" s="152" t="str">
        <f ca="1">IF(N($AH135)&gt;0,VLOOKUP($AH135,Body!$A$4:$F$259,5,0),"")</f>
        <v/>
      </c>
      <c r="AJ135" s="153" t="str">
        <f ca="1">IF(N($AH135)&gt;0,VLOOKUP($AH135,Body!$A$4:$F$259,6,0),"")</f>
        <v/>
      </c>
      <c r="AK135" s="152" t="str">
        <f ca="1">IF(N($AH135)&gt;0,VLOOKUP($AH135,Body!$A$4:$F$259,2,0),"")</f>
        <v/>
      </c>
      <c r="AL135" s="154" t="str">
        <f t="shared" ca="1" si="57"/>
        <v/>
      </c>
      <c r="AM135" s="155">
        <f t="shared" ca="1" si="58"/>
        <v>0</v>
      </c>
      <c r="AN135" s="72">
        <f ca="1">IF(OR(TYPE(I135)&gt;1,TYPE(MATCH(I135,I136:I$203,0))&gt;1),0,MATCH(I135,I136:I$203,0))+IF(OR(TYPE(I135)&gt;1,TYPE(MATCH(I135,O$11:O$203,0))&gt;1),0,MATCH(I135,O$11:O$203,0))+IF(OR(TYPE(I135)&gt;1,TYPE(MATCH(I135,U$11:U$203,0))&gt;1),0,MATCH(I135,U$11:U$203,0))+IF(OR(TYPE(I135)&gt;1,TYPE(MATCH(I135,AA$11:AA$203,0))&gt;1),0,MATCH(I135,AA$11:AA$203,0))</f>
        <v>0</v>
      </c>
      <c r="AO135" s="72">
        <f ca="1">IF(OR(TYPE(O135)&gt;1,TYPE(MATCH(O135,I$11:I$203,0))&gt;1),0,MATCH(O135,I$11:I$203,0))+IF(OR(TYPE(O135)&gt;1,TYPE(MATCH(O135,O136:O$203,0))&gt;1),0,MATCH(O135,O136:O$203,0))+IF(OR(TYPE(O135)&gt;1,TYPE(MATCH(O135,U$11:U$203,0))&gt;1),0,MATCH(O135,U$11:U$203,0))+IF(OR(TYPE(O135)&gt;1,TYPE(MATCH(O135,AA$11:AA$203,0))&gt;1),0,MATCH(O135,AA$11:AA$203,0))</f>
        <v>0</v>
      </c>
      <c r="AP135" s="72">
        <f ca="1">IF(OR(TYPE(U135)&gt;1,TYPE(MATCH(U135,I$11:I$203,0))&gt;1),0,MATCH(U135,I$11:I$203,0))+IF(OR(TYPE(U135)&gt;1,TYPE(MATCH(U135,O$11:O$203,0))&gt;1),0,MATCH(U135,O$11:O$203,0))+IF(OR(TYPE(U135)&gt;1,TYPE(MATCH(U135,U136:U$203,0))&gt;1),0,MATCH(U135,U136:U$203,0))+IF(OR(TYPE(U135)&gt;1,TYPE(MATCH(U135,AA$11:AA$203,0))&gt;1),0,MATCH(U135,AA$11:AA$203,0))</f>
        <v>0</v>
      </c>
      <c r="AQ135" s="72">
        <f ca="1">IF(OR(TYPE(AA135)&gt;1,TYPE(MATCH(AA135,I$11:I$203,0))&gt;1),0,MATCH(AA135,I$11:I$203,0))+IF(OR(TYPE(AA135)&gt;1,TYPE(MATCH(AA135,O$11:O$203,0))&gt;1),0,MATCH(AA135,O$11:O$203,0))+IF(OR(TYPE(AA135)&gt;1,TYPE(MATCH(AA135,U$11:U$203,0))&gt;1),0,MATCH(U135,U$11:U$203,0))+IF(OR(TYPE(AA135)&gt;1,TYPE(MATCH(AA135,AA136:AA$203,0))&gt;1),0,MATCH(AA135,AA136:AA$203,0))</f>
        <v>0</v>
      </c>
      <c r="AR135" s="72">
        <f t="shared" ca="1" si="59"/>
        <v>0</v>
      </c>
    </row>
    <row r="136" spans="1:44" ht="14.25">
      <c r="A136" s="103">
        <f t="shared" ca="1" si="45"/>
        <v>0</v>
      </c>
      <c r="B136" s="103">
        <f t="shared" ca="1" si="46"/>
        <v>0</v>
      </c>
      <c r="C136" s="156">
        <f t="shared" ca="1" si="47"/>
        <v>0</v>
      </c>
      <c r="D136" s="103">
        <f t="shared" ca="1" si="48"/>
        <v>99999</v>
      </c>
      <c r="E136" s="103">
        <f t="shared" ca="1" si="49"/>
        <v>9999</v>
      </c>
      <c r="F136" s="104" t="str">
        <f t="shared" ca="1" si="50"/>
        <v>00000000000000000000376350</v>
      </c>
      <c r="G136" s="145">
        <f t="shared" ca="1" si="51"/>
        <v>1</v>
      </c>
      <c r="H136" s="146">
        <f t="shared" si="52"/>
        <v>126</v>
      </c>
      <c r="I136" s="147" t="str">
        <f t="shared" ca="1" si="53"/>
        <v/>
      </c>
      <c r="J136" s="148" t="str">
        <f ca="1">IF(N(I136)&gt;0,VLOOKUP(I136,Hraci!$A$1:$I$1000,2,0),IF(TYPE(INDIRECT(ADDRESS(ROW() + $A$9-9 + (ROW()-11)*4,2,1,1,"Internet")))&gt;1,INDIRECT(ADDRESS(ROW() + $A$9-9 + (ROW()-11)*4,2,1,1,"Internet"))," "))</f>
        <v xml:space="preserve"> </v>
      </c>
      <c r="K136" s="149" t="str">
        <f ca="1">IF(N(I136)&gt;0,VLOOKUP(I136,Hraci!$A$1:$I$1000,3,0)," ")</f>
        <v xml:space="preserve"> </v>
      </c>
      <c r="L136" s="149" t="str">
        <f ca="1">IF(N(I136)&gt;0,VLOOKUP(I136,Hraci!$A$1:$I$1000,5,0),IF(TYPE(INDIRECT(ADDRESS(ROW() + $A$9-9 + (ROW()-11)*4,3,1,1,"Internet")))&gt;1,INDIRECT(ADDRESS(ROW() + $A$9-9 + (ROW()-11)*4,3,1,1,"Internet"))," "))</f>
        <v xml:space="preserve"> </v>
      </c>
      <c r="M136" s="149">
        <f ca="1">IF(N(I136)=0,9999,VLOOKUP(I136,Hraci!$A$1:$I$1000,8,0))</f>
        <v>9999</v>
      </c>
      <c r="N136" s="150">
        <f ca="1">IF(N(I136)=0,0,VLOOKUP(I136,Hraci!$A$1:$I$1000,9,0))</f>
        <v>0</v>
      </c>
      <c r="O136" s="147" t="str">
        <f t="shared" ca="1" si="54"/>
        <v/>
      </c>
      <c r="P136" s="148" t="str">
        <f ca="1">IF(N(O136)&gt;0,VLOOKUP(O136,Hraci!$A$1:$I$1000,2,0),IF(TYPE(INDIRECT(ADDRESS(ROW() + $A$9-8 + (ROW()-11)*4,2,1,1,"Internet")))&gt;1,INDIRECT(ADDRESS(ROW() + $A$9-8 + (ROW()-11)*4,2,1,1,"Internet"))," "))</f>
        <v xml:space="preserve"> </v>
      </c>
      <c r="Q136" s="149" t="str">
        <f ca="1">IF(N(O136)&gt;0,VLOOKUP(O136,Hraci!$A$1:$I$1000,3,0)," ")</f>
        <v xml:space="preserve"> </v>
      </c>
      <c r="R136" s="149" t="str">
        <f ca="1">IF(N(O136)&gt;0,VLOOKUP(O136,Hraci!$A$1:$I$1000,5,0),IF(TYPE(INDIRECT(ADDRESS(ROW() + $A$9-8 + (ROW()-11)*4,3,1,1,"Internet")))&gt;1,INDIRECT(ADDRESS(ROW() + $A$9-8 + (ROW()-11)*4,3,1,1,"Internet"))," "))</f>
        <v xml:space="preserve"> </v>
      </c>
      <c r="S136" s="149">
        <f ca="1">IF(N(O136)=0,9999,VLOOKUP(O136,Hraci!$A$1:$I$1000,8,0))</f>
        <v>9999</v>
      </c>
      <c r="T136" s="150">
        <f ca="1">IF(N(O136)=0,0,VLOOKUP(O136,Hraci!$A$1:$I$1000,9,0))</f>
        <v>0</v>
      </c>
      <c r="U136" s="147" t="str">
        <f t="shared" ca="1" si="55"/>
        <v/>
      </c>
      <c r="V136" s="148" t="str">
        <f ca="1">IF(N(U136)&gt;0,VLOOKUP(U136,Hraci!$A$1:$I$1000,2,0),IF(TYPE(INDIRECT(ADDRESS(ROW() + $A$9-7 + (ROW()-11)*4,2,1,1,"Internet")))&gt;1,INDIRECT(ADDRESS(ROW() + $A$9-7 + (ROW()-11)*4,2,1,1,"Internet"))," "))</f>
        <v xml:space="preserve"> </v>
      </c>
      <c r="W136" s="149" t="str">
        <f ca="1">IF(N(U136)&gt;0,VLOOKUP(U136,Hraci!$A$1:$I$1000,3,0)," ")</f>
        <v xml:space="preserve"> </v>
      </c>
      <c r="X136" s="149" t="str">
        <f ca="1">IF(N(U136)&gt;0,VLOOKUP(U136,Hraci!$A$1:$I$1000,5,0),IF(TYPE(INDIRECT(ADDRESS(ROW() + $A$9-7 + (ROW()-11)*4,3,1,1,"Internet")))&gt;1,INDIRECT(ADDRESS(ROW() + $A$9-7 + (ROW()-11)*4,3,1,1,"Internet"))," "))</f>
        <v xml:space="preserve"> </v>
      </c>
      <c r="Y136" s="149">
        <f ca="1">IF(N(U136)=0,9999,VLOOKUP(U136,Hraci!$A$1:$I$1000,8,0))</f>
        <v>9999</v>
      </c>
      <c r="Z136" s="150">
        <f ca="1">IF(N(U136)=0,0,VLOOKUP(U136,Hraci!$A$1:$I$1000,9,0))</f>
        <v>0</v>
      </c>
      <c r="AA136" s="147" t="str">
        <f t="shared" ca="1" si="56"/>
        <v/>
      </c>
      <c r="AB136" s="148" t="str">
        <f ca="1">IF(N(AA136)&gt;0,VLOOKUP(AA136,Hraci!$A$1:$I$1000,2,0)," ")</f>
        <v xml:space="preserve"> </v>
      </c>
      <c r="AC136" s="149" t="str">
        <f ca="1">IF(N(AA136)&gt;0,VLOOKUP(AA136,Hraci!$A$1:$I$1000,3,0)," ")</f>
        <v xml:space="preserve"> </v>
      </c>
      <c r="AD136" s="149" t="str">
        <f ca="1">IF(N(AA136)&gt;0,VLOOKUP(AA136,Hraci!$A$1:$I$1000,5,0)," ")</f>
        <v xml:space="preserve"> </v>
      </c>
      <c r="AE136" s="149">
        <f ca="1">IF(N(AA136)=0,9999,VLOOKUP(AA136,Hraci!$A$1:$I$1000,8,0))</f>
        <v>9999</v>
      </c>
      <c r="AF136" s="150">
        <f ca="1">IF(N(AA136)=0,0,VLOOKUP(AA136,Hraci!$A$1:$I$1000,9,0))</f>
        <v>0</v>
      </c>
      <c r="AG136" s="147"/>
      <c r="AH136" s="151">
        <f ca="1">IF(TYPE(VLOOKUP(H136,Nasazení!$A$3:$E$130,5,0))&lt;4,VLOOKUP(H136,Nasazení!$A$3:$E$130,5,0),0)</f>
        <v>0</v>
      </c>
      <c r="AI136" s="152" t="str">
        <f ca="1">IF(N($AH136)&gt;0,VLOOKUP($AH136,Body!$A$4:$F$259,5,0),"")</f>
        <v/>
      </c>
      <c r="AJ136" s="153" t="str">
        <f ca="1">IF(N($AH136)&gt;0,VLOOKUP($AH136,Body!$A$4:$F$259,6,0),"")</f>
        <v/>
      </c>
      <c r="AK136" s="152" t="str">
        <f ca="1">IF(N($AH136)&gt;0,VLOOKUP($AH136,Body!$A$4:$F$259,2,0),"")</f>
        <v/>
      </c>
      <c r="AL136" s="154" t="str">
        <f t="shared" ca="1" si="57"/>
        <v/>
      </c>
      <c r="AM136" s="155">
        <f t="shared" ca="1" si="58"/>
        <v>0</v>
      </c>
      <c r="AN136" s="72">
        <f ca="1">IF(OR(TYPE(I136)&gt;1,TYPE(MATCH(I136,I137:I$203,0))&gt;1),0,MATCH(I136,I137:I$203,0))+IF(OR(TYPE(I136)&gt;1,TYPE(MATCH(I136,O$11:O$203,0))&gt;1),0,MATCH(I136,O$11:O$203,0))+IF(OR(TYPE(I136)&gt;1,TYPE(MATCH(I136,U$11:U$203,0))&gt;1),0,MATCH(I136,U$11:U$203,0))+IF(OR(TYPE(I136)&gt;1,TYPE(MATCH(I136,AA$11:AA$203,0))&gt;1),0,MATCH(I136,AA$11:AA$203,0))</f>
        <v>0</v>
      </c>
      <c r="AO136" s="72">
        <f ca="1">IF(OR(TYPE(O136)&gt;1,TYPE(MATCH(O136,I$11:I$203,0))&gt;1),0,MATCH(O136,I$11:I$203,0))+IF(OR(TYPE(O136)&gt;1,TYPE(MATCH(O136,O137:O$203,0))&gt;1),0,MATCH(O136,O137:O$203,0))+IF(OR(TYPE(O136)&gt;1,TYPE(MATCH(O136,U$11:U$203,0))&gt;1),0,MATCH(O136,U$11:U$203,0))+IF(OR(TYPE(O136)&gt;1,TYPE(MATCH(O136,AA$11:AA$203,0))&gt;1),0,MATCH(O136,AA$11:AA$203,0))</f>
        <v>0</v>
      </c>
      <c r="AP136" s="72">
        <f ca="1">IF(OR(TYPE(U136)&gt;1,TYPE(MATCH(U136,I$11:I$203,0))&gt;1),0,MATCH(U136,I$11:I$203,0))+IF(OR(TYPE(U136)&gt;1,TYPE(MATCH(U136,O$11:O$203,0))&gt;1),0,MATCH(U136,O$11:O$203,0))+IF(OR(TYPE(U136)&gt;1,TYPE(MATCH(U136,U137:U$203,0))&gt;1),0,MATCH(U136,U137:U$203,0))+IF(OR(TYPE(U136)&gt;1,TYPE(MATCH(U136,AA$11:AA$203,0))&gt;1),0,MATCH(U136,AA$11:AA$203,0))</f>
        <v>0</v>
      </c>
      <c r="AQ136" s="72">
        <f ca="1">IF(OR(TYPE(AA136)&gt;1,TYPE(MATCH(AA136,I$11:I$203,0))&gt;1),0,MATCH(AA136,I$11:I$203,0))+IF(OR(TYPE(AA136)&gt;1,TYPE(MATCH(AA136,O$11:O$203,0))&gt;1),0,MATCH(AA136,O$11:O$203,0))+IF(OR(TYPE(AA136)&gt;1,TYPE(MATCH(AA136,U$11:U$203,0))&gt;1),0,MATCH(U136,U$11:U$203,0))+IF(OR(TYPE(AA136)&gt;1,TYPE(MATCH(AA136,AA137:AA$203,0))&gt;1),0,MATCH(AA136,AA137:AA$203,0))</f>
        <v>0</v>
      </c>
      <c r="AR136" s="72">
        <f t="shared" ca="1" si="59"/>
        <v>0</v>
      </c>
    </row>
    <row r="137" spans="1:44" ht="14.25">
      <c r="A137" s="103">
        <f t="shared" ca="1" si="45"/>
        <v>0</v>
      </c>
      <c r="B137" s="103">
        <f t="shared" ca="1" si="46"/>
        <v>0</v>
      </c>
      <c r="C137" s="156">
        <f t="shared" ca="1" si="47"/>
        <v>0</v>
      </c>
      <c r="D137" s="103">
        <f t="shared" ca="1" si="48"/>
        <v>99999</v>
      </c>
      <c r="E137" s="103">
        <f t="shared" ca="1" si="49"/>
        <v>9999</v>
      </c>
      <c r="F137" s="104" t="str">
        <f t="shared" ca="1" si="50"/>
        <v>00000000000000000000804557</v>
      </c>
      <c r="G137" s="145">
        <f t="shared" ca="1" si="51"/>
        <v>1</v>
      </c>
      <c r="H137" s="146">
        <f t="shared" si="52"/>
        <v>127</v>
      </c>
      <c r="I137" s="147" t="str">
        <f t="shared" ca="1" si="53"/>
        <v/>
      </c>
      <c r="J137" s="148" t="str">
        <f ca="1">IF(N(I137)&gt;0,VLOOKUP(I137,Hraci!$A$1:$I$1000,2,0),IF(TYPE(INDIRECT(ADDRESS(ROW() + $A$9-9 + (ROW()-11)*4,2,1,1,"Internet")))&gt;1,INDIRECT(ADDRESS(ROW() + $A$9-9 + (ROW()-11)*4,2,1,1,"Internet"))," "))</f>
        <v xml:space="preserve"> </v>
      </c>
      <c r="K137" s="149" t="str">
        <f ca="1">IF(N(I137)&gt;0,VLOOKUP(I137,Hraci!$A$1:$I$1000,3,0)," ")</f>
        <v xml:space="preserve"> </v>
      </c>
      <c r="L137" s="149" t="str">
        <f ca="1">IF(N(I137)&gt;0,VLOOKUP(I137,Hraci!$A$1:$I$1000,5,0),IF(TYPE(INDIRECT(ADDRESS(ROW() + $A$9-9 + (ROW()-11)*4,3,1,1,"Internet")))&gt;1,INDIRECT(ADDRESS(ROW() + $A$9-9 + (ROW()-11)*4,3,1,1,"Internet"))," "))</f>
        <v xml:space="preserve"> </v>
      </c>
      <c r="M137" s="149">
        <f ca="1">IF(N(I137)=0,9999,VLOOKUP(I137,Hraci!$A$1:$I$1000,8,0))</f>
        <v>9999</v>
      </c>
      <c r="N137" s="150">
        <f ca="1">IF(N(I137)=0,0,VLOOKUP(I137,Hraci!$A$1:$I$1000,9,0))</f>
        <v>0</v>
      </c>
      <c r="O137" s="147" t="str">
        <f t="shared" ca="1" si="54"/>
        <v/>
      </c>
      <c r="P137" s="148" t="str">
        <f ca="1">IF(N(O137)&gt;0,VLOOKUP(O137,Hraci!$A$1:$I$1000,2,0),IF(TYPE(INDIRECT(ADDRESS(ROW() + $A$9-8 + (ROW()-11)*4,2,1,1,"Internet")))&gt;1,INDIRECT(ADDRESS(ROW() + $A$9-8 + (ROW()-11)*4,2,1,1,"Internet"))," "))</f>
        <v xml:space="preserve"> </v>
      </c>
      <c r="Q137" s="149" t="str">
        <f ca="1">IF(N(O137)&gt;0,VLOOKUP(O137,Hraci!$A$1:$I$1000,3,0)," ")</f>
        <v xml:space="preserve"> </v>
      </c>
      <c r="R137" s="149" t="str">
        <f ca="1">IF(N(O137)&gt;0,VLOOKUP(O137,Hraci!$A$1:$I$1000,5,0),IF(TYPE(INDIRECT(ADDRESS(ROW() + $A$9-8 + (ROW()-11)*4,3,1,1,"Internet")))&gt;1,INDIRECT(ADDRESS(ROW() + $A$9-8 + (ROW()-11)*4,3,1,1,"Internet"))," "))</f>
        <v xml:space="preserve"> </v>
      </c>
      <c r="S137" s="149">
        <f ca="1">IF(N(O137)=0,9999,VLOOKUP(O137,Hraci!$A$1:$I$1000,8,0))</f>
        <v>9999</v>
      </c>
      <c r="T137" s="150">
        <f ca="1">IF(N(O137)=0,0,VLOOKUP(O137,Hraci!$A$1:$I$1000,9,0))</f>
        <v>0</v>
      </c>
      <c r="U137" s="147" t="str">
        <f t="shared" ca="1" si="55"/>
        <v/>
      </c>
      <c r="V137" s="148" t="str">
        <f ca="1">IF(N(U137)&gt;0,VLOOKUP(U137,Hraci!$A$1:$I$1000,2,0),IF(TYPE(INDIRECT(ADDRESS(ROW() + $A$9-7 + (ROW()-11)*4,2,1,1,"Internet")))&gt;1,INDIRECT(ADDRESS(ROW() + $A$9-7 + (ROW()-11)*4,2,1,1,"Internet"))," "))</f>
        <v xml:space="preserve"> </v>
      </c>
      <c r="W137" s="149" t="str">
        <f ca="1">IF(N(U137)&gt;0,VLOOKUP(U137,Hraci!$A$1:$I$1000,3,0)," ")</f>
        <v xml:space="preserve"> </v>
      </c>
      <c r="X137" s="149" t="str">
        <f ca="1">IF(N(U137)&gt;0,VLOOKUP(U137,Hraci!$A$1:$I$1000,5,0),IF(TYPE(INDIRECT(ADDRESS(ROW() + $A$9-7 + (ROW()-11)*4,3,1,1,"Internet")))&gt;1,INDIRECT(ADDRESS(ROW() + $A$9-7 + (ROW()-11)*4,3,1,1,"Internet"))," "))</f>
        <v xml:space="preserve"> </v>
      </c>
      <c r="Y137" s="149">
        <f ca="1">IF(N(U137)=0,9999,VLOOKUP(U137,Hraci!$A$1:$I$1000,8,0))</f>
        <v>9999</v>
      </c>
      <c r="Z137" s="150">
        <f ca="1">IF(N(U137)=0,0,VLOOKUP(U137,Hraci!$A$1:$I$1000,9,0))</f>
        <v>0</v>
      </c>
      <c r="AA137" s="147" t="str">
        <f t="shared" ca="1" si="56"/>
        <v/>
      </c>
      <c r="AB137" s="148" t="str">
        <f ca="1">IF(N(AA137)&gt;0,VLOOKUP(AA137,Hraci!$A$1:$I$1000,2,0)," ")</f>
        <v xml:space="preserve"> </v>
      </c>
      <c r="AC137" s="149" t="str">
        <f ca="1">IF(N(AA137)&gt;0,VLOOKUP(AA137,Hraci!$A$1:$I$1000,3,0)," ")</f>
        <v xml:space="preserve"> </v>
      </c>
      <c r="AD137" s="149" t="str">
        <f ca="1">IF(N(AA137)&gt;0,VLOOKUP(AA137,Hraci!$A$1:$I$1000,5,0)," ")</f>
        <v xml:space="preserve"> </v>
      </c>
      <c r="AE137" s="149">
        <f ca="1">IF(N(AA137)=0,9999,VLOOKUP(AA137,Hraci!$A$1:$I$1000,8,0))</f>
        <v>9999</v>
      </c>
      <c r="AF137" s="150">
        <f ca="1">IF(N(AA137)=0,0,VLOOKUP(AA137,Hraci!$A$1:$I$1000,9,0))</f>
        <v>0</v>
      </c>
      <c r="AG137" s="147"/>
      <c r="AH137" s="151">
        <f ca="1">IF(TYPE(VLOOKUP(H137,Nasazení!$A$3:$E$130,5,0))&lt;4,VLOOKUP(H137,Nasazení!$A$3:$E$130,5,0),0)</f>
        <v>0</v>
      </c>
      <c r="AI137" s="152" t="str">
        <f ca="1">IF(N($AH137)&gt;0,VLOOKUP($AH137,Body!$A$4:$F$259,5,0),"")</f>
        <v/>
      </c>
      <c r="AJ137" s="153" t="str">
        <f ca="1">IF(N($AH137)&gt;0,VLOOKUP($AH137,Body!$A$4:$F$259,6,0),"")</f>
        <v/>
      </c>
      <c r="AK137" s="152" t="str">
        <f ca="1">IF(N($AH137)&gt;0,VLOOKUP($AH137,Body!$A$4:$F$259,2,0),"")</f>
        <v/>
      </c>
      <c r="AL137" s="154" t="str">
        <f t="shared" ca="1" si="57"/>
        <v/>
      </c>
      <c r="AM137" s="155">
        <f t="shared" ca="1" si="58"/>
        <v>0</v>
      </c>
      <c r="AN137" s="72">
        <f ca="1">IF(OR(TYPE(I137)&gt;1,TYPE(MATCH(I137,I138:I$203,0))&gt;1),0,MATCH(I137,I138:I$203,0))+IF(OR(TYPE(I137)&gt;1,TYPE(MATCH(I137,O$11:O$203,0))&gt;1),0,MATCH(I137,O$11:O$203,0))+IF(OR(TYPE(I137)&gt;1,TYPE(MATCH(I137,U$11:U$203,0))&gt;1),0,MATCH(I137,U$11:U$203,0))+IF(OR(TYPE(I137)&gt;1,TYPE(MATCH(I137,AA$11:AA$203,0))&gt;1),0,MATCH(I137,AA$11:AA$203,0))</f>
        <v>0</v>
      </c>
      <c r="AO137" s="72">
        <f ca="1">IF(OR(TYPE(O137)&gt;1,TYPE(MATCH(O137,I$11:I$203,0))&gt;1),0,MATCH(O137,I$11:I$203,0))+IF(OR(TYPE(O137)&gt;1,TYPE(MATCH(O137,O138:O$203,0))&gt;1),0,MATCH(O137,O138:O$203,0))+IF(OR(TYPE(O137)&gt;1,TYPE(MATCH(O137,U$11:U$203,0))&gt;1),0,MATCH(O137,U$11:U$203,0))+IF(OR(TYPE(O137)&gt;1,TYPE(MATCH(O137,AA$11:AA$203,0))&gt;1),0,MATCH(O137,AA$11:AA$203,0))</f>
        <v>0</v>
      </c>
      <c r="AP137" s="72">
        <f ca="1">IF(OR(TYPE(U137)&gt;1,TYPE(MATCH(U137,I$11:I$203,0))&gt;1),0,MATCH(U137,I$11:I$203,0))+IF(OR(TYPE(U137)&gt;1,TYPE(MATCH(U137,O$11:O$203,0))&gt;1),0,MATCH(U137,O$11:O$203,0))+IF(OR(TYPE(U137)&gt;1,TYPE(MATCH(U137,U138:U$203,0))&gt;1),0,MATCH(U137,U138:U$203,0))+IF(OR(TYPE(U137)&gt;1,TYPE(MATCH(U137,AA$11:AA$203,0))&gt;1),0,MATCH(U137,AA$11:AA$203,0))</f>
        <v>0</v>
      </c>
      <c r="AQ137" s="72">
        <f ca="1">IF(OR(TYPE(AA137)&gt;1,TYPE(MATCH(AA137,I$11:I$203,0))&gt;1),0,MATCH(AA137,I$11:I$203,0))+IF(OR(TYPE(AA137)&gt;1,TYPE(MATCH(AA137,O$11:O$203,0))&gt;1),0,MATCH(AA137,O$11:O$203,0))+IF(OR(TYPE(AA137)&gt;1,TYPE(MATCH(AA137,U$11:U$203,0))&gt;1),0,MATCH(U137,U$11:U$203,0))+IF(OR(TYPE(AA137)&gt;1,TYPE(MATCH(AA137,AA138:AA$203,0))&gt;1),0,MATCH(AA137,AA138:AA$203,0))</f>
        <v>0</v>
      </c>
      <c r="AR137" s="72">
        <f t="shared" ca="1" si="59"/>
        <v>0</v>
      </c>
    </row>
    <row r="138" spans="1:44" ht="14.25">
      <c r="A138" s="103">
        <f t="shared" ca="1" si="45"/>
        <v>0</v>
      </c>
      <c r="B138" s="103">
        <f t="shared" ca="1" si="46"/>
        <v>0</v>
      </c>
      <c r="C138" s="156">
        <f t="shared" ca="1" si="47"/>
        <v>0</v>
      </c>
      <c r="D138" s="103">
        <f t="shared" ca="1" si="48"/>
        <v>99999</v>
      </c>
      <c r="E138" s="103">
        <f t="shared" ca="1" si="49"/>
        <v>9999</v>
      </c>
      <c r="F138" s="104" t="str">
        <f t="shared" ca="1" si="50"/>
        <v>00000000000000000000860080</v>
      </c>
      <c r="G138" s="145">
        <f t="shared" ca="1" si="51"/>
        <v>1</v>
      </c>
      <c r="H138" s="146">
        <f t="shared" si="52"/>
        <v>128</v>
      </c>
      <c r="I138" s="147" t="str">
        <f t="shared" ca="1" si="53"/>
        <v/>
      </c>
      <c r="J138" s="148" t="str">
        <f ca="1">IF(N(I138)&gt;0,VLOOKUP(I138,Hraci!$A$1:$I$1000,2,0),IF(TYPE(INDIRECT(ADDRESS(ROW() + $A$9-9 + (ROW()-11)*4,2,1,1,"Internet")))&gt;1,INDIRECT(ADDRESS(ROW() + $A$9-9 + (ROW()-11)*4,2,1,1,"Internet"))," "))</f>
        <v xml:space="preserve"> </v>
      </c>
      <c r="K138" s="149" t="str">
        <f ca="1">IF(N(I138)&gt;0,VLOOKUP(I138,Hraci!$A$1:$I$1000,3,0)," ")</f>
        <v xml:space="preserve"> </v>
      </c>
      <c r="L138" s="149" t="str">
        <f ca="1">IF(N(I138)&gt;0,VLOOKUP(I138,Hraci!$A$1:$I$1000,5,0),IF(TYPE(INDIRECT(ADDRESS(ROW() + $A$9-9 + (ROW()-11)*4,3,1,1,"Internet")))&gt;1,INDIRECT(ADDRESS(ROW() + $A$9-9 + (ROW()-11)*4,3,1,1,"Internet"))," "))</f>
        <v xml:space="preserve"> </v>
      </c>
      <c r="M138" s="149">
        <f ca="1">IF(N(I138)=0,9999,VLOOKUP(I138,Hraci!$A$1:$I$1000,8,0))</f>
        <v>9999</v>
      </c>
      <c r="N138" s="150">
        <f ca="1">IF(N(I138)=0,0,VLOOKUP(I138,Hraci!$A$1:$I$1000,9,0))</f>
        <v>0</v>
      </c>
      <c r="O138" s="147" t="str">
        <f t="shared" ca="1" si="54"/>
        <v/>
      </c>
      <c r="P138" s="148" t="str">
        <f ca="1">IF(N(O138)&gt;0,VLOOKUP(O138,Hraci!$A$1:$I$1000,2,0),IF(TYPE(INDIRECT(ADDRESS(ROW() + $A$9-8 + (ROW()-11)*4,2,1,1,"Internet")))&gt;1,INDIRECT(ADDRESS(ROW() + $A$9-8 + (ROW()-11)*4,2,1,1,"Internet"))," "))</f>
        <v xml:space="preserve"> </v>
      </c>
      <c r="Q138" s="149" t="str">
        <f ca="1">IF(N(O138)&gt;0,VLOOKUP(O138,Hraci!$A$1:$I$1000,3,0)," ")</f>
        <v xml:space="preserve"> </v>
      </c>
      <c r="R138" s="149" t="str">
        <f ca="1">IF(N(O138)&gt;0,VLOOKUP(O138,Hraci!$A$1:$I$1000,5,0),IF(TYPE(INDIRECT(ADDRESS(ROW() + $A$9-8 + (ROW()-11)*4,3,1,1,"Internet")))&gt;1,INDIRECT(ADDRESS(ROW() + $A$9-8 + (ROW()-11)*4,3,1,1,"Internet"))," "))</f>
        <v xml:space="preserve"> </v>
      </c>
      <c r="S138" s="149">
        <f ca="1">IF(N(O138)=0,9999,VLOOKUP(O138,Hraci!$A$1:$I$1000,8,0))</f>
        <v>9999</v>
      </c>
      <c r="T138" s="150">
        <f ca="1">IF(N(O138)=0,0,VLOOKUP(O138,Hraci!$A$1:$I$1000,9,0))</f>
        <v>0</v>
      </c>
      <c r="U138" s="147" t="str">
        <f t="shared" ca="1" si="55"/>
        <v/>
      </c>
      <c r="V138" s="148" t="str">
        <f ca="1">IF(N(U138)&gt;0,VLOOKUP(U138,Hraci!$A$1:$I$1000,2,0),IF(TYPE(INDIRECT(ADDRESS(ROW() + $A$9-7 + (ROW()-11)*4,2,1,1,"Internet")))&gt;1,INDIRECT(ADDRESS(ROW() + $A$9-7 + (ROW()-11)*4,2,1,1,"Internet"))," "))</f>
        <v xml:space="preserve"> </v>
      </c>
      <c r="W138" s="149" t="str">
        <f ca="1">IF(N(U138)&gt;0,VLOOKUP(U138,Hraci!$A$1:$I$1000,3,0)," ")</f>
        <v xml:space="preserve"> </v>
      </c>
      <c r="X138" s="149" t="str">
        <f ca="1">IF(N(U138)&gt;0,VLOOKUP(U138,Hraci!$A$1:$I$1000,5,0),IF(TYPE(INDIRECT(ADDRESS(ROW() + $A$9-7 + (ROW()-11)*4,3,1,1,"Internet")))&gt;1,INDIRECT(ADDRESS(ROW() + $A$9-7 + (ROW()-11)*4,3,1,1,"Internet"))," "))</f>
        <v xml:space="preserve"> </v>
      </c>
      <c r="Y138" s="149">
        <f ca="1">IF(N(U138)=0,9999,VLOOKUP(U138,Hraci!$A$1:$I$1000,8,0))</f>
        <v>9999</v>
      </c>
      <c r="Z138" s="150">
        <f ca="1">IF(N(U138)=0,0,VLOOKUP(U138,Hraci!$A$1:$I$1000,9,0))</f>
        <v>0</v>
      </c>
      <c r="AA138" s="147" t="str">
        <f t="shared" ca="1" si="56"/>
        <v/>
      </c>
      <c r="AB138" s="148" t="str">
        <f ca="1">IF(N(AA138)&gt;0,VLOOKUP(AA138,Hraci!$A$1:$I$1000,2,0)," ")</f>
        <v xml:space="preserve"> </v>
      </c>
      <c r="AC138" s="149" t="str">
        <f ca="1">IF(N(AA138)&gt;0,VLOOKUP(AA138,Hraci!$A$1:$I$1000,3,0)," ")</f>
        <v xml:space="preserve"> </v>
      </c>
      <c r="AD138" s="149" t="str">
        <f ca="1">IF(N(AA138)&gt;0,VLOOKUP(AA138,Hraci!$A$1:$I$1000,5,0)," ")</f>
        <v xml:space="preserve"> </v>
      </c>
      <c r="AE138" s="149">
        <f ca="1">IF(N(AA138)=0,9999,VLOOKUP(AA138,Hraci!$A$1:$I$1000,8,0))</f>
        <v>9999</v>
      </c>
      <c r="AF138" s="150">
        <f ca="1">IF(N(AA138)=0,0,VLOOKUP(AA138,Hraci!$A$1:$I$1000,9,0))</f>
        <v>0</v>
      </c>
      <c r="AG138" s="147"/>
      <c r="AH138" s="151">
        <f ca="1">IF(TYPE(VLOOKUP(H138,Nasazení!$A$3:$E$130,5,0))&lt;4,VLOOKUP(H138,Nasazení!$A$3:$E$130,5,0),0)</f>
        <v>0</v>
      </c>
      <c r="AI138" s="152" t="str">
        <f ca="1">IF(N($AH138)&gt;0,VLOOKUP($AH138,Body!$A$4:$F$259,5,0),"")</f>
        <v/>
      </c>
      <c r="AJ138" s="153" t="str">
        <f ca="1">IF(N($AH138)&gt;0,VLOOKUP($AH138,Body!$A$4:$F$259,6,0),"")</f>
        <v/>
      </c>
      <c r="AK138" s="152" t="str">
        <f ca="1">IF(N($AH138)&gt;0,VLOOKUP($AH138,Body!$A$4:$F$259,2,0),"")</f>
        <v/>
      </c>
      <c r="AL138" s="154" t="str">
        <f t="shared" ca="1" si="57"/>
        <v/>
      </c>
      <c r="AM138" s="155">
        <f t="shared" ca="1" si="58"/>
        <v>0</v>
      </c>
      <c r="AN138" s="72">
        <f ca="1">IF(OR(TYPE(I138)&gt;1,TYPE(MATCH(I138,I139:I$203,0))&gt;1),0,MATCH(I138,I139:I$203,0))+IF(OR(TYPE(I138)&gt;1,TYPE(MATCH(I138,O$11:O$203,0))&gt;1),0,MATCH(I138,O$11:O$203,0))+IF(OR(TYPE(I138)&gt;1,TYPE(MATCH(I138,U$11:U$203,0))&gt;1),0,MATCH(I138,U$11:U$203,0))+IF(OR(TYPE(I138)&gt;1,TYPE(MATCH(I138,AA$11:AA$203,0))&gt;1),0,MATCH(I138,AA$11:AA$203,0))</f>
        <v>0</v>
      </c>
      <c r="AO138" s="72">
        <f ca="1">IF(OR(TYPE(O138)&gt;1,TYPE(MATCH(O138,I$11:I$203,0))&gt;1),0,MATCH(O138,I$11:I$203,0))+IF(OR(TYPE(O138)&gt;1,TYPE(MATCH(O138,O139:O$203,0))&gt;1),0,MATCH(O138,O139:O$203,0))+IF(OR(TYPE(O138)&gt;1,TYPE(MATCH(O138,U$11:U$203,0))&gt;1),0,MATCH(O138,U$11:U$203,0))+IF(OR(TYPE(O138)&gt;1,TYPE(MATCH(O138,AA$11:AA$203,0))&gt;1),0,MATCH(O138,AA$11:AA$203,0))</f>
        <v>0</v>
      </c>
      <c r="AP138" s="72">
        <f ca="1">IF(OR(TYPE(U138)&gt;1,TYPE(MATCH(U138,I$11:I$203,0))&gt;1),0,MATCH(U138,I$11:I$203,0))+IF(OR(TYPE(U138)&gt;1,TYPE(MATCH(U138,O$11:O$203,0))&gt;1),0,MATCH(U138,O$11:O$203,0))+IF(OR(TYPE(U138)&gt;1,TYPE(MATCH(U138,U139:U$203,0))&gt;1),0,MATCH(U138,U139:U$203,0))+IF(OR(TYPE(U138)&gt;1,TYPE(MATCH(U138,AA$11:AA$203,0))&gt;1),0,MATCH(U138,AA$11:AA$203,0))</f>
        <v>0</v>
      </c>
      <c r="AQ138" s="72">
        <f ca="1">IF(OR(TYPE(AA138)&gt;1,TYPE(MATCH(AA138,I$11:I$203,0))&gt;1),0,MATCH(AA138,I$11:I$203,0))+IF(OR(TYPE(AA138)&gt;1,TYPE(MATCH(AA138,O$11:O$203,0))&gt;1),0,MATCH(AA138,O$11:O$203,0))+IF(OR(TYPE(AA138)&gt;1,TYPE(MATCH(AA138,U$11:U$203,0))&gt;1),0,MATCH(U138,U$11:U$203,0))+IF(OR(TYPE(AA138)&gt;1,TYPE(MATCH(AA138,AA139:AA$203,0))&gt;1),0,MATCH(AA138,AA139:AA$203,0))</f>
        <v>0</v>
      </c>
      <c r="AR138" s="72">
        <f t="shared" ca="1" si="59"/>
        <v>0</v>
      </c>
    </row>
    <row r="139" spans="1:44" ht="14.25">
      <c r="A139" s="103">
        <f t="shared" ref="A139:A170" ca="1" si="60">IF(OR(LEFT(J139,1)=" ",ISBLANK(J139)),0,1)+IF(OR(LEFT(P139,1)=" ",ISBLANK(P139)),0,1)+IF(OR(LEFT(V139,1)=" ",ISBLANK(V139)),0,1)</f>
        <v>0</v>
      </c>
      <c r="B139" s="103">
        <f t="shared" ref="B139:B170" ca="1" si="61">IF(AND(TYPE(G139&lt;15),G139=0),1,0)</f>
        <v>0</v>
      </c>
      <c r="C139" s="156">
        <f t="shared" ref="C139:C170" ca="1" si="62">IF(B139=0,0,N139+T139+Z139)</f>
        <v>0</v>
      </c>
      <c r="D139" s="103">
        <f t="shared" ref="D139:D170" ca="1" si="63">IF(B139=0,99999,M139+S139+Y139)</f>
        <v>99999</v>
      </c>
      <c r="E139" s="103">
        <f t="shared" ref="E139:E170" ca="1" si="64">MIN(M139,S139,Y139)</f>
        <v>9999</v>
      </c>
      <c r="F139" s="104" t="str">
        <f t="shared" ref="F139:F170" ca="1" si="65">CONCATENATE(IF(AND($P$4=1,H139&gt;2*$O$7),"0","9"),TEXT(B139,"0"),IF(AND($P$4=1,H139&gt;2*$O$7),"000000",TEXT(1000*C139,"000000")),IF(AND($P$4=1,H139&gt;2*$O$7),"000000",TEXT(999999-D139,"000000")),IF(AND($P$4=1,H139&gt;2*$O$7),"000000",TEXT(999999-E139,"000000")),TEXT(999999*RAND(),"000000"))</f>
        <v>00000000000000000000743523</v>
      </c>
      <c r="G139" s="145">
        <f t="shared" ref="G139:G170" ca="1" si="66">IF(OR($K$6&gt;A139,AR139&gt;0),1,0)</f>
        <v>1</v>
      </c>
      <c r="H139" s="146">
        <f t="shared" ref="H139:H170" si="67">ROW(H139)-10</f>
        <v>129</v>
      </c>
      <c r="I139" s="147" t="str">
        <f t="shared" ref="I139:I170" ca="1" si="68">IF(N(INDIRECT(ADDRESS(ROW() + $A$9-9 + (ROW()-11)*4,1,1,1,"Internet")))&gt;0,INDIRECT(ADDRESS(ROW() + $A$9-9 + (ROW()-11)*4,1,1,1,"Internet")),"")</f>
        <v/>
      </c>
      <c r="J139" s="148" t="str">
        <f ca="1">IF(N(I139)&gt;0,VLOOKUP(I139,Hraci!$A$1:$I$1000,2,0),IF(TYPE(INDIRECT(ADDRESS(ROW() + $A$9-9 + (ROW()-11)*4,2,1,1,"Internet")))&gt;1,INDIRECT(ADDRESS(ROW() + $A$9-9 + (ROW()-11)*4,2,1,1,"Internet"))," "))</f>
        <v xml:space="preserve"> </v>
      </c>
      <c r="K139" s="149" t="str">
        <f ca="1">IF(N(I139)&gt;0,VLOOKUP(I139,Hraci!$A$1:$I$1000,3,0)," ")</f>
        <v xml:space="preserve"> </v>
      </c>
      <c r="L139" s="149" t="str">
        <f ca="1">IF(N(I139)&gt;0,VLOOKUP(I139,Hraci!$A$1:$I$1000,5,0),IF(TYPE(INDIRECT(ADDRESS(ROW() + $A$9-9 + (ROW()-11)*4,3,1,1,"Internet")))&gt;1,INDIRECT(ADDRESS(ROW() + $A$9-9 + (ROW()-11)*4,3,1,1,"Internet"))," "))</f>
        <v xml:space="preserve"> </v>
      </c>
      <c r="M139" s="149">
        <f ca="1">IF(N(I139)=0,9999,VLOOKUP(I139,Hraci!$A$1:$I$1000,8,0))</f>
        <v>9999</v>
      </c>
      <c r="N139" s="150">
        <f ca="1">IF(N(I139)=0,0,VLOOKUP(I139,Hraci!$A$1:$I$1000,9,0))</f>
        <v>0</v>
      </c>
      <c r="O139" s="147" t="str">
        <f t="shared" ref="O139:O170" ca="1" si="69">IF(N(INDIRECT(ADDRESS(ROW() + $A$9-8 + (ROW()-11)*4,1,1,1,"Internet")))&gt;0,INDIRECT(ADDRESS(ROW() + $A$9-8 + (ROW()-11)*4,1,1,1,"Internet")),"")</f>
        <v/>
      </c>
      <c r="P139" s="148" t="str">
        <f ca="1">IF(N(O139)&gt;0,VLOOKUP(O139,Hraci!$A$1:$I$1000,2,0),IF(TYPE(INDIRECT(ADDRESS(ROW() + $A$9-8 + (ROW()-11)*4,2,1,1,"Internet")))&gt;1,INDIRECT(ADDRESS(ROW() + $A$9-8 + (ROW()-11)*4,2,1,1,"Internet"))," "))</f>
        <v xml:space="preserve"> </v>
      </c>
      <c r="Q139" s="149" t="str">
        <f ca="1">IF(N(O139)&gt;0,VLOOKUP(O139,Hraci!$A$1:$I$1000,3,0)," ")</f>
        <v xml:space="preserve"> </v>
      </c>
      <c r="R139" s="149" t="str">
        <f ca="1">IF(N(O139)&gt;0,VLOOKUP(O139,Hraci!$A$1:$I$1000,5,0),IF(TYPE(INDIRECT(ADDRESS(ROW() + $A$9-8 + (ROW()-11)*4,3,1,1,"Internet")))&gt;1,INDIRECT(ADDRESS(ROW() + $A$9-8 + (ROW()-11)*4,3,1,1,"Internet"))," "))</f>
        <v xml:space="preserve"> </v>
      </c>
      <c r="S139" s="149">
        <f ca="1">IF(N(O139)=0,9999,VLOOKUP(O139,Hraci!$A$1:$I$1000,8,0))</f>
        <v>9999</v>
      </c>
      <c r="T139" s="150">
        <f ca="1">IF(N(O139)=0,0,VLOOKUP(O139,Hraci!$A$1:$I$1000,9,0))</f>
        <v>0</v>
      </c>
      <c r="U139" s="147" t="str">
        <f t="shared" ref="U139:U170" ca="1" si="70">IF(N(INDIRECT(ADDRESS(ROW() + $A$9-7 + (ROW()-11)*4,1,1,1,"Internet")))&gt;0,INDIRECT(ADDRESS(ROW() + $A$9-7 + (ROW()-11)*4,1,1,1,"Internet")),"")</f>
        <v/>
      </c>
      <c r="V139" s="148" t="str">
        <f ca="1">IF(N(U139)&gt;0,VLOOKUP(U139,Hraci!$A$1:$I$1000,2,0),IF(TYPE(INDIRECT(ADDRESS(ROW() + $A$9-7 + (ROW()-11)*4,2,1,1,"Internet")))&gt;1,INDIRECT(ADDRESS(ROW() + $A$9-7 + (ROW()-11)*4,2,1,1,"Internet"))," "))</f>
        <v xml:space="preserve"> </v>
      </c>
      <c r="W139" s="149" t="str">
        <f ca="1">IF(N(U139)&gt;0,VLOOKUP(U139,Hraci!$A$1:$I$1000,3,0)," ")</f>
        <v xml:space="preserve"> </v>
      </c>
      <c r="X139" s="149" t="str">
        <f ca="1">IF(N(U139)&gt;0,VLOOKUP(U139,Hraci!$A$1:$I$1000,5,0),IF(TYPE(INDIRECT(ADDRESS(ROW() + $A$9-7 + (ROW()-11)*4,3,1,1,"Internet")))&gt;1,INDIRECT(ADDRESS(ROW() + $A$9-7 + (ROW()-11)*4,3,1,1,"Internet"))," "))</f>
        <v xml:space="preserve"> </v>
      </c>
      <c r="Y139" s="149">
        <f ca="1">IF(N(U139)=0,9999,VLOOKUP(U139,Hraci!$A$1:$I$1000,8,0))</f>
        <v>9999</v>
      </c>
      <c r="Z139" s="150">
        <f ca="1">IF(N(U139)=0,0,VLOOKUP(U139,Hraci!$A$1:$I$1000,9,0))</f>
        <v>0</v>
      </c>
      <c r="AA139" s="147" t="str">
        <f t="shared" ref="AA139:AA170" ca="1" si="71">IF(N(INDIRECT(ADDRESS(ROW() + $A$9-6 + (ROW()-11)*4,1,1,1,"Internet")))&gt;0,INDIRECT(ADDRESS(ROW() + $A$9-6 + (ROW()-11)*4,1,1,1,"Internet")),"")</f>
        <v/>
      </c>
      <c r="AB139" s="148" t="str">
        <f ca="1">IF(N(AA139)&gt;0,VLOOKUP(AA139,Hraci!$A$1:$I$1000,2,0)," ")</f>
        <v xml:space="preserve"> </v>
      </c>
      <c r="AC139" s="149" t="str">
        <f ca="1">IF(N(AA139)&gt;0,VLOOKUP(AA139,Hraci!$A$1:$I$1000,3,0)," ")</f>
        <v xml:space="preserve"> </v>
      </c>
      <c r="AD139" s="149" t="str">
        <f ca="1">IF(N(AA139)&gt;0,VLOOKUP(AA139,Hraci!$A$1:$I$1000,5,0)," ")</f>
        <v xml:space="preserve"> </v>
      </c>
      <c r="AE139" s="149">
        <f ca="1">IF(N(AA139)=0,9999,VLOOKUP(AA139,Hraci!$A$1:$I$1000,8,0))</f>
        <v>9999</v>
      </c>
      <c r="AF139" s="150">
        <f ca="1">IF(N(AA139)=0,0,VLOOKUP(AA139,Hraci!$A$1:$I$1000,9,0))</f>
        <v>0</v>
      </c>
      <c r="AG139" s="147"/>
      <c r="AH139" s="151">
        <f ca="1">IF(TYPE(VLOOKUP(H139,Nasazení!$A$3:$E$130,5,0))&lt;4,VLOOKUP(H139,Nasazení!$A$3:$E$130,5,0),0)</f>
        <v>0</v>
      </c>
      <c r="AI139" s="152" t="str">
        <f ca="1">IF(N($AH139)&gt;0,VLOOKUP($AH139,Body!$A$4:$F$259,5,0),"")</f>
        <v/>
      </c>
      <c r="AJ139" s="153" t="str">
        <f ca="1">IF(N($AH139)&gt;0,VLOOKUP($AH139,Body!$A$4:$F$259,6,0),"")</f>
        <v/>
      </c>
      <c r="AK139" s="152" t="str">
        <f ca="1">IF(N($AH139)&gt;0,VLOOKUP($AH139,Body!$A$4:$F$259,2,0),"")</f>
        <v/>
      </c>
      <c r="AL139" s="154" t="str">
        <f t="shared" ref="AL139:AL170" ca="1" si="72">IF(N(H139)&gt;$K$7,"",CONCATENATE(IF($U$8="","",H139&amp;" "),L139,IF(L139="",""," - "),J139," ",K139))</f>
        <v/>
      </c>
      <c r="AM139" s="155">
        <f t="shared" ref="AM139:AM170" ca="1" si="73">C139</f>
        <v>0</v>
      </c>
      <c r="AN139" s="72">
        <f ca="1">IF(OR(TYPE(I139)&gt;1,TYPE(MATCH(I139,I140:I$203,0))&gt;1),0,MATCH(I139,I140:I$203,0))+IF(OR(TYPE(I139)&gt;1,TYPE(MATCH(I139,O$11:O$203,0))&gt;1),0,MATCH(I139,O$11:O$203,0))+IF(OR(TYPE(I139)&gt;1,TYPE(MATCH(I139,U$11:U$203,0))&gt;1),0,MATCH(I139,U$11:U$203,0))+IF(OR(TYPE(I139)&gt;1,TYPE(MATCH(I139,AA$11:AA$203,0))&gt;1),0,MATCH(I139,AA$11:AA$203,0))</f>
        <v>0</v>
      </c>
      <c r="AO139" s="72">
        <f ca="1">IF(OR(TYPE(O139)&gt;1,TYPE(MATCH(O139,I$11:I$203,0))&gt;1),0,MATCH(O139,I$11:I$203,0))+IF(OR(TYPE(O139)&gt;1,TYPE(MATCH(O139,O140:O$203,0))&gt;1),0,MATCH(O139,O140:O$203,0))+IF(OR(TYPE(O139)&gt;1,TYPE(MATCH(O139,U$11:U$203,0))&gt;1),0,MATCH(O139,U$11:U$203,0))+IF(OR(TYPE(O139)&gt;1,TYPE(MATCH(O139,AA$11:AA$203,0))&gt;1),0,MATCH(O139,AA$11:AA$203,0))</f>
        <v>0</v>
      </c>
      <c r="AP139" s="72">
        <f ca="1">IF(OR(TYPE(U139)&gt;1,TYPE(MATCH(U139,I$11:I$203,0))&gt;1),0,MATCH(U139,I$11:I$203,0))+IF(OR(TYPE(U139)&gt;1,TYPE(MATCH(U139,O$11:O$203,0))&gt;1),0,MATCH(U139,O$11:O$203,0))+IF(OR(TYPE(U139)&gt;1,TYPE(MATCH(U139,U140:U$203,0))&gt;1),0,MATCH(U139,U140:U$203,0))+IF(OR(TYPE(U139)&gt;1,TYPE(MATCH(U139,AA$11:AA$203,0))&gt;1),0,MATCH(U139,AA$11:AA$203,0))</f>
        <v>0</v>
      </c>
      <c r="AQ139" s="72">
        <f ca="1">IF(OR(TYPE(AA139)&gt;1,TYPE(MATCH(AA139,I$11:I$203,0))&gt;1),0,MATCH(AA139,I$11:I$203,0))+IF(OR(TYPE(AA139)&gt;1,TYPE(MATCH(AA139,O$11:O$203,0))&gt;1),0,MATCH(AA139,O$11:O$203,0))+IF(OR(TYPE(AA139)&gt;1,TYPE(MATCH(AA139,U$11:U$203,0))&gt;1),0,MATCH(U139,U$11:U$203,0))+IF(OR(TYPE(AA139)&gt;1,TYPE(MATCH(AA139,AA140:AA$203,0))&gt;1),0,MATCH(AA139,AA140:AA$203,0))</f>
        <v>0</v>
      </c>
      <c r="AR139" s="72">
        <f t="shared" ref="AR139:AR170" ca="1" si="74">SUM(AN139:AQ139)</f>
        <v>0</v>
      </c>
    </row>
    <row r="140" spans="1:44" ht="14.25">
      <c r="A140" s="103">
        <f t="shared" ca="1" si="60"/>
        <v>0</v>
      </c>
      <c r="B140" s="103">
        <f t="shared" ca="1" si="61"/>
        <v>0</v>
      </c>
      <c r="C140" s="156">
        <f t="shared" ca="1" si="62"/>
        <v>0</v>
      </c>
      <c r="D140" s="103">
        <f t="shared" ca="1" si="63"/>
        <v>99999</v>
      </c>
      <c r="E140" s="103">
        <f t="shared" ca="1" si="64"/>
        <v>9999</v>
      </c>
      <c r="F140" s="104" t="str">
        <f t="shared" ca="1" si="65"/>
        <v>00000000000000000000076643</v>
      </c>
      <c r="G140" s="145">
        <f t="shared" ca="1" si="66"/>
        <v>1</v>
      </c>
      <c r="H140" s="146">
        <f t="shared" si="67"/>
        <v>130</v>
      </c>
      <c r="I140" s="147" t="str">
        <f t="shared" ca="1" si="68"/>
        <v/>
      </c>
      <c r="J140" s="148" t="str">
        <f ca="1">IF(N(I140)&gt;0,VLOOKUP(I140,Hraci!$A$1:$I$1000,2,0),IF(TYPE(INDIRECT(ADDRESS(ROW() + $A$9-9 + (ROW()-11)*4,2,1,1,"Internet")))&gt;1,INDIRECT(ADDRESS(ROW() + $A$9-9 + (ROW()-11)*4,2,1,1,"Internet"))," "))</f>
        <v xml:space="preserve"> </v>
      </c>
      <c r="K140" s="149" t="str">
        <f ca="1">IF(N(I140)&gt;0,VLOOKUP(I140,Hraci!$A$1:$I$1000,3,0)," ")</f>
        <v xml:space="preserve"> </v>
      </c>
      <c r="L140" s="149" t="str">
        <f ca="1">IF(N(I140)&gt;0,VLOOKUP(I140,Hraci!$A$1:$I$1000,5,0),IF(TYPE(INDIRECT(ADDRESS(ROW() + $A$9-9 + (ROW()-11)*4,3,1,1,"Internet")))&gt;1,INDIRECT(ADDRESS(ROW() + $A$9-9 + (ROW()-11)*4,3,1,1,"Internet"))," "))</f>
        <v xml:space="preserve"> </v>
      </c>
      <c r="M140" s="149">
        <f ca="1">IF(N(I140)=0,9999,VLOOKUP(I140,Hraci!$A$1:$I$1000,8,0))</f>
        <v>9999</v>
      </c>
      <c r="N140" s="150">
        <f ca="1">IF(N(I140)=0,0,VLOOKUP(I140,Hraci!$A$1:$I$1000,9,0))</f>
        <v>0</v>
      </c>
      <c r="O140" s="147" t="str">
        <f t="shared" ca="1" si="69"/>
        <v/>
      </c>
      <c r="P140" s="148" t="str">
        <f ca="1">IF(N(O140)&gt;0,VLOOKUP(O140,Hraci!$A$1:$I$1000,2,0),IF(TYPE(INDIRECT(ADDRESS(ROW() + $A$9-8 + (ROW()-11)*4,2,1,1,"Internet")))&gt;1,INDIRECT(ADDRESS(ROW() + $A$9-8 + (ROW()-11)*4,2,1,1,"Internet"))," "))</f>
        <v xml:space="preserve"> </v>
      </c>
      <c r="Q140" s="149" t="str">
        <f ca="1">IF(N(O140)&gt;0,VLOOKUP(O140,Hraci!$A$1:$I$1000,3,0)," ")</f>
        <v xml:space="preserve"> </v>
      </c>
      <c r="R140" s="149" t="str">
        <f ca="1">IF(N(O140)&gt;0,VLOOKUP(O140,Hraci!$A$1:$I$1000,5,0),IF(TYPE(INDIRECT(ADDRESS(ROW() + $A$9-8 + (ROW()-11)*4,3,1,1,"Internet")))&gt;1,INDIRECT(ADDRESS(ROW() + $A$9-8 + (ROW()-11)*4,3,1,1,"Internet"))," "))</f>
        <v xml:space="preserve"> </v>
      </c>
      <c r="S140" s="149">
        <f ca="1">IF(N(O140)=0,9999,VLOOKUP(O140,Hraci!$A$1:$I$1000,8,0))</f>
        <v>9999</v>
      </c>
      <c r="T140" s="150">
        <f ca="1">IF(N(O140)=0,0,VLOOKUP(O140,Hraci!$A$1:$I$1000,9,0))</f>
        <v>0</v>
      </c>
      <c r="U140" s="147" t="str">
        <f t="shared" ca="1" si="70"/>
        <v/>
      </c>
      <c r="V140" s="148" t="str">
        <f ca="1">IF(N(U140)&gt;0,VLOOKUP(U140,Hraci!$A$1:$I$1000,2,0),IF(TYPE(INDIRECT(ADDRESS(ROW() + $A$9-7 + (ROW()-11)*4,2,1,1,"Internet")))&gt;1,INDIRECT(ADDRESS(ROW() + $A$9-7 + (ROW()-11)*4,2,1,1,"Internet"))," "))</f>
        <v xml:space="preserve"> </v>
      </c>
      <c r="W140" s="149" t="str">
        <f ca="1">IF(N(U140)&gt;0,VLOOKUP(U140,Hraci!$A$1:$I$1000,3,0)," ")</f>
        <v xml:space="preserve"> </v>
      </c>
      <c r="X140" s="149" t="str">
        <f ca="1">IF(N(U140)&gt;0,VLOOKUP(U140,Hraci!$A$1:$I$1000,5,0),IF(TYPE(INDIRECT(ADDRESS(ROW() + $A$9-7 + (ROW()-11)*4,3,1,1,"Internet")))&gt;1,INDIRECT(ADDRESS(ROW() + $A$9-7 + (ROW()-11)*4,3,1,1,"Internet"))," "))</f>
        <v xml:space="preserve"> </v>
      </c>
      <c r="Y140" s="149">
        <f ca="1">IF(N(U140)=0,9999,VLOOKUP(U140,Hraci!$A$1:$I$1000,8,0))</f>
        <v>9999</v>
      </c>
      <c r="Z140" s="150">
        <f ca="1">IF(N(U140)=0,0,VLOOKUP(U140,Hraci!$A$1:$I$1000,9,0))</f>
        <v>0</v>
      </c>
      <c r="AA140" s="147" t="str">
        <f t="shared" ca="1" si="71"/>
        <v/>
      </c>
      <c r="AB140" s="148" t="str">
        <f ca="1">IF(N(AA140)&gt;0,VLOOKUP(AA140,Hraci!$A$1:$I$1000,2,0)," ")</f>
        <v xml:space="preserve"> </v>
      </c>
      <c r="AC140" s="149" t="str">
        <f ca="1">IF(N(AA140)&gt;0,VLOOKUP(AA140,Hraci!$A$1:$I$1000,3,0)," ")</f>
        <v xml:space="preserve"> </v>
      </c>
      <c r="AD140" s="149" t="str">
        <f ca="1">IF(N(AA140)&gt;0,VLOOKUP(AA140,Hraci!$A$1:$I$1000,5,0)," ")</f>
        <v xml:space="preserve"> </v>
      </c>
      <c r="AE140" s="149">
        <f ca="1">IF(N(AA140)=0,9999,VLOOKUP(AA140,Hraci!$A$1:$I$1000,8,0))</f>
        <v>9999</v>
      </c>
      <c r="AF140" s="150">
        <f ca="1">IF(N(AA140)=0,0,VLOOKUP(AA140,Hraci!$A$1:$I$1000,9,0))</f>
        <v>0</v>
      </c>
      <c r="AG140" s="147"/>
      <c r="AH140" s="151">
        <f ca="1">IF(TYPE(VLOOKUP(H140,Nasazení!$A$3:$E$130,5,0))&lt;4,VLOOKUP(H140,Nasazení!$A$3:$E$130,5,0),0)</f>
        <v>0</v>
      </c>
      <c r="AI140" s="152" t="str">
        <f ca="1">IF(N($AH140)&gt;0,VLOOKUP($AH140,Body!$A$4:$F$259,5,0),"")</f>
        <v/>
      </c>
      <c r="AJ140" s="153" t="str">
        <f ca="1">IF(N($AH140)&gt;0,VLOOKUP($AH140,Body!$A$4:$F$259,6,0),"")</f>
        <v/>
      </c>
      <c r="AK140" s="152" t="str">
        <f ca="1">IF(N($AH140)&gt;0,VLOOKUP($AH140,Body!$A$4:$F$259,2,0),"")</f>
        <v/>
      </c>
      <c r="AL140" s="154" t="str">
        <f t="shared" ca="1" si="72"/>
        <v/>
      </c>
      <c r="AM140" s="155">
        <f t="shared" ca="1" si="73"/>
        <v>0</v>
      </c>
      <c r="AN140" s="72">
        <f ca="1">IF(OR(TYPE(I140)&gt;1,TYPE(MATCH(I140,I141:I$203,0))&gt;1),0,MATCH(I140,I141:I$203,0))+IF(OR(TYPE(I140)&gt;1,TYPE(MATCH(I140,O$11:O$203,0))&gt;1),0,MATCH(I140,O$11:O$203,0))+IF(OR(TYPE(I140)&gt;1,TYPE(MATCH(I140,U$11:U$203,0))&gt;1),0,MATCH(I140,U$11:U$203,0))+IF(OR(TYPE(I140)&gt;1,TYPE(MATCH(I140,AA$11:AA$203,0))&gt;1),0,MATCH(I140,AA$11:AA$203,0))</f>
        <v>0</v>
      </c>
      <c r="AO140" s="72">
        <f ca="1">IF(OR(TYPE(O140)&gt;1,TYPE(MATCH(O140,I$11:I$203,0))&gt;1),0,MATCH(O140,I$11:I$203,0))+IF(OR(TYPE(O140)&gt;1,TYPE(MATCH(O140,O141:O$203,0))&gt;1),0,MATCH(O140,O141:O$203,0))+IF(OR(TYPE(O140)&gt;1,TYPE(MATCH(O140,U$11:U$203,0))&gt;1),0,MATCH(O140,U$11:U$203,0))+IF(OR(TYPE(O140)&gt;1,TYPE(MATCH(O140,AA$11:AA$203,0))&gt;1),0,MATCH(O140,AA$11:AA$203,0))</f>
        <v>0</v>
      </c>
      <c r="AP140" s="72">
        <f ca="1">IF(OR(TYPE(U140)&gt;1,TYPE(MATCH(U140,I$11:I$203,0))&gt;1),0,MATCH(U140,I$11:I$203,0))+IF(OR(TYPE(U140)&gt;1,TYPE(MATCH(U140,O$11:O$203,0))&gt;1),0,MATCH(U140,O$11:O$203,0))+IF(OR(TYPE(U140)&gt;1,TYPE(MATCH(U140,U141:U$203,0))&gt;1),0,MATCH(U140,U141:U$203,0))+IF(OR(TYPE(U140)&gt;1,TYPE(MATCH(U140,AA$11:AA$203,0))&gt;1),0,MATCH(U140,AA$11:AA$203,0))</f>
        <v>0</v>
      </c>
      <c r="AQ140" s="72">
        <f ca="1">IF(OR(TYPE(AA140)&gt;1,TYPE(MATCH(AA140,I$11:I$203,0))&gt;1),0,MATCH(AA140,I$11:I$203,0))+IF(OR(TYPE(AA140)&gt;1,TYPE(MATCH(AA140,O$11:O$203,0))&gt;1),0,MATCH(AA140,O$11:O$203,0))+IF(OR(TYPE(AA140)&gt;1,TYPE(MATCH(AA140,U$11:U$203,0))&gt;1),0,MATCH(U140,U$11:U$203,0))+IF(OR(TYPE(AA140)&gt;1,TYPE(MATCH(AA140,AA141:AA$203,0))&gt;1),0,MATCH(AA140,AA141:AA$203,0))</f>
        <v>0</v>
      </c>
      <c r="AR140" s="72">
        <f t="shared" ca="1" si="74"/>
        <v>0</v>
      </c>
    </row>
    <row r="141" spans="1:44" ht="14.25">
      <c r="A141" s="103">
        <f t="shared" ca="1" si="60"/>
        <v>0</v>
      </c>
      <c r="B141" s="103">
        <f t="shared" ca="1" si="61"/>
        <v>0</v>
      </c>
      <c r="C141" s="156">
        <f t="shared" ca="1" si="62"/>
        <v>0</v>
      </c>
      <c r="D141" s="103">
        <f t="shared" ca="1" si="63"/>
        <v>99999</v>
      </c>
      <c r="E141" s="103">
        <f t="shared" ca="1" si="64"/>
        <v>9999</v>
      </c>
      <c r="F141" s="104" t="str">
        <f t="shared" ca="1" si="65"/>
        <v>00000000000000000000204204</v>
      </c>
      <c r="G141" s="145">
        <f t="shared" ca="1" si="66"/>
        <v>1</v>
      </c>
      <c r="H141" s="146">
        <f t="shared" si="67"/>
        <v>131</v>
      </c>
      <c r="I141" s="147" t="str">
        <f t="shared" ca="1" si="68"/>
        <v/>
      </c>
      <c r="J141" s="148" t="str">
        <f ca="1">IF(N(I141)&gt;0,VLOOKUP(I141,Hraci!$A$1:$I$1000,2,0),IF(TYPE(INDIRECT(ADDRESS(ROW() + $A$9-9 + (ROW()-11)*4,2,1,1,"Internet")))&gt;1,INDIRECT(ADDRESS(ROW() + $A$9-9 + (ROW()-11)*4,2,1,1,"Internet"))," "))</f>
        <v xml:space="preserve"> </v>
      </c>
      <c r="K141" s="149" t="str">
        <f ca="1">IF(N(I141)&gt;0,VLOOKUP(I141,Hraci!$A$1:$I$1000,3,0)," ")</f>
        <v xml:space="preserve"> </v>
      </c>
      <c r="L141" s="149" t="str">
        <f ca="1">IF(N(I141)&gt;0,VLOOKUP(I141,Hraci!$A$1:$I$1000,5,0),IF(TYPE(INDIRECT(ADDRESS(ROW() + $A$9-9 + (ROW()-11)*4,3,1,1,"Internet")))&gt;1,INDIRECT(ADDRESS(ROW() + $A$9-9 + (ROW()-11)*4,3,1,1,"Internet"))," "))</f>
        <v xml:space="preserve"> </v>
      </c>
      <c r="M141" s="149">
        <f ca="1">IF(N(I141)=0,9999,VLOOKUP(I141,Hraci!$A$1:$I$1000,8,0))</f>
        <v>9999</v>
      </c>
      <c r="N141" s="150">
        <f ca="1">IF(N(I141)=0,0,VLOOKUP(I141,Hraci!$A$1:$I$1000,9,0))</f>
        <v>0</v>
      </c>
      <c r="O141" s="147" t="str">
        <f t="shared" ca="1" si="69"/>
        <v/>
      </c>
      <c r="P141" s="148" t="str">
        <f ca="1">IF(N(O141)&gt;0,VLOOKUP(O141,Hraci!$A$1:$I$1000,2,0),IF(TYPE(INDIRECT(ADDRESS(ROW() + $A$9-8 + (ROW()-11)*4,2,1,1,"Internet")))&gt;1,INDIRECT(ADDRESS(ROW() + $A$9-8 + (ROW()-11)*4,2,1,1,"Internet"))," "))</f>
        <v xml:space="preserve"> </v>
      </c>
      <c r="Q141" s="149" t="str">
        <f ca="1">IF(N(O141)&gt;0,VLOOKUP(O141,Hraci!$A$1:$I$1000,3,0)," ")</f>
        <v xml:space="preserve"> </v>
      </c>
      <c r="R141" s="149" t="str">
        <f ca="1">IF(N(O141)&gt;0,VLOOKUP(O141,Hraci!$A$1:$I$1000,5,0),IF(TYPE(INDIRECT(ADDRESS(ROW() + $A$9-8 + (ROW()-11)*4,3,1,1,"Internet")))&gt;1,INDIRECT(ADDRESS(ROW() + $A$9-8 + (ROW()-11)*4,3,1,1,"Internet"))," "))</f>
        <v xml:space="preserve"> </v>
      </c>
      <c r="S141" s="149">
        <f ca="1">IF(N(O141)=0,9999,VLOOKUP(O141,Hraci!$A$1:$I$1000,8,0))</f>
        <v>9999</v>
      </c>
      <c r="T141" s="150">
        <f ca="1">IF(N(O141)=0,0,VLOOKUP(O141,Hraci!$A$1:$I$1000,9,0))</f>
        <v>0</v>
      </c>
      <c r="U141" s="147" t="str">
        <f t="shared" ca="1" si="70"/>
        <v/>
      </c>
      <c r="V141" s="148" t="str">
        <f ca="1">IF(N(U141)&gt;0,VLOOKUP(U141,Hraci!$A$1:$I$1000,2,0),IF(TYPE(INDIRECT(ADDRESS(ROW() + $A$9-7 + (ROW()-11)*4,2,1,1,"Internet")))&gt;1,INDIRECT(ADDRESS(ROW() + $A$9-7 + (ROW()-11)*4,2,1,1,"Internet"))," "))</f>
        <v xml:space="preserve"> </v>
      </c>
      <c r="W141" s="149" t="str">
        <f ca="1">IF(N(U141)&gt;0,VLOOKUP(U141,Hraci!$A$1:$I$1000,3,0)," ")</f>
        <v xml:space="preserve"> </v>
      </c>
      <c r="X141" s="149" t="str">
        <f ca="1">IF(N(U141)&gt;0,VLOOKUP(U141,Hraci!$A$1:$I$1000,5,0),IF(TYPE(INDIRECT(ADDRESS(ROW() + $A$9-7 + (ROW()-11)*4,3,1,1,"Internet")))&gt;1,INDIRECT(ADDRESS(ROW() + $A$9-7 + (ROW()-11)*4,3,1,1,"Internet"))," "))</f>
        <v xml:space="preserve"> </v>
      </c>
      <c r="Y141" s="149">
        <f ca="1">IF(N(U141)=0,9999,VLOOKUP(U141,Hraci!$A$1:$I$1000,8,0))</f>
        <v>9999</v>
      </c>
      <c r="Z141" s="150">
        <f ca="1">IF(N(U141)=0,0,VLOOKUP(U141,Hraci!$A$1:$I$1000,9,0))</f>
        <v>0</v>
      </c>
      <c r="AA141" s="147" t="str">
        <f t="shared" ca="1" si="71"/>
        <v/>
      </c>
      <c r="AB141" s="148" t="str">
        <f ca="1">IF(N(AA141)&gt;0,VLOOKUP(AA141,Hraci!$A$1:$I$1000,2,0)," ")</f>
        <v xml:space="preserve"> </v>
      </c>
      <c r="AC141" s="149" t="str">
        <f ca="1">IF(N(AA141)&gt;0,VLOOKUP(AA141,Hraci!$A$1:$I$1000,3,0)," ")</f>
        <v xml:space="preserve"> </v>
      </c>
      <c r="AD141" s="149" t="str">
        <f ca="1">IF(N(AA141)&gt;0,VLOOKUP(AA141,Hraci!$A$1:$I$1000,5,0)," ")</f>
        <v xml:space="preserve"> </v>
      </c>
      <c r="AE141" s="149">
        <f ca="1">IF(N(AA141)=0,9999,VLOOKUP(AA141,Hraci!$A$1:$I$1000,8,0))</f>
        <v>9999</v>
      </c>
      <c r="AF141" s="150">
        <f ca="1">IF(N(AA141)=0,0,VLOOKUP(AA141,Hraci!$A$1:$I$1000,9,0))</f>
        <v>0</v>
      </c>
      <c r="AG141" s="147"/>
      <c r="AH141" s="151">
        <f ca="1">IF(TYPE(VLOOKUP(H141,Nasazení!$A$3:$E$130,5,0))&lt;4,VLOOKUP(H141,Nasazení!$A$3:$E$130,5,0),0)</f>
        <v>0</v>
      </c>
      <c r="AI141" s="152" t="str">
        <f ca="1">IF(N($AH141)&gt;0,VLOOKUP($AH141,Body!$A$4:$F$259,5,0),"")</f>
        <v/>
      </c>
      <c r="AJ141" s="153" t="str">
        <f ca="1">IF(N($AH141)&gt;0,VLOOKUP($AH141,Body!$A$4:$F$259,6,0),"")</f>
        <v/>
      </c>
      <c r="AK141" s="152" t="str">
        <f ca="1">IF(N($AH141)&gt;0,VLOOKUP($AH141,Body!$A$4:$F$259,2,0),"")</f>
        <v/>
      </c>
      <c r="AL141" s="154" t="str">
        <f t="shared" ca="1" si="72"/>
        <v/>
      </c>
      <c r="AM141" s="155">
        <f t="shared" ca="1" si="73"/>
        <v>0</v>
      </c>
      <c r="AN141" s="72">
        <f ca="1">IF(OR(TYPE(I141)&gt;1,TYPE(MATCH(I141,I142:I$203,0))&gt;1),0,MATCH(I141,I142:I$203,0))+IF(OR(TYPE(I141)&gt;1,TYPE(MATCH(I141,O$11:O$203,0))&gt;1),0,MATCH(I141,O$11:O$203,0))+IF(OR(TYPE(I141)&gt;1,TYPE(MATCH(I141,U$11:U$203,0))&gt;1),0,MATCH(I141,U$11:U$203,0))+IF(OR(TYPE(I141)&gt;1,TYPE(MATCH(I141,AA$11:AA$203,0))&gt;1),0,MATCH(I141,AA$11:AA$203,0))</f>
        <v>0</v>
      </c>
      <c r="AO141" s="72">
        <f ca="1">IF(OR(TYPE(O141)&gt;1,TYPE(MATCH(O141,I$11:I$203,0))&gt;1),0,MATCH(O141,I$11:I$203,0))+IF(OR(TYPE(O141)&gt;1,TYPE(MATCH(O141,O142:O$203,0))&gt;1),0,MATCH(O141,O142:O$203,0))+IF(OR(TYPE(O141)&gt;1,TYPE(MATCH(O141,U$11:U$203,0))&gt;1),0,MATCH(O141,U$11:U$203,0))+IF(OR(TYPE(O141)&gt;1,TYPE(MATCH(O141,AA$11:AA$203,0))&gt;1),0,MATCH(O141,AA$11:AA$203,0))</f>
        <v>0</v>
      </c>
      <c r="AP141" s="72">
        <f ca="1">IF(OR(TYPE(U141)&gt;1,TYPE(MATCH(U141,I$11:I$203,0))&gt;1),0,MATCH(U141,I$11:I$203,0))+IF(OR(TYPE(U141)&gt;1,TYPE(MATCH(U141,O$11:O$203,0))&gt;1),0,MATCH(U141,O$11:O$203,0))+IF(OR(TYPE(U141)&gt;1,TYPE(MATCH(U141,U142:U$203,0))&gt;1),0,MATCH(U141,U142:U$203,0))+IF(OR(TYPE(U141)&gt;1,TYPE(MATCH(U141,AA$11:AA$203,0))&gt;1),0,MATCH(U141,AA$11:AA$203,0))</f>
        <v>0</v>
      </c>
      <c r="AQ141" s="72">
        <f ca="1">IF(OR(TYPE(AA141)&gt;1,TYPE(MATCH(AA141,I$11:I$203,0))&gt;1),0,MATCH(AA141,I$11:I$203,0))+IF(OR(TYPE(AA141)&gt;1,TYPE(MATCH(AA141,O$11:O$203,0))&gt;1),0,MATCH(AA141,O$11:O$203,0))+IF(OR(TYPE(AA141)&gt;1,TYPE(MATCH(AA141,U$11:U$203,0))&gt;1),0,MATCH(U141,U$11:U$203,0))+IF(OR(TYPE(AA141)&gt;1,TYPE(MATCH(AA141,AA142:AA$203,0))&gt;1),0,MATCH(AA141,AA142:AA$203,0))</f>
        <v>0</v>
      </c>
      <c r="AR141" s="72">
        <f t="shared" ca="1" si="74"/>
        <v>0</v>
      </c>
    </row>
    <row r="142" spans="1:44" ht="14.25">
      <c r="A142" s="103">
        <f t="shared" ca="1" si="60"/>
        <v>0</v>
      </c>
      <c r="B142" s="103">
        <f t="shared" ca="1" si="61"/>
        <v>0</v>
      </c>
      <c r="C142" s="156">
        <f t="shared" ca="1" si="62"/>
        <v>0</v>
      </c>
      <c r="D142" s="103">
        <f t="shared" ca="1" si="63"/>
        <v>99999</v>
      </c>
      <c r="E142" s="103">
        <f t="shared" ca="1" si="64"/>
        <v>9999</v>
      </c>
      <c r="F142" s="104" t="str">
        <f t="shared" ca="1" si="65"/>
        <v>00000000000000000000640799</v>
      </c>
      <c r="G142" s="145">
        <f t="shared" ca="1" si="66"/>
        <v>1</v>
      </c>
      <c r="H142" s="146">
        <f t="shared" si="67"/>
        <v>132</v>
      </c>
      <c r="I142" s="147" t="str">
        <f t="shared" ca="1" si="68"/>
        <v/>
      </c>
      <c r="J142" s="148" t="str">
        <f ca="1">IF(N(I142)&gt;0,VLOOKUP(I142,Hraci!$A$1:$I$1000,2,0),IF(TYPE(INDIRECT(ADDRESS(ROW() + $A$9-9 + (ROW()-11)*4,2,1,1,"Internet")))&gt;1,INDIRECT(ADDRESS(ROW() + $A$9-9 + (ROW()-11)*4,2,1,1,"Internet"))," "))</f>
        <v xml:space="preserve"> </v>
      </c>
      <c r="K142" s="149" t="str">
        <f ca="1">IF(N(I142)&gt;0,VLOOKUP(I142,Hraci!$A$1:$I$1000,3,0)," ")</f>
        <v xml:space="preserve"> </v>
      </c>
      <c r="L142" s="149" t="str">
        <f ca="1">IF(N(I142)&gt;0,VLOOKUP(I142,Hraci!$A$1:$I$1000,5,0),IF(TYPE(INDIRECT(ADDRESS(ROW() + $A$9-9 + (ROW()-11)*4,3,1,1,"Internet")))&gt;1,INDIRECT(ADDRESS(ROW() + $A$9-9 + (ROW()-11)*4,3,1,1,"Internet"))," "))</f>
        <v xml:space="preserve"> </v>
      </c>
      <c r="M142" s="149">
        <f ca="1">IF(N(I142)=0,9999,VLOOKUP(I142,Hraci!$A$1:$I$1000,8,0))</f>
        <v>9999</v>
      </c>
      <c r="N142" s="150">
        <f ca="1">IF(N(I142)=0,0,VLOOKUP(I142,Hraci!$A$1:$I$1000,9,0))</f>
        <v>0</v>
      </c>
      <c r="O142" s="147" t="str">
        <f t="shared" ca="1" si="69"/>
        <v/>
      </c>
      <c r="P142" s="148" t="str">
        <f ca="1">IF(N(O142)&gt;0,VLOOKUP(O142,Hraci!$A$1:$I$1000,2,0),IF(TYPE(INDIRECT(ADDRESS(ROW() + $A$9-8 + (ROW()-11)*4,2,1,1,"Internet")))&gt;1,INDIRECT(ADDRESS(ROW() + $A$9-8 + (ROW()-11)*4,2,1,1,"Internet"))," "))</f>
        <v xml:space="preserve"> </v>
      </c>
      <c r="Q142" s="149" t="str">
        <f ca="1">IF(N(O142)&gt;0,VLOOKUP(O142,Hraci!$A$1:$I$1000,3,0)," ")</f>
        <v xml:space="preserve"> </v>
      </c>
      <c r="R142" s="149" t="str">
        <f ca="1">IF(N(O142)&gt;0,VLOOKUP(O142,Hraci!$A$1:$I$1000,5,0),IF(TYPE(INDIRECT(ADDRESS(ROW() + $A$9-8 + (ROW()-11)*4,3,1,1,"Internet")))&gt;1,INDIRECT(ADDRESS(ROW() + $A$9-8 + (ROW()-11)*4,3,1,1,"Internet"))," "))</f>
        <v xml:space="preserve"> </v>
      </c>
      <c r="S142" s="149">
        <f ca="1">IF(N(O142)=0,9999,VLOOKUP(O142,Hraci!$A$1:$I$1000,8,0))</f>
        <v>9999</v>
      </c>
      <c r="T142" s="150">
        <f ca="1">IF(N(O142)=0,0,VLOOKUP(O142,Hraci!$A$1:$I$1000,9,0))</f>
        <v>0</v>
      </c>
      <c r="U142" s="147" t="str">
        <f t="shared" ca="1" si="70"/>
        <v/>
      </c>
      <c r="V142" s="148" t="str">
        <f ca="1">IF(N(U142)&gt;0,VLOOKUP(U142,Hraci!$A$1:$I$1000,2,0),IF(TYPE(INDIRECT(ADDRESS(ROW() + $A$9-7 + (ROW()-11)*4,2,1,1,"Internet")))&gt;1,INDIRECT(ADDRESS(ROW() + $A$9-7 + (ROW()-11)*4,2,1,1,"Internet"))," "))</f>
        <v xml:space="preserve"> </v>
      </c>
      <c r="W142" s="149" t="str">
        <f ca="1">IF(N(U142)&gt;0,VLOOKUP(U142,Hraci!$A$1:$I$1000,3,0)," ")</f>
        <v xml:space="preserve"> </v>
      </c>
      <c r="X142" s="149" t="str">
        <f ca="1">IF(N(U142)&gt;0,VLOOKUP(U142,Hraci!$A$1:$I$1000,5,0),IF(TYPE(INDIRECT(ADDRESS(ROW() + $A$9-7 + (ROW()-11)*4,3,1,1,"Internet")))&gt;1,INDIRECT(ADDRESS(ROW() + $A$9-7 + (ROW()-11)*4,3,1,1,"Internet"))," "))</f>
        <v xml:space="preserve"> </v>
      </c>
      <c r="Y142" s="149">
        <f ca="1">IF(N(U142)=0,9999,VLOOKUP(U142,Hraci!$A$1:$I$1000,8,0))</f>
        <v>9999</v>
      </c>
      <c r="Z142" s="150">
        <f ca="1">IF(N(U142)=0,0,VLOOKUP(U142,Hraci!$A$1:$I$1000,9,0))</f>
        <v>0</v>
      </c>
      <c r="AA142" s="147" t="str">
        <f t="shared" ca="1" si="71"/>
        <v/>
      </c>
      <c r="AB142" s="148" t="str">
        <f ca="1">IF(N(AA142)&gt;0,VLOOKUP(AA142,Hraci!$A$1:$I$1000,2,0)," ")</f>
        <v xml:space="preserve"> </v>
      </c>
      <c r="AC142" s="149" t="str">
        <f ca="1">IF(N(AA142)&gt;0,VLOOKUP(AA142,Hraci!$A$1:$I$1000,3,0)," ")</f>
        <v xml:space="preserve"> </v>
      </c>
      <c r="AD142" s="149" t="str">
        <f ca="1">IF(N(AA142)&gt;0,VLOOKUP(AA142,Hraci!$A$1:$I$1000,5,0)," ")</f>
        <v xml:space="preserve"> </v>
      </c>
      <c r="AE142" s="149">
        <f ca="1">IF(N(AA142)=0,9999,VLOOKUP(AA142,Hraci!$A$1:$I$1000,8,0))</f>
        <v>9999</v>
      </c>
      <c r="AF142" s="150">
        <f ca="1">IF(N(AA142)=0,0,VLOOKUP(AA142,Hraci!$A$1:$I$1000,9,0))</f>
        <v>0</v>
      </c>
      <c r="AG142" s="147"/>
      <c r="AH142" s="151">
        <f ca="1">IF(TYPE(VLOOKUP(H142,Nasazení!$A$3:$E$130,5,0))&lt;4,VLOOKUP(H142,Nasazení!$A$3:$E$130,5,0),0)</f>
        <v>0</v>
      </c>
      <c r="AI142" s="152" t="str">
        <f ca="1">IF(N($AH142)&gt;0,VLOOKUP($AH142,Body!$A$4:$F$259,5,0),"")</f>
        <v/>
      </c>
      <c r="AJ142" s="153" t="str">
        <f ca="1">IF(N($AH142)&gt;0,VLOOKUP($AH142,Body!$A$4:$F$259,6,0),"")</f>
        <v/>
      </c>
      <c r="AK142" s="152" t="str">
        <f ca="1">IF(N($AH142)&gt;0,VLOOKUP($AH142,Body!$A$4:$F$259,2,0),"")</f>
        <v/>
      </c>
      <c r="AL142" s="154" t="str">
        <f t="shared" ca="1" si="72"/>
        <v/>
      </c>
      <c r="AM142" s="155">
        <f t="shared" ca="1" si="73"/>
        <v>0</v>
      </c>
      <c r="AN142" s="72">
        <f ca="1">IF(OR(TYPE(I142)&gt;1,TYPE(MATCH(I142,I143:I$203,0))&gt;1),0,MATCH(I142,I143:I$203,0))+IF(OR(TYPE(I142)&gt;1,TYPE(MATCH(I142,O$11:O$203,0))&gt;1),0,MATCH(I142,O$11:O$203,0))+IF(OR(TYPE(I142)&gt;1,TYPE(MATCH(I142,U$11:U$203,0))&gt;1),0,MATCH(I142,U$11:U$203,0))+IF(OR(TYPE(I142)&gt;1,TYPE(MATCH(I142,AA$11:AA$203,0))&gt;1),0,MATCH(I142,AA$11:AA$203,0))</f>
        <v>0</v>
      </c>
      <c r="AO142" s="72">
        <f ca="1">IF(OR(TYPE(O142)&gt;1,TYPE(MATCH(O142,I$11:I$203,0))&gt;1),0,MATCH(O142,I$11:I$203,0))+IF(OR(TYPE(O142)&gt;1,TYPE(MATCH(O142,O143:O$203,0))&gt;1),0,MATCH(O142,O143:O$203,0))+IF(OR(TYPE(O142)&gt;1,TYPE(MATCH(O142,U$11:U$203,0))&gt;1),0,MATCH(O142,U$11:U$203,0))+IF(OR(TYPE(O142)&gt;1,TYPE(MATCH(O142,AA$11:AA$203,0))&gt;1),0,MATCH(O142,AA$11:AA$203,0))</f>
        <v>0</v>
      </c>
      <c r="AP142" s="72">
        <f ca="1">IF(OR(TYPE(U142)&gt;1,TYPE(MATCH(U142,I$11:I$203,0))&gt;1),0,MATCH(U142,I$11:I$203,0))+IF(OR(TYPE(U142)&gt;1,TYPE(MATCH(U142,O$11:O$203,0))&gt;1),0,MATCH(U142,O$11:O$203,0))+IF(OR(TYPE(U142)&gt;1,TYPE(MATCH(U142,U143:U$203,0))&gt;1),0,MATCH(U142,U143:U$203,0))+IF(OR(TYPE(U142)&gt;1,TYPE(MATCH(U142,AA$11:AA$203,0))&gt;1),0,MATCH(U142,AA$11:AA$203,0))</f>
        <v>0</v>
      </c>
      <c r="AQ142" s="72">
        <f ca="1">IF(OR(TYPE(AA142)&gt;1,TYPE(MATCH(AA142,I$11:I$203,0))&gt;1),0,MATCH(AA142,I$11:I$203,0))+IF(OR(TYPE(AA142)&gt;1,TYPE(MATCH(AA142,O$11:O$203,0))&gt;1),0,MATCH(AA142,O$11:O$203,0))+IF(OR(TYPE(AA142)&gt;1,TYPE(MATCH(AA142,U$11:U$203,0))&gt;1),0,MATCH(U142,U$11:U$203,0))+IF(OR(TYPE(AA142)&gt;1,TYPE(MATCH(AA142,AA143:AA$203,0))&gt;1),0,MATCH(AA142,AA143:AA$203,0))</f>
        <v>0</v>
      </c>
      <c r="AR142" s="72">
        <f t="shared" ca="1" si="74"/>
        <v>0</v>
      </c>
    </row>
    <row r="143" spans="1:44" ht="14.25">
      <c r="A143" s="103">
        <f t="shared" ca="1" si="60"/>
        <v>0</v>
      </c>
      <c r="B143" s="103">
        <f t="shared" ca="1" si="61"/>
        <v>0</v>
      </c>
      <c r="C143" s="156">
        <f t="shared" ca="1" si="62"/>
        <v>0</v>
      </c>
      <c r="D143" s="103">
        <f t="shared" ca="1" si="63"/>
        <v>99999</v>
      </c>
      <c r="E143" s="103">
        <f t="shared" ca="1" si="64"/>
        <v>9999</v>
      </c>
      <c r="F143" s="104" t="str">
        <f t="shared" ca="1" si="65"/>
        <v>00000000000000000000846637</v>
      </c>
      <c r="G143" s="145">
        <f t="shared" ca="1" si="66"/>
        <v>1</v>
      </c>
      <c r="H143" s="146">
        <f t="shared" si="67"/>
        <v>133</v>
      </c>
      <c r="I143" s="147" t="str">
        <f t="shared" ca="1" si="68"/>
        <v/>
      </c>
      <c r="J143" s="148" t="str">
        <f ca="1">IF(N(I143)&gt;0,VLOOKUP(I143,Hraci!$A$1:$I$1000,2,0),IF(TYPE(INDIRECT(ADDRESS(ROW() + $A$9-9 + (ROW()-11)*4,2,1,1,"Internet")))&gt;1,INDIRECT(ADDRESS(ROW() + $A$9-9 + (ROW()-11)*4,2,1,1,"Internet"))," "))</f>
        <v xml:space="preserve"> </v>
      </c>
      <c r="K143" s="149" t="str">
        <f ca="1">IF(N(I143)&gt;0,VLOOKUP(I143,Hraci!$A$1:$I$1000,3,0)," ")</f>
        <v xml:space="preserve"> </v>
      </c>
      <c r="L143" s="149" t="str">
        <f ca="1">IF(N(I143)&gt;0,VLOOKUP(I143,Hraci!$A$1:$I$1000,5,0),IF(TYPE(INDIRECT(ADDRESS(ROW() + $A$9-9 + (ROW()-11)*4,3,1,1,"Internet")))&gt;1,INDIRECT(ADDRESS(ROW() + $A$9-9 + (ROW()-11)*4,3,1,1,"Internet"))," "))</f>
        <v xml:space="preserve"> </v>
      </c>
      <c r="M143" s="149">
        <f ca="1">IF(N(I143)=0,9999,VLOOKUP(I143,Hraci!$A$1:$I$1000,8,0))</f>
        <v>9999</v>
      </c>
      <c r="N143" s="150">
        <f ca="1">IF(N(I143)=0,0,VLOOKUP(I143,Hraci!$A$1:$I$1000,9,0))</f>
        <v>0</v>
      </c>
      <c r="O143" s="147" t="str">
        <f t="shared" ca="1" si="69"/>
        <v/>
      </c>
      <c r="P143" s="148" t="str">
        <f ca="1">IF(N(O143)&gt;0,VLOOKUP(O143,Hraci!$A$1:$I$1000,2,0),IF(TYPE(INDIRECT(ADDRESS(ROW() + $A$9-8 + (ROW()-11)*4,2,1,1,"Internet")))&gt;1,INDIRECT(ADDRESS(ROW() + $A$9-8 + (ROW()-11)*4,2,1,1,"Internet"))," "))</f>
        <v xml:space="preserve"> </v>
      </c>
      <c r="Q143" s="149" t="str">
        <f ca="1">IF(N(O143)&gt;0,VLOOKUP(O143,Hraci!$A$1:$I$1000,3,0)," ")</f>
        <v xml:space="preserve"> </v>
      </c>
      <c r="R143" s="149" t="str">
        <f ca="1">IF(N(O143)&gt;0,VLOOKUP(O143,Hraci!$A$1:$I$1000,5,0),IF(TYPE(INDIRECT(ADDRESS(ROW() + $A$9-8 + (ROW()-11)*4,3,1,1,"Internet")))&gt;1,INDIRECT(ADDRESS(ROW() + $A$9-8 + (ROW()-11)*4,3,1,1,"Internet"))," "))</f>
        <v xml:space="preserve"> </v>
      </c>
      <c r="S143" s="149">
        <f ca="1">IF(N(O143)=0,9999,VLOOKUP(O143,Hraci!$A$1:$I$1000,8,0))</f>
        <v>9999</v>
      </c>
      <c r="T143" s="150">
        <f ca="1">IF(N(O143)=0,0,VLOOKUP(O143,Hraci!$A$1:$I$1000,9,0))</f>
        <v>0</v>
      </c>
      <c r="U143" s="147" t="str">
        <f t="shared" ca="1" si="70"/>
        <v/>
      </c>
      <c r="V143" s="148" t="str">
        <f ca="1">IF(N(U143)&gt;0,VLOOKUP(U143,Hraci!$A$1:$I$1000,2,0),IF(TYPE(INDIRECT(ADDRESS(ROW() + $A$9-7 + (ROW()-11)*4,2,1,1,"Internet")))&gt;1,INDIRECT(ADDRESS(ROW() + $A$9-7 + (ROW()-11)*4,2,1,1,"Internet"))," "))</f>
        <v xml:space="preserve"> </v>
      </c>
      <c r="W143" s="149" t="str">
        <f ca="1">IF(N(U143)&gt;0,VLOOKUP(U143,Hraci!$A$1:$I$1000,3,0)," ")</f>
        <v xml:space="preserve"> </v>
      </c>
      <c r="X143" s="149" t="str">
        <f ca="1">IF(N(U143)&gt;0,VLOOKUP(U143,Hraci!$A$1:$I$1000,5,0),IF(TYPE(INDIRECT(ADDRESS(ROW() + $A$9-7 + (ROW()-11)*4,3,1,1,"Internet")))&gt;1,INDIRECT(ADDRESS(ROW() + $A$9-7 + (ROW()-11)*4,3,1,1,"Internet"))," "))</f>
        <v xml:space="preserve"> </v>
      </c>
      <c r="Y143" s="149">
        <f ca="1">IF(N(U143)=0,9999,VLOOKUP(U143,Hraci!$A$1:$I$1000,8,0))</f>
        <v>9999</v>
      </c>
      <c r="Z143" s="150">
        <f ca="1">IF(N(U143)=0,0,VLOOKUP(U143,Hraci!$A$1:$I$1000,9,0))</f>
        <v>0</v>
      </c>
      <c r="AA143" s="147" t="str">
        <f t="shared" ca="1" si="71"/>
        <v/>
      </c>
      <c r="AB143" s="148" t="str">
        <f ca="1">IF(N(AA143)&gt;0,VLOOKUP(AA143,Hraci!$A$1:$I$1000,2,0)," ")</f>
        <v xml:space="preserve"> </v>
      </c>
      <c r="AC143" s="149" t="str">
        <f ca="1">IF(N(AA143)&gt;0,VLOOKUP(AA143,Hraci!$A$1:$I$1000,3,0)," ")</f>
        <v xml:space="preserve"> </v>
      </c>
      <c r="AD143" s="149" t="str">
        <f ca="1">IF(N(AA143)&gt;0,VLOOKUP(AA143,Hraci!$A$1:$I$1000,5,0)," ")</f>
        <v xml:space="preserve"> </v>
      </c>
      <c r="AE143" s="149">
        <f ca="1">IF(N(AA143)=0,9999,VLOOKUP(AA143,Hraci!$A$1:$I$1000,8,0))</f>
        <v>9999</v>
      </c>
      <c r="AF143" s="150">
        <f ca="1">IF(N(AA143)=0,0,VLOOKUP(AA143,Hraci!$A$1:$I$1000,9,0))</f>
        <v>0</v>
      </c>
      <c r="AG143" s="147"/>
      <c r="AH143" s="151">
        <f ca="1">IF(TYPE(VLOOKUP(H143,Nasazení!$A$3:$E$130,5,0))&lt;4,VLOOKUP(H143,Nasazení!$A$3:$E$130,5,0),0)</f>
        <v>0</v>
      </c>
      <c r="AI143" s="152" t="str">
        <f ca="1">IF(N($AH143)&gt;0,VLOOKUP($AH143,Body!$A$4:$F$259,5,0),"")</f>
        <v/>
      </c>
      <c r="AJ143" s="153" t="str">
        <f ca="1">IF(N($AH143)&gt;0,VLOOKUP($AH143,Body!$A$4:$F$259,6,0),"")</f>
        <v/>
      </c>
      <c r="AK143" s="152" t="str">
        <f ca="1">IF(N($AH143)&gt;0,VLOOKUP($AH143,Body!$A$4:$F$259,2,0),"")</f>
        <v/>
      </c>
      <c r="AL143" s="154" t="str">
        <f t="shared" ca="1" si="72"/>
        <v/>
      </c>
      <c r="AM143" s="155">
        <f t="shared" ca="1" si="73"/>
        <v>0</v>
      </c>
      <c r="AN143" s="72">
        <f ca="1">IF(OR(TYPE(I143)&gt;1,TYPE(MATCH(I143,I144:I$203,0))&gt;1),0,MATCH(I143,I144:I$203,0))+IF(OR(TYPE(I143)&gt;1,TYPE(MATCH(I143,O$11:O$203,0))&gt;1),0,MATCH(I143,O$11:O$203,0))+IF(OR(TYPE(I143)&gt;1,TYPE(MATCH(I143,U$11:U$203,0))&gt;1),0,MATCH(I143,U$11:U$203,0))+IF(OR(TYPE(I143)&gt;1,TYPE(MATCH(I143,AA$11:AA$203,0))&gt;1),0,MATCH(I143,AA$11:AA$203,0))</f>
        <v>0</v>
      </c>
      <c r="AO143" s="72">
        <f ca="1">IF(OR(TYPE(O143)&gt;1,TYPE(MATCH(O143,I$11:I$203,0))&gt;1),0,MATCH(O143,I$11:I$203,0))+IF(OR(TYPE(O143)&gt;1,TYPE(MATCH(O143,O144:O$203,0))&gt;1),0,MATCH(O143,O144:O$203,0))+IF(OR(TYPE(O143)&gt;1,TYPE(MATCH(O143,U$11:U$203,0))&gt;1),0,MATCH(O143,U$11:U$203,0))+IF(OR(TYPE(O143)&gt;1,TYPE(MATCH(O143,AA$11:AA$203,0))&gt;1),0,MATCH(O143,AA$11:AA$203,0))</f>
        <v>0</v>
      </c>
      <c r="AP143" s="72">
        <f ca="1">IF(OR(TYPE(U143)&gt;1,TYPE(MATCH(U143,I$11:I$203,0))&gt;1),0,MATCH(U143,I$11:I$203,0))+IF(OR(TYPE(U143)&gt;1,TYPE(MATCH(U143,O$11:O$203,0))&gt;1),0,MATCH(U143,O$11:O$203,0))+IF(OR(TYPE(U143)&gt;1,TYPE(MATCH(U143,U144:U$203,0))&gt;1),0,MATCH(U143,U144:U$203,0))+IF(OR(TYPE(U143)&gt;1,TYPE(MATCH(U143,AA$11:AA$203,0))&gt;1),0,MATCH(U143,AA$11:AA$203,0))</f>
        <v>0</v>
      </c>
      <c r="AQ143" s="72">
        <f ca="1">IF(OR(TYPE(AA143)&gt;1,TYPE(MATCH(AA143,I$11:I$203,0))&gt;1),0,MATCH(AA143,I$11:I$203,0))+IF(OR(TYPE(AA143)&gt;1,TYPE(MATCH(AA143,O$11:O$203,0))&gt;1),0,MATCH(AA143,O$11:O$203,0))+IF(OR(TYPE(AA143)&gt;1,TYPE(MATCH(AA143,U$11:U$203,0))&gt;1),0,MATCH(U143,U$11:U$203,0))+IF(OR(TYPE(AA143)&gt;1,TYPE(MATCH(AA143,AA144:AA$203,0))&gt;1),0,MATCH(AA143,AA144:AA$203,0))</f>
        <v>0</v>
      </c>
      <c r="AR143" s="72">
        <f t="shared" ca="1" si="74"/>
        <v>0</v>
      </c>
    </row>
    <row r="144" spans="1:44" ht="14.25">
      <c r="A144" s="103">
        <f t="shared" ca="1" si="60"/>
        <v>0</v>
      </c>
      <c r="B144" s="103">
        <f t="shared" ca="1" si="61"/>
        <v>0</v>
      </c>
      <c r="C144" s="156">
        <f t="shared" ca="1" si="62"/>
        <v>0</v>
      </c>
      <c r="D144" s="103">
        <f t="shared" ca="1" si="63"/>
        <v>99999</v>
      </c>
      <c r="E144" s="103">
        <f t="shared" ca="1" si="64"/>
        <v>9999</v>
      </c>
      <c r="F144" s="104" t="str">
        <f t="shared" ca="1" si="65"/>
        <v>00000000000000000000093607</v>
      </c>
      <c r="G144" s="145">
        <f t="shared" ca="1" si="66"/>
        <v>1</v>
      </c>
      <c r="H144" s="146">
        <f t="shared" si="67"/>
        <v>134</v>
      </c>
      <c r="I144" s="147" t="str">
        <f t="shared" ca="1" si="68"/>
        <v/>
      </c>
      <c r="J144" s="148" t="str">
        <f ca="1">IF(N(I144)&gt;0,VLOOKUP(I144,Hraci!$A$1:$I$1000,2,0),IF(TYPE(INDIRECT(ADDRESS(ROW() + $A$9-9 + (ROW()-11)*4,2,1,1,"Internet")))&gt;1,INDIRECT(ADDRESS(ROW() + $A$9-9 + (ROW()-11)*4,2,1,1,"Internet"))," "))</f>
        <v xml:space="preserve"> </v>
      </c>
      <c r="K144" s="149" t="str">
        <f ca="1">IF(N(I144)&gt;0,VLOOKUP(I144,Hraci!$A$1:$I$1000,3,0)," ")</f>
        <v xml:space="preserve"> </v>
      </c>
      <c r="L144" s="149" t="str">
        <f ca="1">IF(N(I144)&gt;0,VLOOKUP(I144,Hraci!$A$1:$I$1000,5,0),IF(TYPE(INDIRECT(ADDRESS(ROW() + $A$9-9 + (ROW()-11)*4,3,1,1,"Internet")))&gt;1,INDIRECT(ADDRESS(ROW() + $A$9-9 + (ROW()-11)*4,3,1,1,"Internet"))," "))</f>
        <v xml:space="preserve"> </v>
      </c>
      <c r="M144" s="149">
        <f ca="1">IF(N(I144)=0,9999,VLOOKUP(I144,Hraci!$A$1:$I$1000,8,0))</f>
        <v>9999</v>
      </c>
      <c r="N144" s="150">
        <f ca="1">IF(N(I144)=0,0,VLOOKUP(I144,Hraci!$A$1:$I$1000,9,0))</f>
        <v>0</v>
      </c>
      <c r="O144" s="147" t="str">
        <f t="shared" ca="1" si="69"/>
        <v/>
      </c>
      <c r="P144" s="148" t="str">
        <f ca="1">IF(N(O144)&gt;0,VLOOKUP(O144,Hraci!$A$1:$I$1000,2,0),IF(TYPE(INDIRECT(ADDRESS(ROW() + $A$9-8 + (ROW()-11)*4,2,1,1,"Internet")))&gt;1,INDIRECT(ADDRESS(ROW() + $A$9-8 + (ROW()-11)*4,2,1,1,"Internet"))," "))</f>
        <v xml:space="preserve"> </v>
      </c>
      <c r="Q144" s="149" t="str">
        <f ca="1">IF(N(O144)&gt;0,VLOOKUP(O144,Hraci!$A$1:$I$1000,3,0)," ")</f>
        <v xml:space="preserve"> </v>
      </c>
      <c r="R144" s="149" t="str">
        <f ca="1">IF(N(O144)&gt;0,VLOOKUP(O144,Hraci!$A$1:$I$1000,5,0),IF(TYPE(INDIRECT(ADDRESS(ROW() + $A$9-8 + (ROW()-11)*4,3,1,1,"Internet")))&gt;1,INDIRECT(ADDRESS(ROW() + $A$9-8 + (ROW()-11)*4,3,1,1,"Internet"))," "))</f>
        <v xml:space="preserve"> </v>
      </c>
      <c r="S144" s="149">
        <f ca="1">IF(N(O144)=0,9999,VLOOKUP(O144,Hraci!$A$1:$I$1000,8,0))</f>
        <v>9999</v>
      </c>
      <c r="T144" s="150">
        <f ca="1">IF(N(O144)=0,0,VLOOKUP(O144,Hraci!$A$1:$I$1000,9,0))</f>
        <v>0</v>
      </c>
      <c r="U144" s="147" t="str">
        <f t="shared" ca="1" si="70"/>
        <v/>
      </c>
      <c r="V144" s="148" t="str">
        <f ca="1">IF(N(U144)&gt;0,VLOOKUP(U144,Hraci!$A$1:$I$1000,2,0),IF(TYPE(INDIRECT(ADDRESS(ROW() + $A$9-7 + (ROW()-11)*4,2,1,1,"Internet")))&gt;1,INDIRECT(ADDRESS(ROW() + $A$9-7 + (ROW()-11)*4,2,1,1,"Internet"))," "))</f>
        <v xml:space="preserve"> </v>
      </c>
      <c r="W144" s="149" t="str">
        <f ca="1">IF(N(U144)&gt;0,VLOOKUP(U144,Hraci!$A$1:$I$1000,3,0)," ")</f>
        <v xml:space="preserve"> </v>
      </c>
      <c r="X144" s="149" t="str">
        <f ca="1">IF(N(U144)&gt;0,VLOOKUP(U144,Hraci!$A$1:$I$1000,5,0),IF(TYPE(INDIRECT(ADDRESS(ROW() + $A$9-7 + (ROW()-11)*4,3,1,1,"Internet")))&gt;1,INDIRECT(ADDRESS(ROW() + $A$9-7 + (ROW()-11)*4,3,1,1,"Internet"))," "))</f>
        <v xml:space="preserve"> </v>
      </c>
      <c r="Y144" s="149">
        <f ca="1">IF(N(U144)=0,9999,VLOOKUP(U144,Hraci!$A$1:$I$1000,8,0))</f>
        <v>9999</v>
      </c>
      <c r="Z144" s="150">
        <f ca="1">IF(N(U144)=0,0,VLOOKUP(U144,Hraci!$A$1:$I$1000,9,0))</f>
        <v>0</v>
      </c>
      <c r="AA144" s="147" t="str">
        <f t="shared" ca="1" si="71"/>
        <v/>
      </c>
      <c r="AB144" s="148" t="str">
        <f ca="1">IF(N(AA144)&gt;0,VLOOKUP(AA144,Hraci!$A$1:$I$1000,2,0)," ")</f>
        <v xml:space="preserve"> </v>
      </c>
      <c r="AC144" s="149" t="str">
        <f ca="1">IF(N(AA144)&gt;0,VLOOKUP(AA144,Hraci!$A$1:$I$1000,3,0)," ")</f>
        <v xml:space="preserve"> </v>
      </c>
      <c r="AD144" s="149" t="str">
        <f ca="1">IF(N(AA144)&gt;0,VLOOKUP(AA144,Hraci!$A$1:$I$1000,5,0)," ")</f>
        <v xml:space="preserve"> </v>
      </c>
      <c r="AE144" s="149">
        <f ca="1">IF(N(AA144)=0,9999,VLOOKUP(AA144,Hraci!$A$1:$I$1000,8,0))</f>
        <v>9999</v>
      </c>
      <c r="AF144" s="150">
        <f ca="1">IF(N(AA144)=0,0,VLOOKUP(AA144,Hraci!$A$1:$I$1000,9,0))</f>
        <v>0</v>
      </c>
      <c r="AG144" s="147"/>
      <c r="AH144" s="151">
        <f ca="1">IF(TYPE(VLOOKUP(H144,Nasazení!$A$3:$E$130,5,0))&lt;4,VLOOKUP(H144,Nasazení!$A$3:$E$130,5,0),0)</f>
        <v>0</v>
      </c>
      <c r="AI144" s="152" t="str">
        <f ca="1">IF(N($AH144)&gt;0,VLOOKUP($AH144,Body!$A$4:$F$259,5,0),"")</f>
        <v/>
      </c>
      <c r="AJ144" s="153" t="str">
        <f ca="1">IF(N($AH144)&gt;0,VLOOKUP($AH144,Body!$A$4:$F$259,6,0),"")</f>
        <v/>
      </c>
      <c r="AK144" s="152" t="str">
        <f ca="1">IF(N($AH144)&gt;0,VLOOKUP($AH144,Body!$A$4:$F$259,2,0),"")</f>
        <v/>
      </c>
      <c r="AL144" s="154" t="str">
        <f t="shared" ca="1" si="72"/>
        <v/>
      </c>
      <c r="AM144" s="155">
        <f t="shared" ca="1" si="73"/>
        <v>0</v>
      </c>
      <c r="AN144" s="72">
        <f ca="1">IF(OR(TYPE(I144)&gt;1,TYPE(MATCH(I144,I145:I$203,0))&gt;1),0,MATCH(I144,I145:I$203,0))+IF(OR(TYPE(I144)&gt;1,TYPE(MATCH(I144,O$11:O$203,0))&gt;1),0,MATCH(I144,O$11:O$203,0))+IF(OR(TYPE(I144)&gt;1,TYPE(MATCH(I144,U$11:U$203,0))&gt;1),0,MATCH(I144,U$11:U$203,0))+IF(OR(TYPE(I144)&gt;1,TYPE(MATCH(I144,AA$11:AA$203,0))&gt;1),0,MATCH(I144,AA$11:AA$203,0))</f>
        <v>0</v>
      </c>
      <c r="AO144" s="72">
        <f ca="1">IF(OR(TYPE(O144)&gt;1,TYPE(MATCH(O144,I$11:I$203,0))&gt;1),0,MATCH(O144,I$11:I$203,0))+IF(OR(TYPE(O144)&gt;1,TYPE(MATCH(O144,O145:O$203,0))&gt;1),0,MATCH(O144,O145:O$203,0))+IF(OR(TYPE(O144)&gt;1,TYPE(MATCH(O144,U$11:U$203,0))&gt;1),0,MATCH(O144,U$11:U$203,0))+IF(OR(TYPE(O144)&gt;1,TYPE(MATCH(O144,AA$11:AA$203,0))&gt;1),0,MATCH(O144,AA$11:AA$203,0))</f>
        <v>0</v>
      </c>
      <c r="AP144" s="72">
        <f ca="1">IF(OR(TYPE(U144)&gt;1,TYPE(MATCH(U144,I$11:I$203,0))&gt;1),0,MATCH(U144,I$11:I$203,0))+IF(OR(TYPE(U144)&gt;1,TYPE(MATCH(U144,O$11:O$203,0))&gt;1),0,MATCH(U144,O$11:O$203,0))+IF(OR(TYPE(U144)&gt;1,TYPE(MATCH(U144,U145:U$203,0))&gt;1),0,MATCH(U144,U145:U$203,0))+IF(OR(TYPE(U144)&gt;1,TYPE(MATCH(U144,AA$11:AA$203,0))&gt;1),0,MATCH(U144,AA$11:AA$203,0))</f>
        <v>0</v>
      </c>
      <c r="AQ144" s="72">
        <f ca="1">IF(OR(TYPE(AA144)&gt;1,TYPE(MATCH(AA144,I$11:I$203,0))&gt;1),0,MATCH(AA144,I$11:I$203,0))+IF(OR(TYPE(AA144)&gt;1,TYPE(MATCH(AA144,O$11:O$203,0))&gt;1),0,MATCH(AA144,O$11:O$203,0))+IF(OR(TYPE(AA144)&gt;1,TYPE(MATCH(AA144,U$11:U$203,0))&gt;1),0,MATCH(U144,U$11:U$203,0))+IF(OR(TYPE(AA144)&gt;1,TYPE(MATCH(AA144,AA145:AA$203,0))&gt;1),0,MATCH(AA144,AA145:AA$203,0))</f>
        <v>0</v>
      </c>
      <c r="AR144" s="72">
        <f t="shared" ca="1" si="74"/>
        <v>0</v>
      </c>
    </row>
    <row r="145" spans="1:44" ht="14.25">
      <c r="A145" s="103">
        <f t="shared" ca="1" si="60"/>
        <v>0</v>
      </c>
      <c r="B145" s="103">
        <f t="shared" ca="1" si="61"/>
        <v>0</v>
      </c>
      <c r="C145" s="156">
        <f t="shared" ca="1" si="62"/>
        <v>0</v>
      </c>
      <c r="D145" s="103">
        <f t="shared" ca="1" si="63"/>
        <v>99999</v>
      </c>
      <c r="E145" s="103">
        <f t="shared" ca="1" si="64"/>
        <v>9999</v>
      </c>
      <c r="F145" s="104" t="str">
        <f t="shared" ca="1" si="65"/>
        <v>00000000000000000000538974</v>
      </c>
      <c r="G145" s="145">
        <f t="shared" ca="1" si="66"/>
        <v>1</v>
      </c>
      <c r="H145" s="146">
        <f t="shared" si="67"/>
        <v>135</v>
      </c>
      <c r="I145" s="147" t="str">
        <f t="shared" ca="1" si="68"/>
        <v/>
      </c>
      <c r="J145" s="148" t="str">
        <f ca="1">IF(N(I145)&gt;0,VLOOKUP(I145,Hraci!$A$1:$I$1000,2,0),IF(TYPE(INDIRECT(ADDRESS(ROW() + $A$9-9 + (ROW()-11)*4,2,1,1,"Internet")))&gt;1,INDIRECT(ADDRESS(ROW() + $A$9-9 + (ROW()-11)*4,2,1,1,"Internet"))," "))</f>
        <v xml:space="preserve"> </v>
      </c>
      <c r="K145" s="149" t="str">
        <f ca="1">IF(N(I145)&gt;0,VLOOKUP(I145,Hraci!$A$1:$I$1000,3,0)," ")</f>
        <v xml:space="preserve"> </v>
      </c>
      <c r="L145" s="149" t="str">
        <f ca="1">IF(N(I145)&gt;0,VLOOKUP(I145,Hraci!$A$1:$I$1000,5,0),IF(TYPE(INDIRECT(ADDRESS(ROW() + $A$9-9 + (ROW()-11)*4,3,1,1,"Internet")))&gt;1,INDIRECT(ADDRESS(ROW() + $A$9-9 + (ROW()-11)*4,3,1,1,"Internet"))," "))</f>
        <v xml:space="preserve"> </v>
      </c>
      <c r="M145" s="149">
        <f ca="1">IF(N(I145)=0,9999,VLOOKUP(I145,Hraci!$A$1:$I$1000,8,0))</f>
        <v>9999</v>
      </c>
      <c r="N145" s="150">
        <f ca="1">IF(N(I145)=0,0,VLOOKUP(I145,Hraci!$A$1:$I$1000,9,0))</f>
        <v>0</v>
      </c>
      <c r="O145" s="147" t="str">
        <f t="shared" ca="1" si="69"/>
        <v/>
      </c>
      <c r="P145" s="148" t="str">
        <f ca="1">IF(N(O145)&gt;0,VLOOKUP(O145,Hraci!$A$1:$I$1000,2,0),IF(TYPE(INDIRECT(ADDRESS(ROW() + $A$9-8 + (ROW()-11)*4,2,1,1,"Internet")))&gt;1,INDIRECT(ADDRESS(ROW() + $A$9-8 + (ROW()-11)*4,2,1,1,"Internet"))," "))</f>
        <v xml:space="preserve"> </v>
      </c>
      <c r="Q145" s="149" t="str">
        <f ca="1">IF(N(O145)&gt;0,VLOOKUP(O145,Hraci!$A$1:$I$1000,3,0)," ")</f>
        <v xml:space="preserve"> </v>
      </c>
      <c r="R145" s="149" t="str">
        <f ca="1">IF(N(O145)&gt;0,VLOOKUP(O145,Hraci!$A$1:$I$1000,5,0),IF(TYPE(INDIRECT(ADDRESS(ROW() + $A$9-8 + (ROW()-11)*4,3,1,1,"Internet")))&gt;1,INDIRECT(ADDRESS(ROW() + $A$9-8 + (ROW()-11)*4,3,1,1,"Internet"))," "))</f>
        <v xml:space="preserve"> </v>
      </c>
      <c r="S145" s="149">
        <f ca="1">IF(N(O145)=0,9999,VLOOKUP(O145,Hraci!$A$1:$I$1000,8,0))</f>
        <v>9999</v>
      </c>
      <c r="T145" s="150">
        <f ca="1">IF(N(O145)=0,0,VLOOKUP(O145,Hraci!$A$1:$I$1000,9,0))</f>
        <v>0</v>
      </c>
      <c r="U145" s="147" t="str">
        <f t="shared" ca="1" si="70"/>
        <v/>
      </c>
      <c r="V145" s="148" t="str">
        <f ca="1">IF(N(U145)&gt;0,VLOOKUP(U145,Hraci!$A$1:$I$1000,2,0),IF(TYPE(INDIRECT(ADDRESS(ROW() + $A$9-7 + (ROW()-11)*4,2,1,1,"Internet")))&gt;1,INDIRECT(ADDRESS(ROW() + $A$9-7 + (ROW()-11)*4,2,1,1,"Internet"))," "))</f>
        <v xml:space="preserve"> </v>
      </c>
      <c r="W145" s="149" t="str">
        <f ca="1">IF(N(U145)&gt;0,VLOOKUP(U145,Hraci!$A$1:$I$1000,3,0)," ")</f>
        <v xml:space="preserve"> </v>
      </c>
      <c r="X145" s="149" t="str">
        <f ca="1">IF(N(U145)&gt;0,VLOOKUP(U145,Hraci!$A$1:$I$1000,5,0),IF(TYPE(INDIRECT(ADDRESS(ROW() + $A$9-7 + (ROW()-11)*4,3,1,1,"Internet")))&gt;1,INDIRECT(ADDRESS(ROW() + $A$9-7 + (ROW()-11)*4,3,1,1,"Internet"))," "))</f>
        <v xml:space="preserve"> </v>
      </c>
      <c r="Y145" s="149">
        <f ca="1">IF(N(U145)=0,9999,VLOOKUP(U145,Hraci!$A$1:$I$1000,8,0))</f>
        <v>9999</v>
      </c>
      <c r="Z145" s="150">
        <f ca="1">IF(N(U145)=0,0,VLOOKUP(U145,Hraci!$A$1:$I$1000,9,0))</f>
        <v>0</v>
      </c>
      <c r="AA145" s="147" t="str">
        <f t="shared" ca="1" si="71"/>
        <v/>
      </c>
      <c r="AB145" s="148" t="str">
        <f ca="1">IF(N(AA145)&gt;0,VLOOKUP(AA145,Hraci!$A$1:$I$1000,2,0)," ")</f>
        <v xml:space="preserve"> </v>
      </c>
      <c r="AC145" s="149" t="str">
        <f ca="1">IF(N(AA145)&gt;0,VLOOKUP(AA145,Hraci!$A$1:$I$1000,3,0)," ")</f>
        <v xml:space="preserve"> </v>
      </c>
      <c r="AD145" s="149" t="str">
        <f ca="1">IF(N(AA145)&gt;0,VLOOKUP(AA145,Hraci!$A$1:$I$1000,5,0)," ")</f>
        <v xml:space="preserve"> </v>
      </c>
      <c r="AE145" s="149">
        <f ca="1">IF(N(AA145)=0,9999,VLOOKUP(AA145,Hraci!$A$1:$I$1000,8,0))</f>
        <v>9999</v>
      </c>
      <c r="AF145" s="150">
        <f ca="1">IF(N(AA145)=0,0,VLOOKUP(AA145,Hraci!$A$1:$I$1000,9,0))</f>
        <v>0</v>
      </c>
      <c r="AG145" s="147"/>
      <c r="AH145" s="151">
        <f ca="1">IF(TYPE(VLOOKUP(H145,Nasazení!$A$3:$E$130,5,0))&lt;4,VLOOKUP(H145,Nasazení!$A$3:$E$130,5,0),0)</f>
        <v>0</v>
      </c>
      <c r="AI145" s="152" t="str">
        <f ca="1">IF(N($AH145)&gt;0,VLOOKUP($AH145,Body!$A$4:$F$259,5,0),"")</f>
        <v/>
      </c>
      <c r="AJ145" s="153" t="str">
        <f ca="1">IF(N($AH145)&gt;0,VLOOKUP($AH145,Body!$A$4:$F$259,6,0),"")</f>
        <v/>
      </c>
      <c r="AK145" s="152" t="str">
        <f ca="1">IF(N($AH145)&gt;0,VLOOKUP($AH145,Body!$A$4:$F$259,2,0),"")</f>
        <v/>
      </c>
      <c r="AL145" s="154" t="str">
        <f t="shared" ca="1" si="72"/>
        <v/>
      </c>
      <c r="AM145" s="155">
        <f t="shared" ca="1" si="73"/>
        <v>0</v>
      </c>
      <c r="AN145" s="72">
        <f ca="1">IF(OR(TYPE(I145)&gt;1,TYPE(MATCH(I145,I146:I$203,0))&gt;1),0,MATCH(I145,I146:I$203,0))+IF(OR(TYPE(I145)&gt;1,TYPE(MATCH(I145,O$11:O$203,0))&gt;1),0,MATCH(I145,O$11:O$203,0))+IF(OR(TYPE(I145)&gt;1,TYPE(MATCH(I145,U$11:U$203,0))&gt;1),0,MATCH(I145,U$11:U$203,0))+IF(OR(TYPE(I145)&gt;1,TYPE(MATCH(I145,AA$11:AA$203,0))&gt;1),0,MATCH(I145,AA$11:AA$203,0))</f>
        <v>0</v>
      </c>
      <c r="AO145" s="72">
        <f ca="1">IF(OR(TYPE(O145)&gt;1,TYPE(MATCH(O145,I$11:I$203,0))&gt;1),0,MATCH(O145,I$11:I$203,0))+IF(OR(TYPE(O145)&gt;1,TYPE(MATCH(O145,O146:O$203,0))&gt;1),0,MATCH(O145,O146:O$203,0))+IF(OR(TYPE(O145)&gt;1,TYPE(MATCH(O145,U$11:U$203,0))&gt;1),0,MATCH(O145,U$11:U$203,0))+IF(OR(TYPE(O145)&gt;1,TYPE(MATCH(O145,AA$11:AA$203,0))&gt;1),0,MATCH(O145,AA$11:AA$203,0))</f>
        <v>0</v>
      </c>
      <c r="AP145" s="72">
        <f ca="1">IF(OR(TYPE(U145)&gt;1,TYPE(MATCH(U145,I$11:I$203,0))&gt;1),0,MATCH(U145,I$11:I$203,0))+IF(OR(TYPE(U145)&gt;1,TYPE(MATCH(U145,O$11:O$203,0))&gt;1),0,MATCH(U145,O$11:O$203,0))+IF(OR(TYPE(U145)&gt;1,TYPE(MATCH(U145,U146:U$203,0))&gt;1),0,MATCH(U145,U146:U$203,0))+IF(OR(TYPE(U145)&gt;1,TYPE(MATCH(U145,AA$11:AA$203,0))&gt;1),0,MATCH(U145,AA$11:AA$203,0))</f>
        <v>0</v>
      </c>
      <c r="AQ145" s="72">
        <f ca="1">IF(OR(TYPE(AA145)&gt;1,TYPE(MATCH(AA145,I$11:I$203,0))&gt;1),0,MATCH(AA145,I$11:I$203,0))+IF(OR(TYPE(AA145)&gt;1,TYPE(MATCH(AA145,O$11:O$203,0))&gt;1),0,MATCH(AA145,O$11:O$203,0))+IF(OR(TYPE(AA145)&gt;1,TYPE(MATCH(AA145,U$11:U$203,0))&gt;1),0,MATCH(U145,U$11:U$203,0))+IF(OR(TYPE(AA145)&gt;1,TYPE(MATCH(AA145,AA146:AA$203,0))&gt;1),0,MATCH(AA145,AA146:AA$203,0))</f>
        <v>0</v>
      </c>
      <c r="AR145" s="72">
        <f t="shared" ca="1" si="74"/>
        <v>0</v>
      </c>
    </row>
    <row r="146" spans="1:44" ht="14.25">
      <c r="A146" s="103">
        <f t="shared" ca="1" si="60"/>
        <v>0</v>
      </c>
      <c r="B146" s="103">
        <f t="shared" ca="1" si="61"/>
        <v>0</v>
      </c>
      <c r="C146" s="156">
        <f t="shared" ca="1" si="62"/>
        <v>0</v>
      </c>
      <c r="D146" s="103">
        <f t="shared" ca="1" si="63"/>
        <v>99999</v>
      </c>
      <c r="E146" s="103">
        <f t="shared" ca="1" si="64"/>
        <v>9999</v>
      </c>
      <c r="F146" s="104" t="str">
        <f t="shared" ca="1" si="65"/>
        <v>00000000000000000000245863</v>
      </c>
      <c r="G146" s="145">
        <f t="shared" ca="1" si="66"/>
        <v>1</v>
      </c>
      <c r="H146" s="146">
        <f t="shared" si="67"/>
        <v>136</v>
      </c>
      <c r="I146" s="147" t="str">
        <f t="shared" ca="1" si="68"/>
        <v/>
      </c>
      <c r="J146" s="148" t="str">
        <f ca="1">IF(N(I146)&gt;0,VLOOKUP(I146,Hraci!$A$1:$I$1000,2,0),IF(TYPE(INDIRECT(ADDRESS(ROW() + $A$9-9 + (ROW()-11)*4,2,1,1,"Internet")))&gt;1,INDIRECT(ADDRESS(ROW() + $A$9-9 + (ROW()-11)*4,2,1,1,"Internet"))," "))</f>
        <v xml:space="preserve"> </v>
      </c>
      <c r="K146" s="149" t="str">
        <f ca="1">IF(N(I146)&gt;0,VLOOKUP(I146,Hraci!$A$1:$I$1000,3,0)," ")</f>
        <v xml:space="preserve"> </v>
      </c>
      <c r="L146" s="149" t="str">
        <f ca="1">IF(N(I146)&gt;0,VLOOKUP(I146,Hraci!$A$1:$I$1000,5,0),IF(TYPE(INDIRECT(ADDRESS(ROW() + $A$9-9 + (ROW()-11)*4,3,1,1,"Internet")))&gt;1,INDIRECT(ADDRESS(ROW() + $A$9-9 + (ROW()-11)*4,3,1,1,"Internet"))," "))</f>
        <v xml:space="preserve"> </v>
      </c>
      <c r="M146" s="149">
        <f ca="1">IF(N(I146)=0,9999,VLOOKUP(I146,Hraci!$A$1:$I$1000,8,0))</f>
        <v>9999</v>
      </c>
      <c r="N146" s="150">
        <f ca="1">IF(N(I146)=0,0,VLOOKUP(I146,Hraci!$A$1:$I$1000,9,0))</f>
        <v>0</v>
      </c>
      <c r="O146" s="147" t="str">
        <f t="shared" ca="1" si="69"/>
        <v/>
      </c>
      <c r="P146" s="148" t="str">
        <f ca="1">IF(N(O146)&gt;0,VLOOKUP(O146,Hraci!$A$1:$I$1000,2,0),IF(TYPE(INDIRECT(ADDRESS(ROW() + $A$9-8 + (ROW()-11)*4,2,1,1,"Internet")))&gt;1,INDIRECT(ADDRESS(ROW() + $A$9-8 + (ROW()-11)*4,2,1,1,"Internet"))," "))</f>
        <v xml:space="preserve"> </v>
      </c>
      <c r="Q146" s="149" t="str">
        <f ca="1">IF(N(O146)&gt;0,VLOOKUP(O146,Hraci!$A$1:$I$1000,3,0)," ")</f>
        <v xml:space="preserve"> </v>
      </c>
      <c r="R146" s="149" t="str">
        <f ca="1">IF(N(O146)&gt;0,VLOOKUP(O146,Hraci!$A$1:$I$1000,5,0),IF(TYPE(INDIRECT(ADDRESS(ROW() + $A$9-8 + (ROW()-11)*4,3,1,1,"Internet")))&gt;1,INDIRECT(ADDRESS(ROW() + $A$9-8 + (ROW()-11)*4,3,1,1,"Internet"))," "))</f>
        <v xml:space="preserve"> </v>
      </c>
      <c r="S146" s="149">
        <f ca="1">IF(N(O146)=0,9999,VLOOKUP(O146,Hraci!$A$1:$I$1000,8,0))</f>
        <v>9999</v>
      </c>
      <c r="T146" s="150">
        <f ca="1">IF(N(O146)=0,0,VLOOKUP(O146,Hraci!$A$1:$I$1000,9,0))</f>
        <v>0</v>
      </c>
      <c r="U146" s="147" t="str">
        <f t="shared" ca="1" si="70"/>
        <v/>
      </c>
      <c r="V146" s="148" t="str">
        <f ca="1">IF(N(U146)&gt;0,VLOOKUP(U146,Hraci!$A$1:$I$1000,2,0),IF(TYPE(INDIRECT(ADDRESS(ROW() + $A$9-7 + (ROW()-11)*4,2,1,1,"Internet")))&gt;1,INDIRECT(ADDRESS(ROW() + $A$9-7 + (ROW()-11)*4,2,1,1,"Internet"))," "))</f>
        <v xml:space="preserve"> </v>
      </c>
      <c r="W146" s="149" t="str">
        <f ca="1">IF(N(U146)&gt;0,VLOOKUP(U146,Hraci!$A$1:$I$1000,3,0)," ")</f>
        <v xml:space="preserve"> </v>
      </c>
      <c r="X146" s="149" t="str">
        <f ca="1">IF(N(U146)&gt;0,VLOOKUP(U146,Hraci!$A$1:$I$1000,5,0),IF(TYPE(INDIRECT(ADDRESS(ROW() + $A$9-7 + (ROW()-11)*4,3,1,1,"Internet")))&gt;1,INDIRECT(ADDRESS(ROW() + $A$9-7 + (ROW()-11)*4,3,1,1,"Internet"))," "))</f>
        <v xml:space="preserve"> </v>
      </c>
      <c r="Y146" s="149">
        <f ca="1">IF(N(U146)=0,9999,VLOOKUP(U146,Hraci!$A$1:$I$1000,8,0))</f>
        <v>9999</v>
      </c>
      <c r="Z146" s="150">
        <f ca="1">IF(N(U146)=0,0,VLOOKUP(U146,Hraci!$A$1:$I$1000,9,0))</f>
        <v>0</v>
      </c>
      <c r="AA146" s="147" t="str">
        <f t="shared" ca="1" si="71"/>
        <v/>
      </c>
      <c r="AB146" s="148" t="str">
        <f ca="1">IF(N(AA146)&gt;0,VLOOKUP(AA146,Hraci!$A$1:$I$1000,2,0)," ")</f>
        <v xml:space="preserve"> </v>
      </c>
      <c r="AC146" s="149" t="str">
        <f ca="1">IF(N(AA146)&gt;0,VLOOKUP(AA146,Hraci!$A$1:$I$1000,3,0)," ")</f>
        <v xml:space="preserve"> </v>
      </c>
      <c r="AD146" s="149" t="str">
        <f ca="1">IF(N(AA146)&gt;0,VLOOKUP(AA146,Hraci!$A$1:$I$1000,5,0)," ")</f>
        <v xml:space="preserve"> </v>
      </c>
      <c r="AE146" s="149">
        <f ca="1">IF(N(AA146)=0,9999,VLOOKUP(AA146,Hraci!$A$1:$I$1000,8,0))</f>
        <v>9999</v>
      </c>
      <c r="AF146" s="150">
        <f ca="1">IF(N(AA146)=0,0,VLOOKUP(AA146,Hraci!$A$1:$I$1000,9,0))</f>
        <v>0</v>
      </c>
      <c r="AG146" s="147"/>
      <c r="AH146" s="151">
        <f ca="1">IF(TYPE(VLOOKUP(H146,Nasazení!$A$3:$E$130,5,0))&lt;4,VLOOKUP(H146,Nasazení!$A$3:$E$130,5,0),0)</f>
        <v>0</v>
      </c>
      <c r="AI146" s="152" t="str">
        <f ca="1">IF(N($AH146)&gt;0,VLOOKUP($AH146,Body!$A$4:$F$259,5,0),"")</f>
        <v/>
      </c>
      <c r="AJ146" s="153" t="str">
        <f ca="1">IF(N($AH146)&gt;0,VLOOKUP($AH146,Body!$A$4:$F$259,6,0),"")</f>
        <v/>
      </c>
      <c r="AK146" s="152" t="str">
        <f ca="1">IF(N($AH146)&gt;0,VLOOKUP($AH146,Body!$A$4:$F$259,2,0),"")</f>
        <v/>
      </c>
      <c r="AL146" s="154" t="str">
        <f t="shared" ca="1" si="72"/>
        <v/>
      </c>
      <c r="AM146" s="155">
        <f t="shared" ca="1" si="73"/>
        <v>0</v>
      </c>
      <c r="AN146" s="72">
        <f ca="1">IF(OR(TYPE(I146)&gt;1,TYPE(MATCH(I146,I147:I$203,0))&gt;1),0,MATCH(I146,I147:I$203,0))+IF(OR(TYPE(I146)&gt;1,TYPE(MATCH(I146,O$11:O$203,0))&gt;1),0,MATCH(I146,O$11:O$203,0))+IF(OR(TYPE(I146)&gt;1,TYPE(MATCH(I146,U$11:U$203,0))&gt;1),0,MATCH(I146,U$11:U$203,0))+IF(OR(TYPE(I146)&gt;1,TYPE(MATCH(I146,AA$11:AA$203,0))&gt;1),0,MATCH(I146,AA$11:AA$203,0))</f>
        <v>0</v>
      </c>
      <c r="AO146" s="72">
        <f ca="1">IF(OR(TYPE(O146)&gt;1,TYPE(MATCH(O146,I$11:I$203,0))&gt;1),0,MATCH(O146,I$11:I$203,0))+IF(OR(TYPE(O146)&gt;1,TYPE(MATCH(O146,O147:O$203,0))&gt;1),0,MATCH(O146,O147:O$203,0))+IF(OR(TYPE(O146)&gt;1,TYPE(MATCH(O146,U$11:U$203,0))&gt;1),0,MATCH(O146,U$11:U$203,0))+IF(OR(TYPE(O146)&gt;1,TYPE(MATCH(O146,AA$11:AA$203,0))&gt;1),0,MATCH(O146,AA$11:AA$203,0))</f>
        <v>0</v>
      </c>
      <c r="AP146" s="72">
        <f ca="1">IF(OR(TYPE(U146)&gt;1,TYPE(MATCH(U146,I$11:I$203,0))&gt;1),0,MATCH(U146,I$11:I$203,0))+IF(OR(TYPE(U146)&gt;1,TYPE(MATCH(U146,O$11:O$203,0))&gt;1),0,MATCH(U146,O$11:O$203,0))+IF(OR(TYPE(U146)&gt;1,TYPE(MATCH(U146,U147:U$203,0))&gt;1),0,MATCH(U146,U147:U$203,0))+IF(OR(TYPE(U146)&gt;1,TYPE(MATCH(U146,AA$11:AA$203,0))&gt;1),0,MATCH(U146,AA$11:AA$203,0))</f>
        <v>0</v>
      </c>
      <c r="AQ146" s="72">
        <f ca="1">IF(OR(TYPE(AA146)&gt;1,TYPE(MATCH(AA146,I$11:I$203,0))&gt;1),0,MATCH(AA146,I$11:I$203,0))+IF(OR(TYPE(AA146)&gt;1,TYPE(MATCH(AA146,O$11:O$203,0))&gt;1),0,MATCH(AA146,O$11:O$203,0))+IF(OR(TYPE(AA146)&gt;1,TYPE(MATCH(AA146,U$11:U$203,0))&gt;1),0,MATCH(U146,U$11:U$203,0))+IF(OR(TYPE(AA146)&gt;1,TYPE(MATCH(AA146,AA147:AA$203,0))&gt;1),0,MATCH(AA146,AA147:AA$203,0))</f>
        <v>0</v>
      </c>
      <c r="AR146" s="72">
        <f t="shared" ca="1" si="74"/>
        <v>0</v>
      </c>
    </row>
    <row r="147" spans="1:44" ht="14.25">
      <c r="A147" s="103">
        <f t="shared" ca="1" si="60"/>
        <v>0</v>
      </c>
      <c r="B147" s="103">
        <f t="shared" ca="1" si="61"/>
        <v>0</v>
      </c>
      <c r="C147" s="156">
        <f t="shared" ca="1" si="62"/>
        <v>0</v>
      </c>
      <c r="D147" s="103">
        <f t="shared" ca="1" si="63"/>
        <v>99999</v>
      </c>
      <c r="E147" s="103">
        <f t="shared" ca="1" si="64"/>
        <v>9999</v>
      </c>
      <c r="F147" s="104" t="str">
        <f t="shared" ca="1" si="65"/>
        <v>00000000000000000000734547</v>
      </c>
      <c r="G147" s="145">
        <f t="shared" ca="1" si="66"/>
        <v>1</v>
      </c>
      <c r="H147" s="146">
        <f t="shared" si="67"/>
        <v>137</v>
      </c>
      <c r="I147" s="147" t="str">
        <f t="shared" ca="1" si="68"/>
        <v/>
      </c>
      <c r="J147" s="148" t="str">
        <f ca="1">IF(N(I147)&gt;0,VLOOKUP(I147,Hraci!$A$1:$I$1000,2,0),IF(TYPE(INDIRECT(ADDRESS(ROW() + $A$9-9 + (ROW()-11)*4,2,1,1,"Internet")))&gt;1,INDIRECT(ADDRESS(ROW() + $A$9-9 + (ROW()-11)*4,2,1,1,"Internet"))," "))</f>
        <v xml:space="preserve"> </v>
      </c>
      <c r="K147" s="149" t="str">
        <f ca="1">IF(N(I147)&gt;0,VLOOKUP(I147,Hraci!$A$1:$I$1000,3,0)," ")</f>
        <v xml:space="preserve"> </v>
      </c>
      <c r="L147" s="149" t="str">
        <f ca="1">IF(N(I147)&gt;0,VLOOKUP(I147,Hraci!$A$1:$I$1000,5,0),IF(TYPE(INDIRECT(ADDRESS(ROW() + $A$9-9 + (ROW()-11)*4,3,1,1,"Internet")))&gt;1,INDIRECT(ADDRESS(ROW() + $A$9-9 + (ROW()-11)*4,3,1,1,"Internet"))," "))</f>
        <v xml:space="preserve"> </v>
      </c>
      <c r="M147" s="149">
        <f ca="1">IF(N(I147)=0,9999,VLOOKUP(I147,Hraci!$A$1:$I$1000,8,0))</f>
        <v>9999</v>
      </c>
      <c r="N147" s="150">
        <f ca="1">IF(N(I147)=0,0,VLOOKUP(I147,Hraci!$A$1:$I$1000,9,0))</f>
        <v>0</v>
      </c>
      <c r="O147" s="147" t="str">
        <f t="shared" ca="1" si="69"/>
        <v/>
      </c>
      <c r="P147" s="148" t="str">
        <f ca="1">IF(N(O147)&gt;0,VLOOKUP(O147,Hraci!$A$1:$I$1000,2,0),IF(TYPE(INDIRECT(ADDRESS(ROW() + $A$9-8 + (ROW()-11)*4,2,1,1,"Internet")))&gt;1,INDIRECT(ADDRESS(ROW() + $A$9-8 + (ROW()-11)*4,2,1,1,"Internet"))," "))</f>
        <v xml:space="preserve"> </v>
      </c>
      <c r="Q147" s="149" t="str">
        <f ca="1">IF(N(O147)&gt;0,VLOOKUP(O147,Hraci!$A$1:$I$1000,3,0)," ")</f>
        <v xml:space="preserve"> </v>
      </c>
      <c r="R147" s="149" t="str">
        <f ca="1">IF(N(O147)&gt;0,VLOOKUP(O147,Hraci!$A$1:$I$1000,5,0),IF(TYPE(INDIRECT(ADDRESS(ROW() + $A$9-8 + (ROW()-11)*4,3,1,1,"Internet")))&gt;1,INDIRECT(ADDRESS(ROW() + $A$9-8 + (ROW()-11)*4,3,1,1,"Internet"))," "))</f>
        <v xml:space="preserve"> </v>
      </c>
      <c r="S147" s="149">
        <f ca="1">IF(N(O147)=0,9999,VLOOKUP(O147,Hraci!$A$1:$I$1000,8,0))</f>
        <v>9999</v>
      </c>
      <c r="T147" s="150">
        <f ca="1">IF(N(O147)=0,0,VLOOKUP(O147,Hraci!$A$1:$I$1000,9,0))</f>
        <v>0</v>
      </c>
      <c r="U147" s="147" t="str">
        <f t="shared" ca="1" si="70"/>
        <v/>
      </c>
      <c r="V147" s="148" t="str">
        <f ca="1">IF(N(U147)&gt;0,VLOOKUP(U147,Hraci!$A$1:$I$1000,2,0),IF(TYPE(INDIRECT(ADDRESS(ROW() + $A$9-7 + (ROW()-11)*4,2,1,1,"Internet")))&gt;1,INDIRECT(ADDRESS(ROW() + $A$9-7 + (ROW()-11)*4,2,1,1,"Internet"))," "))</f>
        <v xml:space="preserve"> </v>
      </c>
      <c r="W147" s="149" t="str">
        <f ca="1">IF(N(U147)&gt;0,VLOOKUP(U147,Hraci!$A$1:$I$1000,3,0)," ")</f>
        <v xml:space="preserve"> </v>
      </c>
      <c r="X147" s="149" t="str">
        <f ca="1">IF(N(U147)&gt;0,VLOOKUP(U147,Hraci!$A$1:$I$1000,5,0),IF(TYPE(INDIRECT(ADDRESS(ROW() + $A$9-7 + (ROW()-11)*4,3,1,1,"Internet")))&gt;1,INDIRECT(ADDRESS(ROW() + $A$9-7 + (ROW()-11)*4,3,1,1,"Internet"))," "))</f>
        <v xml:space="preserve"> </v>
      </c>
      <c r="Y147" s="149">
        <f ca="1">IF(N(U147)=0,9999,VLOOKUP(U147,Hraci!$A$1:$I$1000,8,0))</f>
        <v>9999</v>
      </c>
      <c r="Z147" s="150">
        <f ca="1">IF(N(U147)=0,0,VLOOKUP(U147,Hraci!$A$1:$I$1000,9,0))</f>
        <v>0</v>
      </c>
      <c r="AA147" s="147" t="str">
        <f t="shared" ca="1" si="71"/>
        <v/>
      </c>
      <c r="AB147" s="148" t="str">
        <f ca="1">IF(N(AA147)&gt;0,VLOOKUP(AA147,Hraci!$A$1:$I$1000,2,0)," ")</f>
        <v xml:space="preserve"> </v>
      </c>
      <c r="AC147" s="149" t="str">
        <f ca="1">IF(N(AA147)&gt;0,VLOOKUP(AA147,Hraci!$A$1:$I$1000,3,0)," ")</f>
        <v xml:space="preserve"> </v>
      </c>
      <c r="AD147" s="149" t="str">
        <f ca="1">IF(N(AA147)&gt;0,VLOOKUP(AA147,Hraci!$A$1:$I$1000,5,0)," ")</f>
        <v xml:space="preserve"> </v>
      </c>
      <c r="AE147" s="149">
        <f ca="1">IF(N(AA147)=0,9999,VLOOKUP(AA147,Hraci!$A$1:$I$1000,8,0))</f>
        <v>9999</v>
      </c>
      <c r="AF147" s="150">
        <f ca="1">IF(N(AA147)=0,0,VLOOKUP(AA147,Hraci!$A$1:$I$1000,9,0))</f>
        <v>0</v>
      </c>
      <c r="AG147" s="147"/>
      <c r="AH147" s="151">
        <f ca="1">IF(TYPE(VLOOKUP(H147,Nasazení!$A$3:$E$130,5,0))&lt;4,VLOOKUP(H147,Nasazení!$A$3:$E$130,5,0),0)</f>
        <v>0</v>
      </c>
      <c r="AI147" s="152" t="str">
        <f ca="1">IF(N($AH147)&gt;0,VLOOKUP($AH147,Body!$A$4:$F$259,5,0),"")</f>
        <v/>
      </c>
      <c r="AJ147" s="153" t="str">
        <f ca="1">IF(N($AH147)&gt;0,VLOOKUP($AH147,Body!$A$4:$F$259,6,0),"")</f>
        <v/>
      </c>
      <c r="AK147" s="152" t="str">
        <f ca="1">IF(N($AH147)&gt;0,VLOOKUP($AH147,Body!$A$4:$F$259,2,0),"")</f>
        <v/>
      </c>
      <c r="AL147" s="154" t="str">
        <f t="shared" ca="1" si="72"/>
        <v/>
      </c>
      <c r="AM147" s="155">
        <f t="shared" ca="1" si="73"/>
        <v>0</v>
      </c>
      <c r="AN147" s="72">
        <f ca="1">IF(OR(TYPE(I147)&gt;1,TYPE(MATCH(I147,I148:I$203,0))&gt;1),0,MATCH(I147,I148:I$203,0))+IF(OR(TYPE(I147)&gt;1,TYPE(MATCH(I147,O$11:O$203,0))&gt;1),0,MATCH(I147,O$11:O$203,0))+IF(OR(TYPE(I147)&gt;1,TYPE(MATCH(I147,U$11:U$203,0))&gt;1),0,MATCH(I147,U$11:U$203,0))+IF(OR(TYPE(I147)&gt;1,TYPE(MATCH(I147,AA$11:AA$203,0))&gt;1),0,MATCH(I147,AA$11:AA$203,0))</f>
        <v>0</v>
      </c>
      <c r="AO147" s="72">
        <f ca="1">IF(OR(TYPE(O147)&gt;1,TYPE(MATCH(O147,I$11:I$203,0))&gt;1),0,MATCH(O147,I$11:I$203,0))+IF(OR(TYPE(O147)&gt;1,TYPE(MATCH(O147,O148:O$203,0))&gt;1),0,MATCH(O147,O148:O$203,0))+IF(OR(TYPE(O147)&gt;1,TYPE(MATCH(O147,U$11:U$203,0))&gt;1),0,MATCH(O147,U$11:U$203,0))+IF(OR(TYPE(O147)&gt;1,TYPE(MATCH(O147,AA$11:AA$203,0))&gt;1),0,MATCH(O147,AA$11:AA$203,0))</f>
        <v>0</v>
      </c>
      <c r="AP147" s="72">
        <f ca="1">IF(OR(TYPE(U147)&gt;1,TYPE(MATCH(U147,I$11:I$203,0))&gt;1),0,MATCH(U147,I$11:I$203,0))+IF(OR(TYPE(U147)&gt;1,TYPE(MATCH(U147,O$11:O$203,0))&gt;1),0,MATCH(U147,O$11:O$203,0))+IF(OR(TYPE(U147)&gt;1,TYPE(MATCH(U147,U148:U$203,0))&gt;1),0,MATCH(U147,U148:U$203,0))+IF(OR(TYPE(U147)&gt;1,TYPE(MATCH(U147,AA$11:AA$203,0))&gt;1),0,MATCH(U147,AA$11:AA$203,0))</f>
        <v>0</v>
      </c>
      <c r="AQ147" s="72">
        <f ca="1">IF(OR(TYPE(AA147)&gt;1,TYPE(MATCH(AA147,I$11:I$203,0))&gt;1),0,MATCH(AA147,I$11:I$203,0))+IF(OR(TYPE(AA147)&gt;1,TYPE(MATCH(AA147,O$11:O$203,0))&gt;1),0,MATCH(AA147,O$11:O$203,0))+IF(OR(TYPE(AA147)&gt;1,TYPE(MATCH(AA147,U$11:U$203,0))&gt;1),0,MATCH(U147,U$11:U$203,0))+IF(OR(TYPE(AA147)&gt;1,TYPE(MATCH(AA147,AA148:AA$203,0))&gt;1),0,MATCH(AA147,AA148:AA$203,0))</f>
        <v>0</v>
      </c>
      <c r="AR147" s="72">
        <f t="shared" ca="1" si="74"/>
        <v>0</v>
      </c>
    </row>
    <row r="148" spans="1:44" ht="14.25">
      <c r="A148" s="103">
        <f t="shared" ca="1" si="60"/>
        <v>0</v>
      </c>
      <c r="B148" s="103">
        <f t="shared" ca="1" si="61"/>
        <v>0</v>
      </c>
      <c r="C148" s="156">
        <f t="shared" ca="1" si="62"/>
        <v>0</v>
      </c>
      <c r="D148" s="103">
        <f t="shared" ca="1" si="63"/>
        <v>99999</v>
      </c>
      <c r="E148" s="103">
        <f t="shared" ca="1" si="64"/>
        <v>9999</v>
      </c>
      <c r="F148" s="104" t="str">
        <f t="shared" ca="1" si="65"/>
        <v>00000000000000000000974203</v>
      </c>
      <c r="G148" s="145">
        <f t="shared" ca="1" si="66"/>
        <v>1</v>
      </c>
      <c r="H148" s="146">
        <f t="shared" si="67"/>
        <v>138</v>
      </c>
      <c r="I148" s="147" t="str">
        <f t="shared" ca="1" si="68"/>
        <v/>
      </c>
      <c r="J148" s="148" t="str">
        <f ca="1">IF(N(I148)&gt;0,VLOOKUP(I148,Hraci!$A$1:$I$1000,2,0),IF(TYPE(INDIRECT(ADDRESS(ROW() + $A$9-9 + (ROW()-11)*4,2,1,1,"Internet")))&gt;1,INDIRECT(ADDRESS(ROW() + $A$9-9 + (ROW()-11)*4,2,1,1,"Internet"))," "))</f>
        <v xml:space="preserve"> </v>
      </c>
      <c r="K148" s="149" t="str">
        <f ca="1">IF(N(I148)&gt;0,VLOOKUP(I148,Hraci!$A$1:$I$1000,3,0)," ")</f>
        <v xml:space="preserve"> </v>
      </c>
      <c r="L148" s="149" t="str">
        <f ca="1">IF(N(I148)&gt;0,VLOOKUP(I148,Hraci!$A$1:$I$1000,5,0),IF(TYPE(INDIRECT(ADDRESS(ROW() + $A$9-9 + (ROW()-11)*4,3,1,1,"Internet")))&gt;1,INDIRECT(ADDRESS(ROW() + $A$9-9 + (ROW()-11)*4,3,1,1,"Internet"))," "))</f>
        <v xml:space="preserve"> </v>
      </c>
      <c r="M148" s="149">
        <f ca="1">IF(N(I148)=0,9999,VLOOKUP(I148,Hraci!$A$1:$I$1000,8,0))</f>
        <v>9999</v>
      </c>
      <c r="N148" s="150">
        <f ca="1">IF(N(I148)=0,0,VLOOKUP(I148,Hraci!$A$1:$I$1000,9,0))</f>
        <v>0</v>
      </c>
      <c r="O148" s="147" t="str">
        <f t="shared" ca="1" si="69"/>
        <v/>
      </c>
      <c r="P148" s="148" t="str">
        <f ca="1">IF(N(O148)&gt;0,VLOOKUP(O148,Hraci!$A$1:$I$1000,2,0),IF(TYPE(INDIRECT(ADDRESS(ROW() + $A$9-8 + (ROW()-11)*4,2,1,1,"Internet")))&gt;1,INDIRECT(ADDRESS(ROW() + $A$9-8 + (ROW()-11)*4,2,1,1,"Internet"))," "))</f>
        <v xml:space="preserve"> </v>
      </c>
      <c r="Q148" s="149" t="str">
        <f ca="1">IF(N(O148)&gt;0,VLOOKUP(O148,Hraci!$A$1:$I$1000,3,0)," ")</f>
        <v xml:space="preserve"> </v>
      </c>
      <c r="R148" s="149" t="str">
        <f ca="1">IF(N(O148)&gt;0,VLOOKUP(O148,Hraci!$A$1:$I$1000,5,0),IF(TYPE(INDIRECT(ADDRESS(ROW() + $A$9-8 + (ROW()-11)*4,3,1,1,"Internet")))&gt;1,INDIRECT(ADDRESS(ROW() + $A$9-8 + (ROW()-11)*4,3,1,1,"Internet"))," "))</f>
        <v xml:space="preserve"> </v>
      </c>
      <c r="S148" s="149">
        <f ca="1">IF(N(O148)=0,9999,VLOOKUP(O148,Hraci!$A$1:$I$1000,8,0))</f>
        <v>9999</v>
      </c>
      <c r="T148" s="150">
        <f ca="1">IF(N(O148)=0,0,VLOOKUP(O148,Hraci!$A$1:$I$1000,9,0))</f>
        <v>0</v>
      </c>
      <c r="U148" s="147" t="str">
        <f t="shared" ca="1" si="70"/>
        <v/>
      </c>
      <c r="V148" s="148" t="str">
        <f ca="1">IF(N(U148)&gt;0,VLOOKUP(U148,Hraci!$A$1:$I$1000,2,0),IF(TYPE(INDIRECT(ADDRESS(ROW() + $A$9-7 + (ROW()-11)*4,2,1,1,"Internet")))&gt;1,INDIRECT(ADDRESS(ROW() + $A$9-7 + (ROW()-11)*4,2,1,1,"Internet"))," "))</f>
        <v xml:space="preserve"> </v>
      </c>
      <c r="W148" s="149" t="str">
        <f ca="1">IF(N(U148)&gt;0,VLOOKUP(U148,Hraci!$A$1:$I$1000,3,0)," ")</f>
        <v xml:space="preserve"> </v>
      </c>
      <c r="X148" s="149" t="str">
        <f ca="1">IF(N(U148)&gt;0,VLOOKUP(U148,Hraci!$A$1:$I$1000,5,0),IF(TYPE(INDIRECT(ADDRESS(ROW() + $A$9-7 + (ROW()-11)*4,3,1,1,"Internet")))&gt;1,INDIRECT(ADDRESS(ROW() + $A$9-7 + (ROW()-11)*4,3,1,1,"Internet"))," "))</f>
        <v xml:space="preserve"> </v>
      </c>
      <c r="Y148" s="149">
        <f ca="1">IF(N(U148)=0,9999,VLOOKUP(U148,Hraci!$A$1:$I$1000,8,0))</f>
        <v>9999</v>
      </c>
      <c r="Z148" s="150">
        <f ca="1">IF(N(U148)=0,0,VLOOKUP(U148,Hraci!$A$1:$I$1000,9,0))</f>
        <v>0</v>
      </c>
      <c r="AA148" s="147" t="str">
        <f t="shared" ca="1" si="71"/>
        <v/>
      </c>
      <c r="AB148" s="148" t="str">
        <f ca="1">IF(N(AA148)&gt;0,VLOOKUP(AA148,Hraci!$A$1:$I$1000,2,0)," ")</f>
        <v xml:space="preserve"> </v>
      </c>
      <c r="AC148" s="149" t="str">
        <f ca="1">IF(N(AA148)&gt;0,VLOOKUP(AA148,Hraci!$A$1:$I$1000,3,0)," ")</f>
        <v xml:space="preserve"> </v>
      </c>
      <c r="AD148" s="149" t="str">
        <f ca="1">IF(N(AA148)&gt;0,VLOOKUP(AA148,Hraci!$A$1:$I$1000,5,0)," ")</f>
        <v xml:space="preserve"> </v>
      </c>
      <c r="AE148" s="149">
        <f ca="1">IF(N(AA148)=0,9999,VLOOKUP(AA148,Hraci!$A$1:$I$1000,8,0))</f>
        <v>9999</v>
      </c>
      <c r="AF148" s="150">
        <f ca="1">IF(N(AA148)=0,0,VLOOKUP(AA148,Hraci!$A$1:$I$1000,9,0))</f>
        <v>0</v>
      </c>
      <c r="AG148" s="147"/>
      <c r="AH148" s="151">
        <f ca="1">IF(TYPE(VLOOKUP(H148,Nasazení!$A$3:$E$130,5,0))&lt;4,VLOOKUP(H148,Nasazení!$A$3:$E$130,5,0),0)</f>
        <v>0</v>
      </c>
      <c r="AI148" s="152" t="str">
        <f ca="1">IF(N($AH148)&gt;0,VLOOKUP($AH148,Body!$A$4:$F$259,5,0),"")</f>
        <v/>
      </c>
      <c r="AJ148" s="153" t="str">
        <f ca="1">IF(N($AH148)&gt;0,VLOOKUP($AH148,Body!$A$4:$F$259,6,0),"")</f>
        <v/>
      </c>
      <c r="AK148" s="152" t="str">
        <f ca="1">IF(N($AH148)&gt;0,VLOOKUP($AH148,Body!$A$4:$F$259,2,0),"")</f>
        <v/>
      </c>
      <c r="AL148" s="154" t="str">
        <f t="shared" ca="1" si="72"/>
        <v/>
      </c>
      <c r="AM148" s="155">
        <f t="shared" ca="1" si="73"/>
        <v>0</v>
      </c>
      <c r="AN148" s="72">
        <f ca="1">IF(OR(TYPE(I148)&gt;1,TYPE(MATCH(I148,I149:I$203,0))&gt;1),0,MATCH(I148,I149:I$203,0))+IF(OR(TYPE(I148)&gt;1,TYPE(MATCH(I148,O$11:O$203,0))&gt;1),0,MATCH(I148,O$11:O$203,0))+IF(OR(TYPE(I148)&gt;1,TYPE(MATCH(I148,U$11:U$203,0))&gt;1),0,MATCH(I148,U$11:U$203,0))+IF(OR(TYPE(I148)&gt;1,TYPE(MATCH(I148,AA$11:AA$203,0))&gt;1),0,MATCH(I148,AA$11:AA$203,0))</f>
        <v>0</v>
      </c>
      <c r="AO148" s="72">
        <f ca="1">IF(OR(TYPE(O148)&gt;1,TYPE(MATCH(O148,I$11:I$203,0))&gt;1),0,MATCH(O148,I$11:I$203,0))+IF(OR(TYPE(O148)&gt;1,TYPE(MATCH(O148,O149:O$203,0))&gt;1),0,MATCH(O148,O149:O$203,0))+IF(OR(TYPE(O148)&gt;1,TYPE(MATCH(O148,U$11:U$203,0))&gt;1),0,MATCH(O148,U$11:U$203,0))+IF(OR(TYPE(O148)&gt;1,TYPE(MATCH(O148,AA$11:AA$203,0))&gt;1),0,MATCH(O148,AA$11:AA$203,0))</f>
        <v>0</v>
      </c>
      <c r="AP148" s="72">
        <f ca="1">IF(OR(TYPE(U148)&gt;1,TYPE(MATCH(U148,I$11:I$203,0))&gt;1),0,MATCH(U148,I$11:I$203,0))+IF(OR(TYPE(U148)&gt;1,TYPE(MATCH(U148,O$11:O$203,0))&gt;1),0,MATCH(U148,O$11:O$203,0))+IF(OR(TYPE(U148)&gt;1,TYPE(MATCH(U148,U149:U$203,0))&gt;1),0,MATCH(U148,U149:U$203,0))+IF(OR(TYPE(U148)&gt;1,TYPE(MATCH(U148,AA$11:AA$203,0))&gt;1),0,MATCH(U148,AA$11:AA$203,0))</f>
        <v>0</v>
      </c>
      <c r="AQ148" s="72">
        <f ca="1">IF(OR(TYPE(AA148)&gt;1,TYPE(MATCH(AA148,I$11:I$203,0))&gt;1),0,MATCH(AA148,I$11:I$203,0))+IF(OR(TYPE(AA148)&gt;1,TYPE(MATCH(AA148,O$11:O$203,0))&gt;1),0,MATCH(AA148,O$11:O$203,0))+IF(OR(TYPE(AA148)&gt;1,TYPE(MATCH(AA148,U$11:U$203,0))&gt;1),0,MATCH(U148,U$11:U$203,0))+IF(OR(TYPE(AA148)&gt;1,TYPE(MATCH(AA148,AA149:AA$203,0))&gt;1),0,MATCH(AA148,AA149:AA$203,0))</f>
        <v>0</v>
      </c>
      <c r="AR148" s="72">
        <f t="shared" ca="1" si="74"/>
        <v>0</v>
      </c>
    </row>
    <row r="149" spans="1:44" ht="14.25">
      <c r="A149" s="103">
        <f t="shared" ca="1" si="60"/>
        <v>0</v>
      </c>
      <c r="B149" s="103">
        <f t="shared" ca="1" si="61"/>
        <v>0</v>
      </c>
      <c r="C149" s="156">
        <f t="shared" ca="1" si="62"/>
        <v>0</v>
      </c>
      <c r="D149" s="103">
        <f t="shared" ca="1" si="63"/>
        <v>99999</v>
      </c>
      <c r="E149" s="103">
        <f t="shared" ca="1" si="64"/>
        <v>9999</v>
      </c>
      <c r="F149" s="104" t="str">
        <f t="shared" ca="1" si="65"/>
        <v>00000000000000000000914309</v>
      </c>
      <c r="G149" s="145">
        <f t="shared" ca="1" si="66"/>
        <v>1</v>
      </c>
      <c r="H149" s="146">
        <f t="shared" si="67"/>
        <v>139</v>
      </c>
      <c r="I149" s="147" t="str">
        <f t="shared" ca="1" si="68"/>
        <v/>
      </c>
      <c r="J149" s="148" t="str">
        <f ca="1">IF(N(I149)&gt;0,VLOOKUP(I149,Hraci!$A$1:$I$1000,2,0),IF(TYPE(INDIRECT(ADDRESS(ROW() + $A$9-9 + (ROW()-11)*4,2,1,1,"Internet")))&gt;1,INDIRECT(ADDRESS(ROW() + $A$9-9 + (ROW()-11)*4,2,1,1,"Internet"))," "))</f>
        <v xml:space="preserve"> </v>
      </c>
      <c r="K149" s="149" t="str">
        <f ca="1">IF(N(I149)&gt;0,VLOOKUP(I149,Hraci!$A$1:$I$1000,3,0)," ")</f>
        <v xml:space="preserve"> </v>
      </c>
      <c r="L149" s="149" t="str">
        <f ca="1">IF(N(I149)&gt;0,VLOOKUP(I149,Hraci!$A$1:$I$1000,5,0),IF(TYPE(INDIRECT(ADDRESS(ROW() + $A$9-9 + (ROW()-11)*4,3,1,1,"Internet")))&gt;1,INDIRECT(ADDRESS(ROW() + $A$9-9 + (ROW()-11)*4,3,1,1,"Internet"))," "))</f>
        <v xml:space="preserve"> </v>
      </c>
      <c r="M149" s="149">
        <f ca="1">IF(N(I149)=0,9999,VLOOKUP(I149,Hraci!$A$1:$I$1000,8,0))</f>
        <v>9999</v>
      </c>
      <c r="N149" s="150">
        <f ca="1">IF(N(I149)=0,0,VLOOKUP(I149,Hraci!$A$1:$I$1000,9,0))</f>
        <v>0</v>
      </c>
      <c r="O149" s="147" t="str">
        <f t="shared" ca="1" si="69"/>
        <v/>
      </c>
      <c r="P149" s="148" t="str">
        <f ca="1">IF(N(O149)&gt;0,VLOOKUP(O149,Hraci!$A$1:$I$1000,2,0),IF(TYPE(INDIRECT(ADDRESS(ROW() + $A$9-8 + (ROW()-11)*4,2,1,1,"Internet")))&gt;1,INDIRECT(ADDRESS(ROW() + $A$9-8 + (ROW()-11)*4,2,1,1,"Internet"))," "))</f>
        <v xml:space="preserve"> </v>
      </c>
      <c r="Q149" s="149" t="str">
        <f ca="1">IF(N(O149)&gt;0,VLOOKUP(O149,Hraci!$A$1:$I$1000,3,0)," ")</f>
        <v xml:space="preserve"> </v>
      </c>
      <c r="R149" s="149" t="str">
        <f ca="1">IF(N(O149)&gt;0,VLOOKUP(O149,Hraci!$A$1:$I$1000,5,0),IF(TYPE(INDIRECT(ADDRESS(ROW() + $A$9-8 + (ROW()-11)*4,3,1,1,"Internet")))&gt;1,INDIRECT(ADDRESS(ROW() + $A$9-8 + (ROW()-11)*4,3,1,1,"Internet"))," "))</f>
        <v xml:space="preserve"> </v>
      </c>
      <c r="S149" s="149">
        <f ca="1">IF(N(O149)=0,9999,VLOOKUP(O149,Hraci!$A$1:$I$1000,8,0))</f>
        <v>9999</v>
      </c>
      <c r="T149" s="150">
        <f ca="1">IF(N(O149)=0,0,VLOOKUP(O149,Hraci!$A$1:$I$1000,9,0))</f>
        <v>0</v>
      </c>
      <c r="U149" s="147" t="str">
        <f t="shared" ca="1" si="70"/>
        <v/>
      </c>
      <c r="V149" s="148" t="str">
        <f ca="1">IF(N(U149)&gt;0,VLOOKUP(U149,Hraci!$A$1:$I$1000,2,0),IF(TYPE(INDIRECT(ADDRESS(ROW() + $A$9-7 + (ROW()-11)*4,2,1,1,"Internet")))&gt;1,INDIRECT(ADDRESS(ROW() + $A$9-7 + (ROW()-11)*4,2,1,1,"Internet"))," "))</f>
        <v xml:space="preserve"> </v>
      </c>
      <c r="W149" s="149" t="str">
        <f ca="1">IF(N(U149)&gt;0,VLOOKUP(U149,Hraci!$A$1:$I$1000,3,0)," ")</f>
        <v xml:space="preserve"> </v>
      </c>
      <c r="X149" s="149" t="str">
        <f ca="1">IF(N(U149)&gt;0,VLOOKUP(U149,Hraci!$A$1:$I$1000,5,0),IF(TYPE(INDIRECT(ADDRESS(ROW() + $A$9-7 + (ROW()-11)*4,3,1,1,"Internet")))&gt;1,INDIRECT(ADDRESS(ROW() + $A$9-7 + (ROW()-11)*4,3,1,1,"Internet"))," "))</f>
        <v xml:space="preserve"> </v>
      </c>
      <c r="Y149" s="149">
        <f ca="1">IF(N(U149)=0,9999,VLOOKUP(U149,Hraci!$A$1:$I$1000,8,0))</f>
        <v>9999</v>
      </c>
      <c r="Z149" s="150">
        <f ca="1">IF(N(U149)=0,0,VLOOKUP(U149,Hraci!$A$1:$I$1000,9,0))</f>
        <v>0</v>
      </c>
      <c r="AA149" s="147" t="str">
        <f t="shared" ca="1" si="71"/>
        <v/>
      </c>
      <c r="AB149" s="148" t="str">
        <f ca="1">IF(N(AA149)&gt;0,VLOOKUP(AA149,Hraci!$A$1:$I$1000,2,0)," ")</f>
        <v xml:space="preserve"> </v>
      </c>
      <c r="AC149" s="149" t="str">
        <f ca="1">IF(N(AA149)&gt;0,VLOOKUP(AA149,Hraci!$A$1:$I$1000,3,0)," ")</f>
        <v xml:space="preserve"> </v>
      </c>
      <c r="AD149" s="149" t="str">
        <f ca="1">IF(N(AA149)&gt;0,VLOOKUP(AA149,Hraci!$A$1:$I$1000,5,0)," ")</f>
        <v xml:space="preserve"> </v>
      </c>
      <c r="AE149" s="149">
        <f ca="1">IF(N(AA149)=0,9999,VLOOKUP(AA149,Hraci!$A$1:$I$1000,8,0))</f>
        <v>9999</v>
      </c>
      <c r="AF149" s="150">
        <f ca="1">IF(N(AA149)=0,0,VLOOKUP(AA149,Hraci!$A$1:$I$1000,9,0))</f>
        <v>0</v>
      </c>
      <c r="AG149" s="147"/>
      <c r="AH149" s="151">
        <f ca="1">IF(TYPE(VLOOKUP(H149,Nasazení!$A$3:$E$130,5,0))&lt;4,VLOOKUP(H149,Nasazení!$A$3:$E$130,5,0),0)</f>
        <v>0</v>
      </c>
      <c r="AI149" s="152" t="str">
        <f ca="1">IF(N($AH149)&gt;0,VLOOKUP($AH149,Body!$A$4:$F$259,5,0),"")</f>
        <v/>
      </c>
      <c r="AJ149" s="153" t="str">
        <f ca="1">IF(N($AH149)&gt;0,VLOOKUP($AH149,Body!$A$4:$F$259,6,0),"")</f>
        <v/>
      </c>
      <c r="AK149" s="152" t="str">
        <f ca="1">IF(N($AH149)&gt;0,VLOOKUP($AH149,Body!$A$4:$F$259,2,0),"")</f>
        <v/>
      </c>
      <c r="AL149" s="154" t="str">
        <f t="shared" ca="1" si="72"/>
        <v/>
      </c>
      <c r="AM149" s="155">
        <f t="shared" ca="1" si="73"/>
        <v>0</v>
      </c>
      <c r="AN149" s="72">
        <f ca="1">IF(OR(TYPE(I149)&gt;1,TYPE(MATCH(I149,I150:I$203,0))&gt;1),0,MATCH(I149,I150:I$203,0))+IF(OR(TYPE(I149)&gt;1,TYPE(MATCH(I149,O$11:O$203,0))&gt;1),0,MATCH(I149,O$11:O$203,0))+IF(OR(TYPE(I149)&gt;1,TYPE(MATCH(I149,U$11:U$203,0))&gt;1),0,MATCH(I149,U$11:U$203,0))+IF(OR(TYPE(I149)&gt;1,TYPE(MATCH(I149,AA$11:AA$203,0))&gt;1),0,MATCH(I149,AA$11:AA$203,0))</f>
        <v>0</v>
      </c>
      <c r="AO149" s="72">
        <f ca="1">IF(OR(TYPE(O149)&gt;1,TYPE(MATCH(O149,I$11:I$203,0))&gt;1),0,MATCH(O149,I$11:I$203,0))+IF(OR(TYPE(O149)&gt;1,TYPE(MATCH(O149,O150:O$203,0))&gt;1),0,MATCH(O149,O150:O$203,0))+IF(OR(TYPE(O149)&gt;1,TYPE(MATCH(O149,U$11:U$203,0))&gt;1),0,MATCH(O149,U$11:U$203,0))+IF(OR(TYPE(O149)&gt;1,TYPE(MATCH(O149,AA$11:AA$203,0))&gt;1),0,MATCH(O149,AA$11:AA$203,0))</f>
        <v>0</v>
      </c>
      <c r="AP149" s="72">
        <f ca="1">IF(OR(TYPE(U149)&gt;1,TYPE(MATCH(U149,I$11:I$203,0))&gt;1),0,MATCH(U149,I$11:I$203,0))+IF(OR(TYPE(U149)&gt;1,TYPE(MATCH(U149,O$11:O$203,0))&gt;1),0,MATCH(U149,O$11:O$203,0))+IF(OR(TYPE(U149)&gt;1,TYPE(MATCH(U149,U150:U$203,0))&gt;1),0,MATCH(U149,U150:U$203,0))+IF(OR(TYPE(U149)&gt;1,TYPE(MATCH(U149,AA$11:AA$203,0))&gt;1),0,MATCH(U149,AA$11:AA$203,0))</f>
        <v>0</v>
      </c>
      <c r="AQ149" s="72">
        <f ca="1">IF(OR(TYPE(AA149)&gt;1,TYPE(MATCH(AA149,I$11:I$203,0))&gt;1),0,MATCH(AA149,I$11:I$203,0))+IF(OR(TYPE(AA149)&gt;1,TYPE(MATCH(AA149,O$11:O$203,0))&gt;1),0,MATCH(AA149,O$11:O$203,0))+IF(OR(TYPE(AA149)&gt;1,TYPE(MATCH(AA149,U$11:U$203,0))&gt;1),0,MATCH(U149,U$11:U$203,0))+IF(OR(TYPE(AA149)&gt;1,TYPE(MATCH(AA149,AA150:AA$203,0))&gt;1),0,MATCH(AA149,AA150:AA$203,0))</f>
        <v>0</v>
      </c>
      <c r="AR149" s="72">
        <f t="shared" ca="1" si="74"/>
        <v>0</v>
      </c>
    </row>
    <row r="150" spans="1:44" ht="14.25">
      <c r="A150" s="103">
        <f t="shared" ca="1" si="60"/>
        <v>0</v>
      </c>
      <c r="B150" s="103">
        <f t="shared" ca="1" si="61"/>
        <v>0</v>
      </c>
      <c r="C150" s="156">
        <f t="shared" ca="1" si="62"/>
        <v>0</v>
      </c>
      <c r="D150" s="103">
        <f t="shared" ca="1" si="63"/>
        <v>99999</v>
      </c>
      <c r="E150" s="103">
        <f t="shared" ca="1" si="64"/>
        <v>9999</v>
      </c>
      <c r="F150" s="104" t="str">
        <f t="shared" ca="1" si="65"/>
        <v>00000000000000000000571307</v>
      </c>
      <c r="G150" s="145">
        <f t="shared" ca="1" si="66"/>
        <v>1</v>
      </c>
      <c r="H150" s="146">
        <f t="shared" si="67"/>
        <v>140</v>
      </c>
      <c r="I150" s="147" t="str">
        <f t="shared" ca="1" si="68"/>
        <v/>
      </c>
      <c r="J150" s="148" t="str">
        <f ca="1">IF(N(I150)&gt;0,VLOOKUP(I150,Hraci!$A$1:$I$1000,2,0),IF(TYPE(INDIRECT(ADDRESS(ROW() + $A$9-9 + (ROW()-11)*4,2,1,1,"Internet")))&gt;1,INDIRECT(ADDRESS(ROW() + $A$9-9 + (ROW()-11)*4,2,1,1,"Internet"))," "))</f>
        <v xml:space="preserve"> </v>
      </c>
      <c r="K150" s="149" t="str">
        <f ca="1">IF(N(I150)&gt;0,VLOOKUP(I150,Hraci!$A$1:$I$1000,3,0)," ")</f>
        <v xml:space="preserve"> </v>
      </c>
      <c r="L150" s="149" t="str">
        <f ca="1">IF(N(I150)&gt;0,VLOOKUP(I150,Hraci!$A$1:$I$1000,5,0),IF(TYPE(INDIRECT(ADDRESS(ROW() + $A$9-9 + (ROW()-11)*4,3,1,1,"Internet")))&gt;1,INDIRECT(ADDRESS(ROW() + $A$9-9 + (ROW()-11)*4,3,1,1,"Internet"))," "))</f>
        <v xml:space="preserve"> </v>
      </c>
      <c r="M150" s="149">
        <f ca="1">IF(N(I150)=0,9999,VLOOKUP(I150,Hraci!$A$1:$I$1000,8,0))</f>
        <v>9999</v>
      </c>
      <c r="N150" s="150">
        <f ca="1">IF(N(I150)=0,0,VLOOKUP(I150,Hraci!$A$1:$I$1000,9,0))</f>
        <v>0</v>
      </c>
      <c r="O150" s="147" t="str">
        <f t="shared" ca="1" si="69"/>
        <v/>
      </c>
      <c r="P150" s="148" t="str">
        <f ca="1">IF(N(O150)&gt;0,VLOOKUP(O150,Hraci!$A$1:$I$1000,2,0),IF(TYPE(INDIRECT(ADDRESS(ROW() + $A$9-8 + (ROW()-11)*4,2,1,1,"Internet")))&gt;1,INDIRECT(ADDRESS(ROW() + $A$9-8 + (ROW()-11)*4,2,1,1,"Internet"))," "))</f>
        <v xml:space="preserve"> </v>
      </c>
      <c r="Q150" s="149" t="str">
        <f ca="1">IF(N(O150)&gt;0,VLOOKUP(O150,Hraci!$A$1:$I$1000,3,0)," ")</f>
        <v xml:space="preserve"> </v>
      </c>
      <c r="R150" s="149" t="str">
        <f ca="1">IF(N(O150)&gt;0,VLOOKUP(O150,Hraci!$A$1:$I$1000,5,0),IF(TYPE(INDIRECT(ADDRESS(ROW() + $A$9-8 + (ROW()-11)*4,3,1,1,"Internet")))&gt;1,INDIRECT(ADDRESS(ROW() + $A$9-8 + (ROW()-11)*4,3,1,1,"Internet"))," "))</f>
        <v xml:space="preserve"> </v>
      </c>
      <c r="S150" s="149">
        <f ca="1">IF(N(O150)=0,9999,VLOOKUP(O150,Hraci!$A$1:$I$1000,8,0))</f>
        <v>9999</v>
      </c>
      <c r="T150" s="150">
        <f ca="1">IF(N(O150)=0,0,VLOOKUP(O150,Hraci!$A$1:$I$1000,9,0))</f>
        <v>0</v>
      </c>
      <c r="U150" s="147" t="str">
        <f t="shared" ca="1" si="70"/>
        <v/>
      </c>
      <c r="V150" s="148" t="str">
        <f ca="1">IF(N(U150)&gt;0,VLOOKUP(U150,Hraci!$A$1:$I$1000,2,0),IF(TYPE(INDIRECT(ADDRESS(ROW() + $A$9-7 + (ROW()-11)*4,2,1,1,"Internet")))&gt;1,INDIRECT(ADDRESS(ROW() + $A$9-7 + (ROW()-11)*4,2,1,1,"Internet"))," "))</f>
        <v xml:space="preserve"> </v>
      </c>
      <c r="W150" s="149" t="str">
        <f ca="1">IF(N(U150)&gt;0,VLOOKUP(U150,Hraci!$A$1:$I$1000,3,0)," ")</f>
        <v xml:space="preserve"> </v>
      </c>
      <c r="X150" s="149" t="str">
        <f ca="1">IF(N(U150)&gt;0,VLOOKUP(U150,Hraci!$A$1:$I$1000,5,0),IF(TYPE(INDIRECT(ADDRESS(ROW() + $A$9-7 + (ROW()-11)*4,3,1,1,"Internet")))&gt;1,INDIRECT(ADDRESS(ROW() + $A$9-7 + (ROW()-11)*4,3,1,1,"Internet"))," "))</f>
        <v xml:space="preserve"> </v>
      </c>
      <c r="Y150" s="149">
        <f ca="1">IF(N(U150)=0,9999,VLOOKUP(U150,Hraci!$A$1:$I$1000,8,0))</f>
        <v>9999</v>
      </c>
      <c r="Z150" s="150">
        <f ca="1">IF(N(U150)=0,0,VLOOKUP(U150,Hraci!$A$1:$I$1000,9,0))</f>
        <v>0</v>
      </c>
      <c r="AA150" s="147" t="str">
        <f t="shared" ca="1" si="71"/>
        <v/>
      </c>
      <c r="AB150" s="148" t="str">
        <f ca="1">IF(N(AA150)&gt;0,VLOOKUP(AA150,Hraci!$A$1:$I$1000,2,0)," ")</f>
        <v xml:space="preserve"> </v>
      </c>
      <c r="AC150" s="149" t="str">
        <f ca="1">IF(N(AA150)&gt;0,VLOOKUP(AA150,Hraci!$A$1:$I$1000,3,0)," ")</f>
        <v xml:space="preserve"> </v>
      </c>
      <c r="AD150" s="149" t="str">
        <f ca="1">IF(N(AA150)&gt;0,VLOOKUP(AA150,Hraci!$A$1:$I$1000,5,0)," ")</f>
        <v xml:space="preserve"> </v>
      </c>
      <c r="AE150" s="149">
        <f ca="1">IF(N(AA150)=0,9999,VLOOKUP(AA150,Hraci!$A$1:$I$1000,8,0))</f>
        <v>9999</v>
      </c>
      <c r="AF150" s="150">
        <f ca="1">IF(N(AA150)=0,0,VLOOKUP(AA150,Hraci!$A$1:$I$1000,9,0))</f>
        <v>0</v>
      </c>
      <c r="AG150" s="147"/>
      <c r="AH150" s="151">
        <f ca="1">IF(TYPE(VLOOKUP(H150,Nasazení!$A$3:$E$130,5,0))&lt;4,VLOOKUP(H150,Nasazení!$A$3:$E$130,5,0),0)</f>
        <v>0</v>
      </c>
      <c r="AI150" s="152" t="str">
        <f ca="1">IF(N($AH150)&gt;0,VLOOKUP($AH150,Body!$A$4:$F$259,5,0),"")</f>
        <v/>
      </c>
      <c r="AJ150" s="153" t="str">
        <f ca="1">IF(N($AH150)&gt;0,VLOOKUP($AH150,Body!$A$4:$F$259,6,0),"")</f>
        <v/>
      </c>
      <c r="AK150" s="152" t="str">
        <f ca="1">IF(N($AH150)&gt;0,VLOOKUP($AH150,Body!$A$4:$F$259,2,0),"")</f>
        <v/>
      </c>
      <c r="AL150" s="154" t="str">
        <f t="shared" ca="1" si="72"/>
        <v/>
      </c>
      <c r="AM150" s="155">
        <f t="shared" ca="1" si="73"/>
        <v>0</v>
      </c>
      <c r="AN150" s="72">
        <f ca="1">IF(OR(TYPE(I150)&gt;1,TYPE(MATCH(I150,I151:I$203,0))&gt;1),0,MATCH(I150,I151:I$203,0))+IF(OR(TYPE(I150)&gt;1,TYPE(MATCH(I150,O$11:O$203,0))&gt;1),0,MATCH(I150,O$11:O$203,0))+IF(OR(TYPE(I150)&gt;1,TYPE(MATCH(I150,U$11:U$203,0))&gt;1),0,MATCH(I150,U$11:U$203,0))+IF(OR(TYPE(I150)&gt;1,TYPE(MATCH(I150,AA$11:AA$203,0))&gt;1),0,MATCH(I150,AA$11:AA$203,0))</f>
        <v>0</v>
      </c>
      <c r="AO150" s="72">
        <f ca="1">IF(OR(TYPE(O150)&gt;1,TYPE(MATCH(O150,I$11:I$203,0))&gt;1),0,MATCH(O150,I$11:I$203,0))+IF(OR(TYPE(O150)&gt;1,TYPE(MATCH(O150,O151:O$203,0))&gt;1),0,MATCH(O150,O151:O$203,0))+IF(OR(TYPE(O150)&gt;1,TYPE(MATCH(O150,U$11:U$203,0))&gt;1),0,MATCH(O150,U$11:U$203,0))+IF(OR(TYPE(O150)&gt;1,TYPE(MATCH(O150,AA$11:AA$203,0))&gt;1),0,MATCH(O150,AA$11:AA$203,0))</f>
        <v>0</v>
      </c>
      <c r="AP150" s="72">
        <f ca="1">IF(OR(TYPE(U150)&gt;1,TYPE(MATCH(U150,I$11:I$203,0))&gt;1),0,MATCH(U150,I$11:I$203,0))+IF(OR(TYPE(U150)&gt;1,TYPE(MATCH(U150,O$11:O$203,0))&gt;1),0,MATCH(U150,O$11:O$203,0))+IF(OR(TYPE(U150)&gt;1,TYPE(MATCH(U150,U151:U$203,0))&gt;1),0,MATCH(U150,U151:U$203,0))+IF(OR(TYPE(U150)&gt;1,TYPE(MATCH(U150,AA$11:AA$203,0))&gt;1),0,MATCH(U150,AA$11:AA$203,0))</f>
        <v>0</v>
      </c>
      <c r="AQ150" s="72">
        <f ca="1">IF(OR(TYPE(AA150)&gt;1,TYPE(MATCH(AA150,I$11:I$203,0))&gt;1),0,MATCH(AA150,I$11:I$203,0))+IF(OR(TYPE(AA150)&gt;1,TYPE(MATCH(AA150,O$11:O$203,0))&gt;1),0,MATCH(AA150,O$11:O$203,0))+IF(OR(TYPE(AA150)&gt;1,TYPE(MATCH(AA150,U$11:U$203,0))&gt;1),0,MATCH(U150,U$11:U$203,0))+IF(OR(TYPE(AA150)&gt;1,TYPE(MATCH(AA150,AA151:AA$203,0))&gt;1),0,MATCH(AA150,AA151:AA$203,0))</f>
        <v>0</v>
      </c>
      <c r="AR150" s="72">
        <f t="shared" ca="1" si="74"/>
        <v>0</v>
      </c>
    </row>
    <row r="151" spans="1:44" ht="14.25">
      <c r="A151" s="103">
        <f t="shared" ca="1" si="60"/>
        <v>0</v>
      </c>
      <c r="B151" s="103">
        <f t="shared" ca="1" si="61"/>
        <v>0</v>
      </c>
      <c r="C151" s="156">
        <f t="shared" ca="1" si="62"/>
        <v>0</v>
      </c>
      <c r="D151" s="103">
        <f t="shared" ca="1" si="63"/>
        <v>99999</v>
      </c>
      <c r="E151" s="103">
        <f t="shared" ca="1" si="64"/>
        <v>9999</v>
      </c>
      <c r="F151" s="104" t="str">
        <f t="shared" ca="1" si="65"/>
        <v>00000000000000000000469856</v>
      </c>
      <c r="G151" s="145">
        <f t="shared" ca="1" si="66"/>
        <v>1</v>
      </c>
      <c r="H151" s="146">
        <f t="shared" si="67"/>
        <v>141</v>
      </c>
      <c r="I151" s="147" t="str">
        <f t="shared" ca="1" si="68"/>
        <v/>
      </c>
      <c r="J151" s="148" t="str">
        <f ca="1">IF(N(I151)&gt;0,VLOOKUP(I151,Hraci!$A$1:$I$1000,2,0),IF(TYPE(INDIRECT(ADDRESS(ROW() + $A$9-9 + (ROW()-11)*4,2,1,1,"Internet")))&gt;1,INDIRECT(ADDRESS(ROW() + $A$9-9 + (ROW()-11)*4,2,1,1,"Internet"))," "))</f>
        <v xml:space="preserve"> </v>
      </c>
      <c r="K151" s="149" t="str">
        <f ca="1">IF(N(I151)&gt;0,VLOOKUP(I151,Hraci!$A$1:$I$1000,3,0)," ")</f>
        <v xml:space="preserve"> </v>
      </c>
      <c r="L151" s="149" t="str">
        <f ca="1">IF(N(I151)&gt;0,VLOOKUP(I151,Hraci!$A$1:$I$1000,5,0),IF(TYPE(INDIRECT(ADDRESS(ROW() + $A$9-9 + (ROW()-11)*4,3,1,1,"Internet")))&gt;1,INDIRECT(ADDRESS(ROW() + $A$9-9 + (ROW()-11)*4,3,1,1,"Internet"))," "))</f>
        <v xml:space="preserve"> </v>
      </c>
      <c r="M151" s="149">
        <f ca="1">IF(N(I151)=0,9999,VLOOKUP(I151,Hraci!$A$1:$I$1000,8,0))</f>
        <v>9999</v>
      </c>
      <c r="N151" s="150">
        <f ca="1">IF(N(I151)=0,0,VLOOKUP(I151,Hraci!$A$1:$I$1000,9,0))</f>
        <v>0</v>
      </c>
      <c r="O151" s="147" t="str">
        <f t="shared" ca="1" si="69"/>
        <v/>
      </c>
      <c r="P151" s="148" t="str">
        <f ca="1">IF(N(O151)&gt;0,VLOOKUP(O151,Hraci!$A$1:$I$1000,2,0),IF(TYPE(INDIRECT(ADDRESS(ROW() + $A$9-8 + (ROW()-11)*4,2,1,1,"Internet")))&gt;1,INDIRECT(ADDRESS(ROW() + $A$9-8 + (ROW()-11)*4,2,1,1,"Internet"))," "))</f>
        <v xml:space="preserve"> </v>
      </c>
      <c r="Q151" s="149" t="str">
        <f ca="1">IF(N(O151)&gt;0,VLOOKUP(O151,Hraci!$A$1:$I$1000,3,0)," ")</f>
        <v xml:space="preserve"> </v>
      </c>
      <c r="R151" s="149" t="str">
        <f ca="1">IF(N(O151)&gt;0,VLOOKUP(O151,Hraci!$A$1:$I$1000,5,0),IF(TYPE(INDIRECT(ADDRESS(ROW() + $A$9-8 + (ROW()-11)*4,3,1,1,"Internet")))&gt;1,INDIRECT(ADDRESS(ROW() + $A$9-8 + (ROW()-11)*4,3,1,1,"Internet"))," "))</f>
        <v xml:space="preserve"> </v>
      </c>
      <c r="S151" s="149">
        <f ca="1">IF(N(O151)=0,9999,VLOOKUP(O151,Hraci!$A$1:$I$1000,8,0))</f>
        <v>9999</v>
      </c>
      <c r="T151" s="150">
        <f ca="1">IF(N(O151)=0,0,VLOOKUP(O151,Hraci!$A$1:$I$1000,9,0))</f>
        <v>0</v>
      </c>
      <c r="U151" s="147" t="str">
        <f t="shared" ca="1" si="70"/>
        <v/>
      </c>
      <c r="V151" s="148" t="str">
        <f ca="1">IF(N(U151)&gt;0,VLOOKUP(U151,Hraci!$A$1:$I$1000,2,0),IF(TYPE(INDIRECT(ADDRESS(ROW() + $A$9-7 + (ROW()-11)*4,2,1,1,"Internet")))&gt;1,INDIRECT(ADDRESS(ROW() + $A$9-7 + (ROW()-11)*4,2,1,1,"Internet"))," "))</f>
        <v xml:space="preserve"> </v>
      </c>
      <c r="W151" s="149" t="str">
        <f ca="1">IF(N(U151)&gt;0,VLOOKUP(U151,Hraci!$A$1:$I$1000,3,0)," ")</f>
        <v xml:space="preserve"> </v>
      </c>
      <c r="X151" s="149" t="str">
        <f ca="1">IF(N(U151)&gt;0,VLOOKUP(U151,Hraci!$A$1:$I$1000,5,0),IF(TYPE(INDIRECT(ADDRESS(ROW() + $A$9-7 + (ROW()-11)*4,3,1,1,"Internet")))&gt;1,INDIRECT(ADDRESS(ROW() + $A$9-7 + (ROW()-11)*4,3,1,1,"Internet"))," "))</f>
        <v xml:space="preserve"> </v>
      </c>
      <c r="Y151" s="149">
        <f ca="1">IF(N(U151)=0,9999,VLOOKUP(U151,Hraci!$A$1:$I$1000,8,0))</f>
        <v>9999</v>
      </c>
      <c r="Z151" s="150">
        <f ca="1">IF(N(U151)=0,0,VLOOKUP(U151,Hraci!$A$1:$I$1000,9,0))</f>
        <v>0</v>
      </c>
      <c r="AA151" s="147" t="str">
        <f t="shared" ca="1" si="71"/>
        <v/>
      </c>
      <c r="AB151" s="148" t="str">
        <f ca="1">IF(N(AA151)&gt;0,VLOOKUP(AA151,Hraci!$A$1:$I$1000,2,0)," ")</f>
        <v xml:space="preserve"> </v>
      </c>
      <c r="AC151" s="149" t="str">
        <f ca="1">IF(N(AA151)&gt;0,VLOOKUP(AA151,Hraci!$A$1:$I$1000,3,0)," ")</f>
        <v xml:space="preserve"> </v>
      </c>
      <c r="AD151" s="149" t="str">
        <f ca="1">IF(N(AA151)&gt;0,VLOOKUP(AA151,Hraci!$A$1:$I$1000,5,0)," ")</f>
        <v xml:space="preserve"> </v>
      </c>
      <c r="AE151" s="149">
        <f ca="1">IF(N(AA151)=0,9999,VLOOKUP(AA151,Hraci!$A$1:$I$1000,8,0))</f>
        <v>9999</v>
      </c>
      <c r="AF151" s="150">
        <f ca="1">IF(N(AA151)=0,0,VLOOKUP(AA151,Hraci!$A$1:$I$1000,9,0))</f>
        <v>0</v>
      </c>
      <c r="AG151" s="147"/>
      <c r="AH151" s="151">
        <f ca="1">IF(TYPE(VLOOKUP(H151,Nasazení!$A$3:$E$130,5,0))&lt;4,VLOOKUP(H151,Nasazení!$A$3:$E$130,5,0),0)</f>
        <v>0</v>
      </c>
      <c r="AI151" s="152" t="str">
        <f ca="1">IF(N($AH151)&gt;0,VLOOKUP($AH151,Body!$A$4:$F$259,5,0),"")</f>
        <v/>
      </c>
      <c r="AJ151" s="153" t="str">
        <f ca="1">IF(N($AH151)&gt;0,VLOOKUP($AH151,Body!$A$4:$F$259,6,0),"")</f>
        <v/>
      </c>
      <c r="AK151" s="152" t="str">
        <f ca="1">IF(N($AH151)&gt;0,VLOOKUP($AH151,Body!$A$4:$F$259,2,0),"")</f>
        <v/>
      </c>
      <c r="AL151" s="154" t="str">
        <f t="shared" ca="1" si="72"/>
        <v/>
      </c>
      <c r="AM151" s="155">
        <f t="shared" ca="1" si="73"/>
        <v>0</v>
      </c>
      <c r="AN151" s="72">
        <f ca="1">IF(OR(TYPE(I151)&gt;1,TYPE(MATCH(I151,I152:I$203,0))&gt;1),0,MATCH(I151,I152:I$203,0))+IF(OR(TYPE(I151)&gt;1,TYPE(MATCH(I151,O$11:O$203,0))&gt;1),0,MATCH(I151,O$11:O$203,0))+IF(OR(TYPE(I151)&gt;1,TYPE(MATCH(I151,U$11:U$203,0))&gt;1),0,MATCH(I151,U$11:U$203,0))+IF(OR(TYPE(I151)&gt;1,TYPE(MATCH(I151,AA$11:AA$203,0))&gt;1),0,MATCH(I151,AA$11:AA$203,0))</f>
        <v>0</v>
      </c>
      <c r="AO151" s="72">
        <f ca="1">IF(OR(TYPE(O151)&gt;1,TYPE(MATCH(O151,I$11:I$203,0))&gt;1),0,MATCH(O151,I$11:I$203,0))+IF(OR(TYPE(O151)&gt;1,TYPE(MATCH(O151,O152:O$203,0))&gt;1),0,MATCH(O151,O152:O$203,0))+IF(OR(TYPE(O151)&gt;1,TYPE(MATCH(O151,U$11:U$203,0))&gt;1),0,MATCH(O151,U$11:U$203,0))+IF(OR(TYPE(O151)&gt;1,TYPE(MATCH(O151,AA$11:AA$203,0))&gt;1),0,MATCH(O151,AA$11:AA$203,0))</f>
        <v>0</v>
      </c>
      <c r="AP151" s="72">
        <f ca="1">IF(OR(TYPE(U151)&gt;1,TYPE(MATCH(U151,I$11:I$203,0))&gt;1),0,MATCH(U151,I$11:I$203,0))+IF(OR(TYPE(U151)&gt;1,TYPE(MATCH(U151,O$11:O$203,0))&gt;1),0,MATCH(U151,O$11:O$203,0))+IF(OR(TYPE(U151)&gt;1,TYPE(MATCH(U151,U152:U$203,0))&gt;1),0,MATCH(U151,U152:U$203,0))+IF(OR(TYPE(U151)&gt;1,TYPE(MATCH(U151,AA$11:AA$203,0))&gt;1),0,MATCH(U151,AA$11:AA$203,0))</f>
        <v>0</v>
      </c>
      <c r="AQ151" s="72">
        <f ca="1">IF(OR(TYPE(AA151)&gt;1,TYPE(MATCH(AA151,I$11:I$203,0))&gt;1),0,MATCH(AA151,I$11:I$203,0))+IF(OR(TYPE(AA151)&gt;1,TYPE(MATCH(AA151,O$11:O$203,0))&gt;1),0,MATCH(AA151,O$11:O$203,0))+IF(OR(TYPE(AA151)&gt;1,TYPE(MATCH(AA151,U$11:U$203,0))&gt;1),0,MATCH(U151,U$11:U$203,0))+IF(OR(TYPE(AA151)&gt;1,TYPE(MATCH(AA151,AA152:AA$203,0))&gt;1),0,MATCH(AA151,AA152:AA$203,0))</f>
        <v>0</v>
      </c>
      <c r="AR151" s="72">
        <f t="shared" ca="1" si="74"/>
        <v>0</v>
      </c>
    </row>
    <row r="152" spans="1:44" ht="14.25">
      <c r="A152" s="103">
        <f t="shared" ca="1" si="60"/>
        <v>0</v>
      </c>
      <c r="B152" s="103">
        <f t="shared" ca="1" si="61"/>
        <v>0</v>
      </c>
      <c r="C152" s="156">
        <f t="shared" ca="1" si="62"/>
        <v>0</v>
      </c>
      <c r="D152" s="103">
        <f t="shared" ca="1" si="63"/>
        <v>99999</v>
      </c>
      <c r="E152" s="103">
        <f t="shared" ca="1" si="64"/>
        <v>9999</v>
      </c>
      <c r="F152" s="104" t="str">
        <f t="shared" ca="1" si="65"/>
        <v>00000000000000000000347331</v>
      </c>
      <c r="G152" s="145">
        <f t="shared" ca="1" si="66"/>
        <v>1</v>
      </c>
      <c r="H152" s="146">
        <f t="shared" si="67"/>
        <v>142</v>
      </c>
      <c r="I152" s="147" t="str">
        <f t="shared" ca="1" si="68"/>
        <v/>
      </c>
      <c r="J152" s="148" t="str">
        <f ca="1">IF(N(I152)&gt;0,VLOOKUP(I152,Hraci!$A$1:$I$1000,2,0),IF(TYPE(INDIRECT(ADDRESS(ROW() + $A$9-9 + (ROW()-11)*4,2,1,1,"Internet")))&gt;1,INDIRECT(ADDRESS(ROW() + $A$9-9 + (ROW()-11)*4,2,1,1,"Internet"))," "))</f>
        <v xml:space="preserve"> </v>
      </c>
      <c r="K152" s="149" t="str">
        <f ca="1">IF(N(I152)&gt;0,VLOOKUP(I152,Hraci!$A$1:$I$1000,3,0)," ")</f>
        <v xml:space="preserve"> </v>
      </c>
      <c r="L152" s="149" t="str">
        <f ca="1">IF(N(I152)&gt;0,VLOOKUP(I152,Hraci!$A$1:$I$1000,5,0),IF(TYPE(INDIRECT(ADDRESS(ROW() + $A$9-9 + (ROW()-11)*4,3,1,1,"Internet")))&gt;1,INDIRECT(ADDRESS(ROW() + $A$9-9 + (ROW()-11)*4,3,1,1,"Internet"))," "))</f>
        <v xml:space="preserve"> </v>
      </c>
      <c r="M152" s="149">
        <f ca="1">IF(N(I152)=0,9999,VLOOKUP(I152,Hraci!$A$1:$I$1000,8,0))</f>
        <v>9999</v>
      </c>
      <c r="N152" s="150">
        <f ca="1">IF(N(I152)=0,0,VLOOKUP(I152,Hraci!$A$1:$I$1000,9,0))</f>
        <v>0</v>
      </c>
      <c r="O152" s="147" t="str">
        <f t="shared" ca="1" si="69"/>
        <v/>
      </c>
      <c r="P152" s="148" t="str">
        <f ca="1">IF(N(O152)&gt;0,VLOOKUP(O152,Hraci!$A$1:$I$1000,2,0),IF(TYPE(INDIRECT(ADDRESS(ROW() + $A$9-8 + (ROW()-11)*4,2,1,1,"Internet")))&gt;1,INDIRECT(ADDRESS(ROW() + $A$9-8 + (ROW()-11)*4,2,1,1,"Internet"))," "))</f>
        <v xml:space="preserve"> </v>
      </c>
      <c r="Q152" s="149" t="str">
        <f ca="1">IF(N(O152)&gt;0,VLOOKUP(O152,Hraci!$A$1:$I$1000,3,0)," ")</f>
        <v xml:space="preserve"> </v>
      </c>
      <c r="R152" s="149" t="str">
        <f ca="1">IF(N(O152)&gt;0,VLOOKUP(O152,Hraci!$A$1:$I$1000,5,0),IF(TYPE(INDIRECT(ADDRESS(ROW() + $A$9-8 + (ROW()-11)*4,3,1,1,"Internet")))&gt;1,INDIRECT(ADDRESS(ROW() + $A$9-8 + (ROW()-11)*4,3,1,1,"Internet"))," "))</f>
        <v xml:space="preserve"> </v>
      </c>
      <c r="S152" s="149">
        <f ca="1">IF(N(O152)=0,9999,VLOOKUP(O152,Hraci!$A$1:$I$1000,8,0))</f>
        <v>9999</v>
      </c>
      <c r="T152" s="150">
        <f ca="1">IF(N(O152)=0,0,VLOOKUP(O152,Hraci!$A$1:$I$1000,9,0))</f>
        <v>0</v>
      </c>
      <c r="U152" s="147" t="str">
        <f t="shared" ca="1" si="70"/>
        <v/>
      </c>
      <c r="V152" s="148" t="str">
        <f ca="1">IF(N(U152)&gt;0,VLOOKUP(U152,Hraci!$A$1:$I$1000,2,0),IF(TYPE(INDIRECT(ADDRESS(ROW() + $A$9-7 + (ROW()-11)*4,2,1,1,"Internet")))&gt;1,INDIRECT(ADDRESS(ROW() + $A$9-7 + (ROW()-11)*4,2,1,1,"Internet"))," "))</f>
        <v xml:space="preserve"> </v>
      </c>
      <c r="W152" s="149" t="str">
        <f ca="1">IF(N(U152)&gt;0,VLOOKUP(U152,Hraci!$A$1:$I$1000,3,0)," ")</f>
        <v xml:space="preserve"> </v>
      </c>
      <c r="X152" s="149" t="str">
        <f ca="1">IF(N(U152)&gt;0,VLOOKUP(U152,Hraci!$A$1:$I$1000,5,0),IF(TYPE(INDIRECT(ADDRESS(ROW() + $A$9-7 + (ROW()-11)*4,3,1,1,"Internet")))&gt;1,INDIRECT(ADDRESS(ROW() + $A$9-7 + (ROW()-11)*4,3,1,1,"Internet"))," "))</f>
        <v xml:space="preserve"> </v>
      </c>
      <c r="Y152" s="149">
        <f ca="1">IF(N(U152)=0,9999,VLOOKUP(U152,Hraci!$A$1:$I$1000,8,0))</f>
        <v>9999</v>
      </c>
      <c r="Z152" s="150">
        <f ca="1">IF(N(U152)=0,0,VLOOKUP(U152,Hraci!$A$1:$I$1000,9,0))</f>
        <v>0</v>
      </c>
      <c r="AA152" s="147" t="str">
        <f t="shared" ca="1" si="71"/>
        <v/>
      </c>
      <c r="AB152" s="148" t="str">
        <f ca="1">IF(N(AA152)&gt;0,VLOOKUP(AA152,Hraci!$A$1:$I$1000,2,0)," ")</f>
        <v xml:space="preserve"> </v>
      </c>
      <c r="AC152" s="149" t="str">
        <f ca="1">IF(N(AA152)&gt;0,VLOOKUP(AA152,Hraci!$A$1:$I$1000,3,0)," ")</f>
        <v xml:space="preserve"> </v>
      </c>
      <c r="AD152" s="149" t="str">
        <f ca="1">IF(N(AA152)&gt;0,VLOOKUP(AA152,Hraci!$A$1:$I$1000,5,0)," ")</f>
        <v xml:space="preserve"> </v>
      </c>
      <c r="AE152" s="149">
        <f ca="1">IF(N(AA152)=0,9999,VLOOKUP(AA152,Hraci!$A$1:$I$1000,8,0))</f>
        <v>9999</v>
      </c>
      <c r="AF152" s="150">
        <f ca="1">IF(N(AA152)=0,0,VLOOKUP(AA152,Hraci!$A$1:$I$1000,9,0))</f>
        <v>0</v>
      </c>
      <c r="AG152" s="147"/>
      <c r="AH152" s="151">
        <f ca="1">IF(TYPE(VLOOKUP(H152,Nasazení!$A$3:$E$130,5,0))&lt;4,VLOOKUP(H152,Nasazení!$A$3:$E$130,5,0),0)</f>
        <v>0</v>
      </c>
      <c r="AI152" s="152" t="str">
        <f ca="1">IF(N($AH152)&gt;0,VLOOKUP($AH152,Body!$A$4:$F$259,5,0),"")</f>
        <v/>
      </c>
      <c r="AJ152" s="153" t="str">
        <f ca="1">IF(N($AH152)&gt;0,VLOOKUP($AH152,Body!$A$4:$F$259,6,0),"")</f>
        <v/>
      </c>
      <c r="AK152" s="152" t="str">
        <f ca="1">IF(N($AH152)&gt;0,VLOOKUP($AH152,Body!$A$4:$F$259,2,0),"")</f>
        <v/>
      </c>
      <c r="AL152" s="154" t="str">
        <f t="shared" ca="1" si="72"/>
        <v/>
      </c>
      <c r="AM152" s="155">
        <f t="shared" ca="1" si="73"/>
        <v>0</v>
      </c>
      <c r="AN152" s="72">
        <f ca="1">IF(OR(TYPE(I152)&gt;1,TYPE(MATCH(I152,I153:I$203,0))&gt;1),0,MATCH(I152,I153:I$203,0))+IF(OR(TYPE(I152)&gt;1,TYPE(MATCH(I152,O$11:O$203,0))&gt;1),0,MATCH(I152,O$11:O$203,0))+IF(OR(TYPE(I152)&gt;1,TYPE(MATCH(I152,U$11:U$203,0))&gt;1),0,MATCH(I152,U$11:U$203,0))+IF(OR(TYPE(I152)&gt;1,TYPE(MATCH(I152,AA$11:AA$203,0))&gt;1),0,MATCH(I152,AA$11:AA$203,0))</f>
        <v>0</v>
      </c>
      <c r="AO152" s="72">
        <f ca="1">IF(OR(TYPE(O152)&gt;1,TYPE(MATCH(O152,I$11:I$203,0))&gt;1),0,MATCH(O152,I$11:I$203,0))+IF(OR(TYPE(O152)&gt;1,TYPE(MATCH(O152,O153:O$203,0))&gt;1),0,MATCH(O152,O153:O$203,0))+IF(OR(TYPE(O152)&gt;1,TYPE(MATCH(O152,U$11:U$203,0))&gt;1),0,MATCH(O152,U$11:U$203,0))+IF(OR(TYPE(O152)&gt;1,TYPE(MATCH(O152,AA$11:AA$203,0))&gt;1),0,MATCH(O152,AA$11:AA$203,0))</f>
        <v>0</v>
      </c>
      <c r="AP152" s="72">
        <f ca="1">IF(OR(TYPE(U152)&gt;1,TYPE(MATCH(U152,I$11:I$203,0))&gt;1),0,MATCH(U152,I$11:I$203,0))+IF(OR(TYPE(U152)&gt;1,TYPE(MATCH(U152,O$11:O$203,0))&gt;1),0,MATCH(U152,O$11:O$203,0))+IF(OR(TYPE(U152)&gt;1,TYPE(MATCH(U152,U153:U$203,0))&gt;1),0,MATCH(U152,U153:U$203,0))+IF(OR(TYPE(U152)&gt;1,TYPE(MATCH(U152,AA$11:AA$203,0))&gt;1),0,MATCH(U152,AA$11:AA$203,0))</f>
        <v>0</v>
      </c>
      <c r="AQ152" s="72">
        <f ca="1">IF(OR(TYPE(AA152)&gt;1,TYPE(MATCH(AA152,I$11:I$203,0))&gt;1),0,MATCH(AA152,I$11:I$203,0))+IF(OR(TYPE(AA152)&gt;1,TYPE(MATCH(AA152,O$11:O$203,0))&gt;1),0,MATCH(AA152,O$11:O$203,0))+IF(OR(TYPE(AA152)&gt;1,TYPE(MATCH(AA152,U$11:U$203,0))&gt;1),0,MATCH(U152,U$11:U$203,0))+IF(OR(TYPE(AA152)&gt;1,TYPE(MATCH(AA152,AA153:AA$203,0))&gt;1),0,MATCH(AA152,AA153:AA$203,0))</f>
        <v>0</v>
      </c>
      <c r="AR152" s="72">
        <f t="shared" ca="1" si="74"/>
        <v>0</v>
      </c>
    </row>
    <row r="153" spans="1:44" ht="14.25">
      <c r="A153" s="103">
        <f t="shared" ca="1" si="60"/>
        <v>0</v>
      </c>
      <c r="B153" s="103">
        <f t="shared" ca="1" si="61"/>
        <v>0</v>
      </c>
      <c r="C153" s="156">
        <f t="shared" ca="1" si="62"/>
        <v>0</v>
      </c>
      <c r="D153" s="103">
        <f t="shared" ca="1" si="63"/>
        <v>99999</v>
      </c>
      <c r="E153" s="103">
        <f t="shared" ca="1" si="64"/>
        <v>9999</v>
      </c>
      <c r="F153" s="104" t="str">
        <f t="shared" ca="1" si="65"/>
        <v>00000000000000000000823720</v>
      </c>
      <c r="G153" s="145">
        <f t="shared" ca="1" si="66"/>
        <v>1</v>
      </c>
      <c r="H153" s="146">
        <f t="shared" si="67"/>
        <v>143</v>
      </c>
      <c r="I153" s="147" t="str">
        <f t="shared" ca="1" si="68"/>
        <v/>
      </c>
      <c r="J153" s="148" t="str">
        <f ca="1">IF(N(I153)&gt;0,VLOOKUP(I153,Hraci!$A$1:$I$1000,2,0),IF(TYPE(INDIRECT(ADDRESS(ROW() + $A$9-9 + (ROW()-11)*4,2,1,1,"Internet")))&gt;1,INDIRECT(ADDRESS(ROW() + $A$9-9 + (ROW()-11)*4,2,1,1,"Internet"))," "))</f>
        <v xml:space="preserve"> </v>
      </c>
      <c r="K153" s="149" t="str">
        <f ca="1">IF(N(I153)&gt;0,VLOOKUP(I153,Hraci!$A$1:$I$1000,3,0)," ")</f>
        <v xml:space="preserve"> </v>
      </c>
      <c r="L153" s="149" t="str">
        <f ca="1">IF(N(I153)&gt;0,VLOOKUP(I153,Hraci!$A$1:$I$1000,5,0),IF(TYPE(INDIRECT(ADDRESS(ROW() + $A$9-9 + (ROW()-11)*4,3,1,1,"Internet")))&gt;1,INDIRECT(ADDRESS(ROW() + $A$9-9 + (ROW()-11)*4,3,1,1,"Internet"))," "))</f>
        <v xml:space="preserve"> </v>
      </c>
      <c r="M153" s="149">
        <f ca="1">IF(N(I153)=0,9999,VLOOKUP(I153,Hraci!$A$1:$I$1000,8,0))</f>
        <v>9999</v>
      </c>
      <c r="N153" s="150">
        <f ca="1">IF(N(I153)=0,0,VLOOKUP(I153,Hraci!$A$1:$I$1000,9,0))</f>
        <v>0</v>
      </c>
      <c r="O153" s="147" t="str">
        <f t="shared" ca="1" si="69"/>
        <v/>
      </c>
      <c r="P153" s="148" t="str">
        <f ca="1">IF(N(O153)&gt;0,VLOOKUP(O153,Hraci!$A$1:$I$1000,2,0),IF(TYPE(INDIRECT(ADDRESS(ROW() + $A$9-8 + (ROW()-11)*4,2,1,1,"Internet")))&gt;1,INDIRECT(ADDRESS(ROW() + $A$9-8 + (ROW()-11)*4,2,1,1,"Internet"))," "))</f>
        <v xml:space="preserve"> </v>
      </c>
      <c r="Q153" s="149" t="str">
        <f ca="1">IF(N(O153)&gt;0,VLOOKUP(O153,Hraci!$A$1:$I$1000,3,0)," ")</f>
        <v xml:space="preserve"> </v>
      </c>
      <c r="R153" s="149" t="str">
        <f ca="1">IF(N(O153)&gt;0,VLOOKUP(O153,Hraci!$A$1:$I$1000,5,0),IF(TYPE(INDIRECT(ADDRESS(ROW() + $A$9-8 + (ROW()-11)*4,3,1,1,"Internet")))&gt;1,INDIRECT(ADDRESS(ROW() + $A$9-8 + (ROW()-11)*4,3,1,1,"Internet"))," "))</f>
        <v xml:space="preserve"> </v>
      </c>
      <c r="S153" s="149">
        <f ca="1">IF(N(O153)=0,9999,VLOOKUP(O153,Hraci!$A$1:$I$1000,8,0))</f>
        <v>9999</v>
      </c>
      <c r="T153" s="150">
        <f ca="1">IF(N(O153)=0,0,VLOOKUP(O153,Hraci!$A$1:$I$1000,9,0))</f>
        <v>0</v>
      </c>
      <c r="U153" s="147" t="str">
        <f t="shared" ca="1" si="70"/>
        <v/>
      </c>
      <c r="V153" s="148" t="str">
        <f ca="1">IF(N(U153)&gt;0,VLOOKUP(U153,Hraci!$A$1:$I$1000,2,0),IF(TYPE(INDIRECT(ADDRESS(ROW() + $A$9-7 + (ROW()-11)*4,2,1,1,"Internet")))&gt;1,INDIRECT(ADDRESS(ROW() + $A$9-7 + (ROW()-11)*4,2,1,1,"Internet"))," "))</f>
        <v xml:space="preserve"> </v>
      </c>
      <c r="W153" s="149" t="str">
        <f ca="1">IF(N(U153)&gt;0,VLOOKUP(U153,Hraci!$A$1:$I$1000,3,0)," ")</f>
        <v xml:space="preserve"> </v>
      </c>
      <c r="X153" s="149" t="str">
        <f ca="1">IF(N(U153)&gt;0,VLOOKUP(U153,Hraci!$A$1:$I$1000,5,0),IF(TYPE(INDIRECT(ADDRESS(ROW() + $A$9-7 + (ROW()-11)*4,3,1,1,"Internet")))&gt;1,INDIRECT(ADDRESS(ROW() + $A$9-7 + (ROW()-11)*4,3,1,1,"Internet"))," "))</f>
        <v xml:space="preserve"> </v>
      </c>
      <c r="Y153" s="149">
        <f ca="1">IF(N(U153)=0,9999,VLOOKUP(U153,Hraci!$A$1:$I$1000,8,0))</f>
        <v>9999</v>
      </c>
      <c r="Z153" s="150">
        <f ca="1">IF(N(U153)=0,0,VLOOKUP(U153,Hraci!$A$1:$I$1000,9,0))</f>
        <v>0</v>
      </c>
      <c r="AA153" s="147" t="str">
        <f t="shared" ca="1" si="71"/>
        <v/>
      </c>
      <c r="AB153" s="148" t="str">
        <f ca="1">IF(N(AA153)&gt;0,VLOOKUP(AA153,Hraci!$A$1:$I$1000,2,0)," ")</f>
        <v xml:space="preserve"> </v>
      </c>
      <c r="AC153" s="149" t="str">
        <f ca="1">IF(N(AA153)&gt;0,VLOOKUP(AA153,Hraci!$A$1:$I$1000,3,0)," ")</f>
        <v xml:space="preserve"> </v>
      </c>
      <c r="AD153" s="149" t="str">
        <f ca="1">IF(N(AA153)&gt;0,VLOOKUP(AA153,Hraci!$A$1:$I$1000,5,0)," ")</f>
        <v xml:space="preserve"> </v>
      </c>
      <c r="AE153" s="149">
        <f ca="1">IF(N(AA153)=0,9999,VLOOKUP(AA153,Hraci!$A$1:$I$1000,8,0))</f>
        <v>9999</v>
      </c>
      <c r="AF153" s="150">
        <f ca="1">IF(N(AA153)=0,0,VLOOKUP(AA153,Hraci!$A$1:$I$1000,9,0))</f>
        <v>0</v>
      </c>
      <c r="AG153" s="147"/>
      <c r="AH153" s="151">
        <f ca="1">IF(TYPE(VLOOKUP(H153,Nasazení!$A$3:$E$130,5,0))&lt;4,VLOOKUP(H153,Nasazení!$A$3:$E$130,5,0),0)</f>
        <v>0</v>
      </c>
      <c r="AI153" s="152" t="str">
        <f ca="1">IF(N($AH153)&gt;0,VLOOKUP($AH153,Body!$A$4:$F$259,5,0),"")</f>
        <v/>
      </c>
      <c r="AJ153" s="153" t="str">
        <f ca="1">IF(N($AH153)&gt;0,VLOOKUP($AH153,Body!$A$4:$F$259,6,0),"")</f>
        <v/>
      </c>
      <c r="AK153" s="152" t="str">
        <f ca="1">IF(N($AH153)&gt;0,VLOOKUP($AH153,Body!$A$4:$F$259,2,0),"")</f>
        <v/>
      </c>
      <c r="AL153" s="154" t="str">
        <f t="shared" ca="1" si="72"/>
        <v/>
      </c>
      <c r="AM153" s="155">
        <f t="shared" ca="1" si="73"/>
        <v>0</v>
      </c>
      <c r="AN153" s="72">
        <f ca="1">IF(OR(TYPE(I153)&gt;1,TYPE(MATCH(I153,I154:I$203,0))&gt;1),0,MATCH(I153,I154:I$203,0))+IF(OR(TYPE(I153)&gt;1,TYPE(MATCH(I153,O$11:O$203,0))&gt;1),0,MATCH(I153,O$11:O$203,0))+IF(OR(TYPE(I153)&gt;1,TYPE(MATCH(I153,U$11:U$203,0))&gt;1),0,MATCH(I153,U$11:U$203,0))+IF(OR(TYPE(I153)&gt;1,TYPE(MATCH(I153,AA$11:AA$203,0))&gt;1),0,MATCH(I153,AA$11:AA$203,0))</f>
        <v>0</v>
      </c>
      <c r="AO153" s="72">
        <f ca="1">IF(OR(TYPE(O153)&gt;1,TYPE(MATCH(O153,I$11:I$203,0))&gt;1),0,MATCH(O153,I$11:I$203,0))+IF(OR(TYPE(O153)&gt;1,TYPE(MATCH(O153,O154:O$203,0))&gt;1),0,MATCH(O153,O154:O$203,0))+IF(OR(TYPE(O153)&gt;1,TYPE(MATCH(O153,U$11:U$203,0))&gt;1),0,MATCH(O153,U$11:U$203,0))+IF(OR(TYPE(O153)&gt;1,TYPE(MATCH(O153,AA$11:AA$203,0))&gt;1),0,MATCH(O153,AA$11:AA$203,0))</f>
        <v>0</v>
      </c>
      <c r="AP153" s="72">
        <f ca="1">IF(OR(TYPE(U153)&gt;1,TYPE(MATCH(U153,I$11:I$203,0))&gt;1),0,MATCH(U153,I$11:I$203,0))+IF(OR(TYPE(U153)&gt;1,TYPE(MATCH(U153,O$11:O$203,0))&gt;1),0,MATCH(U153,O$11:O$203,0))+IF(OR(TYPE(U153)&gt;1,TYPE(MATCH(U153,U154:U$203,0))&gt;1),0,MATCH(U153,U154:U$203,0))+IF(OR(TYPE(U153)&gt;1,TYPE(MATCH(U153,AA$11:AA$203,0))&gt;1),0,MATCH(U153,AA$11:AA$203,0))</f>
        <v>0</v>
      </c>
      <c r="AQ153" s="72">
        <f ca="1">IF(OR(TYPE(AA153)&gt;1,TYPE(MATCH(AA153,I$11:I$203,0))&gt;1),0,MATCH(AA153,I$11:I$203,0))+IF(OR(TYPE(AA153)&gt;1,TYPE(MATCH(AA153,O$11:O$203,0))&gt;1),0,MATCH(AA153,O$11:O$203,0))+IF(OR(TYPE(AA153)&gt;1,TYPE(MATCH(AA153,U$11:U$203,0))&gt;1),0,MATCH(U153,U$11:U$203,0))+IF(OR(TYPE(AA153)&gt;1,TYPE(MATCH(AA153,AA154:AA$203,0))&gt;1),0,MATCH(AA153,AA154:AA$203,0))</f>
        <v>0</v>
      </c>
      <c r="AR153" s="72">
        <f t="shared" ca="1" si="74"/>
        <v>0</v>
      </c>
    </row>
    <row r="154" spans="1:44" ht="14.25">
      <c r="A154" s="103">
        <f t="shared" ca="1" si="60"/>
        <v>0</v>
      </c>
      <c r="B154" s="103">
        <f t="shared" ca="1" si="61"/>
        <v>0</v>
      </c>
      <c r="C154" s="156">
        <f t="shared" ca="1" si="62"/>
        <v>0</v>
      </c>
      <c r="D154" s="103">
        <f t="shared" ca="1" si="63"/>
        <v>99999</v>
      </c>
      <c r="E154" s="103">
        <f t="shared" ca="1" si="64"/>
        <v>9999</v>
      </c>
      <c r="F154" s="104" t="str">
        <f t="shared" ca="1" si="65"/>
        <v>00000000000000000000381806</v>
      </c>
      <c r="G154" s="145">
        <f t="shared" ca="1" si="66"/>
        <v>1</v>
      </c>
      <c r="H154" s="146">
        <f t="shared" si="67"/>
        <v>144</v>
      </c>
      <c r="I154" s="147" t="str">
        <f t="shared" ca="1" si="68"/>
        <v/>
      </c>
      <c r="J154" s="148" t="str">
        <f ca="1">IF(N(I154)&gt;0,VLOOKUP(I154,Hraci!$A$1:$I$1000,2,0),IF(TYPE(INDIRECT(ADDRESS(ROW() + $A$9-9 + (ROW()-11)*4,2,1,1,"Internet")))&gt;1,INDIRECT(ADDRESS(ROW() + $A$9-9 + (ROW()-11)*4,2,1,1,"Internet"))," "))</f>
        <v xml:space="preserve"> </v>
      </c>
      <c r="K154" s="149" t="str">
        <f ca="1">IF(N(I154)&gt;0,VLOOKUP(I154,Hraci!$A$1:$I$1000,3,0)," ")</f>
        <v xml:space="preserve"> </v>
      </c>
      <c r="L154" s="149" t="str">
        <f ca="1">IF(N(I154)&gt;0,VLOOKUP(I154,Hraci!$A$1:$I$1000,5,0),IF(TYPE(INDIRECT(ADDRESS(ROW() + $A$9-9 + (ROW()-11)*4,3,1,1,"Internet")))&gt;1,INDIRECT(ADDRESS(ROW() + $A$9-9 + (ROW()-11)*4,3,1,1,"Internet"))," "))</f>
        <v xml:space="preserve"> </v>
      </c>
      <c r="M154" s="149">
        <f ca="1">IF(N(I154)=0,9999,VLOOKUP(I154,Hraci!$A$1:$I$1000,8,0))</f>
        <v>9999</v>
      </c>
      <c r="N154" s="150">
        <f ca="1">IF(N(I154)=0,0,VLOOKUP(I154,Hraci!$A$1:$I$1000,9,0))</f>
        <v>0</v>
      </c>
      <c r="O154" s="147" t="str">
        <f t="shared" ca="1" si="69"/>
        <v/>
      </c>
      <c r="P154" s="148" t="str">
        <f ca="1">IF(N(O154)&gt;0,VLOOKUP(O154,Hraci!$A$1:$I$1000,2,0),IF(TYPE(INDIRECT(ADDRESS(ROW() + $A$9-8 + (ROW()-11)*4,2,1,1,"Internet")))&gt;1,INDIRECT(ADDRESS(ROW() + $A$9-8 + (ROW()-11)*4,2,1,1,"Internet"))," "))</f>
        <v xml:space="preserve"> </v>
      </c>
      <c r="Q154" s="149" t="str">
        <f ca="1">IF(N(O154)&gt;0,VLOOKUP(O154,Hraci!$A$1:$I$1000,3,0)," ")</f>
        <v xml:space="preserve"> </v>
      </c>
      <c r="R154" s="149" t="str">
        <f ca="1">IF(N(O154)&gt;0,VLOOKUP(O154,Hraci!$A$1:$I$1000,5,0),IF(TYPE(INDIRECT(ADDRESS(ROW() + $A$9-8 + (ROW()-11)*4,3,1,1,"Internet")))&gt;1,INDIRECT(ADDRESS(ROW() + $A$9-8 + (ROW()-11)*4,3,1,1,"Internet"))," "))</f>
        <v xml:space="preserve"> </v>
      </c>
      <c r="S154" s="149">
        <f ca="1">IF(N(O154)=0,9999,VLOOKUP(O154,Hraci!$A$1:$I$1000,8,0))</f>
        <v>9999</v>
      </c>
      <c r="T154" s="150">
        <f ca="1">IF(N(O154)=0,0,VLOOKUP(O154,Hraci!$A$1:$I$1000,9,0))</f>
        <v>0</v>
      </c>
      <c r="U154" s="147" t="str">
        <f t="shared" ca="1" si="70"/>
        <v/>
      </c>
      <c r="V154" s="148" t="str">
        <f ca="1">IF(N(U154)&gt;0,VLOOKUP(U154,Hraci!$A$1:$I$1000,2,0),IF(TYPE(INDIRECT(ADDRESS(ROW() + $A$9-7 + (ROW()-11)*4,2,1,1,"Internet")))&gt;1,INDIRECT(ADDRESS(ROW() + $A$9-7 + (ROW()-11)*4,2,1,1,"Internet"))," "))</f>
        <v xml:space="preserve"> </v>
      </c>
      <c r="W154" s="149" t="str">
        <f ca="1">IF(N(U154)&gt;0,VLOOKUP(U154,Hraci!$A$1:$I$1000,3,0)," ")</f>
        <v xml:space="preserve"> </v>
      </c>
      <c r="X154" s="149" t="str">
        <f ca="1">IF(N(U154)&gt;0,VLOOKUP(U154,Hraci!$A$1:$I$1000,5,0),IF(TYPE(INDIRECT(ADDRESS(ROW() + $A$9-7 + (ROW()-11)*4,3,1,1,"Internet")))&gt;1,INDIRECT(ADDRESS(ROW() + $A$9-7 + (ROW()-11)*4,3,1,1,"Internet"))," "))</f>
        <v xml:space="preserve"> </v>
      </c>
      <c r="Y154" s="149">
        <f ca="1">IF(N(U154)=0,9999,VLOOKUP(U154,Hraci!$A$1:$I$1000,8,0))</f>
        <v>9999</v>
      </c>
      <c r="Z154" s="150">
        <f ca="1">IF(N(U154)=0,0,VLOOKUP(U154,Hraci!$A$1:$I$1000,9,0))</f>
        <v>0</v>
      </c>
      <c r="AA154" s="147" t="str">
        <f t="shared" ca="1" si="71"/>
        <v/>
      </c>
      <c r="AB154" s="148" t="str">
        <f ca="1">IF(N(AA154)&gt;0,VLOOKUP(AA154,Hraci!$A$1:$I$1000,2,0)," ")</f>
        <v xml:space="preserve"> </v>
      </c>
      <c r="AC154" s="149" t="str">
        <f ca="1">IF(N(AA154)&gt;0,VLOOKUP(AA154,Hraci!$A$1:$I$1000,3,0)," ")</f>
        <v xml:space="preserve"> </v>
      </c>
      <c r="AD154" s="149" t="str">
        <f ca="1">IF(N(AA154)&gt;0,VLOOKUP(AA154,Hraci!$A$1:$I$1000,5,0)," ")</f>
        <v xml:space="preserve"> </v>
      </c>
      <c r="AE154" s="149">
        <f ca="1">IF(N(AA154)=0,9999,VLOOKUP(AA154,Hraci!$A$1:$I$1000,8,0))</f>
        <v>9999</v>
      </c>
      <c r="AF154" s="150">
        <f ca="1">IF(N(AA154)=0,0,VLOOKUP(AA154,Hraci!$A$1:$I$1000,9,0))</f>
        <v>0</v>
      </c>
      <c r="AG154" s="147"/>
      <c r="AH154" s="151">
        <f ca="1">IF(TYPE(VLOOKUP(H154,Nasazení!$A$3:$E$130,5,0))&lt;4,VLOOKUP(H154,Nasazení!$A$3:$E$130,5,0),0)</f>
        <v>0</v>
      </c>
      <c r="AI154" s="152" t="str">
        <f ca="1">IF(N($AH154)&gt;0,VLOOKUP($AH154,Body!$A$4:$F$259,5,0),"")</f>
        <v/>
      </c>
      <c r="AJ154" s="153" t="str">
        <f ca="1">IF(N($AH154)&gt;0,VLOOKUP($AH154,Body!$A$4:$F$259,6,0),"")</f>
        <v/>
      </c>
      <c r="AK154" s="152" t="str">
        <f ca="1">IF(N($AH154)&gt;0,VLOOKUP($AH154,Body!$A$4:$F$259,2,0),"")</f>
        <v/>
      </c>
      <c r="AL154" s="154" t="str">
        <f t="shared" ca="1" si="72"/>
        <v/>
      </c>
      <c r="AM154" s="155">
        <f t="shared" ca="1" si="73"/>
        <v>0</v>
      </c>
      <c r="AN154" s="72">
        <f ca="1">IF(OR(TYPE(I154)&gt;1,TYPE(MATCH(I154,I155:I$203,0))&gt;1),0,MATCH(I154,I155:I$203,0))+IF(OR(TYPE(I154)&gt;1,TYPE(MATCH(I154,O$11:O$203,0))&gt;1),0,MATCH(I154,O$11:O$203,0))+IF(OR(TYPE(I154)&gt;1,TYPE(MATCH(I154,U$11:U$203,0))&gt;1),0,MATCH(I154,U$11:U$203,0))+IF(OR(TYPE(I154)&gt;1,TYPE(MATCH(I154,AA$11:AA$203,0))&gt;1),0,MATCH(I154,AA$11:AA$203,0))</f>
        <v>0</v>
      </c>
      <c r="AO154" s="72">
        <f ca="1">IF(OR(TYPE(O154)&gt;1,TYPE(MATCH(O154,I$11:I$203,0))&gt;1),0,MATCH(O154,I$11:I$203,0))+IF(OR(TYPE(O154)&gt;1,TYPE(MATCH(O154,O155:O$203,0))&gt;1),0,MATCH(O154,O155:O$203,0))+IF(OR(TYPE(O154)&gt;1,TYPE(MATCH(O154,U$11:U$203,0))&gt;1),0,MATCH(O154,U$11:U$203,0))+IF(OR(TYPE(O154)&gt;1,TYPE(MATCH(O154,AA$11:AA$203,0))&gt;1),0,MATCH(O154,AA$11:AA$203,0))</f>
        <v>0</v>
      </c>
      <c r="AP154" s="72">
        <f ca="1">IF(OR(TYPE(U154)&gt;1,TYPE(MATCH(U154,I$11:I$203,0))&gt;1),0,MATCH(U154,I$11:I$203,0))+IF(OR(TYPE(U154)&gt;1,TYPE(MATCH(U154,O$11:O$203,0))&gt;1),0,MATCH(U154,O$11:O$203,0))+IF(OR(TYPE(U154)&gt;1,TYPE(MATCH(U154,U155:U$203,0))&gt;1),0,MATCH(U154,U155:U$203,0))+IF(OR(TYPE(U154)&gt;1,TYPE(MATCH(U154,AA$11:AA$203,0))&gt;1),0,MATCH(U154,AA$11:AA$203,0))</f>
        <v>0</v>
      </c>
      <c r="AQ154" s="72">
        <f ca="1">IF(OR(TYPE(AA154)&gt;1,TYPE(MATCH(AA154,I$11:I$203,0))&gt;1),0,MATCH(AA154,I$11:I$203,0))+IF(OR(TYPE(AA154)&gt;1,TYPE(MATCH(AA154,O$11:O$203,0))&gt;1),0,MATCH(AA154,O$11:O$203,0))+IF(OR(TYPE(AA154)&gt;1,TYPE(MATCH(AA154,U$11:U$203,0))&gt;1),0,MATCH(U154,U$11:U$203,0))+IF(OR(TYPE(AA154)&gt;1,TYPE(MATCH(AA154,AA155:AA$203,0))&gt;1),0,MATCH(AA154,AA155:AA$203,0))</f>
        <v>0</v>
      </c>
      <c r="AR154" s="72">
        <f t="shared" ca="1" si="74"/>
        <v>0</v>
      </c>
    </row>
    <row r="155" spans="1:44" ht="14.25">
      <c r="A155" s="103">
        <f t="shared" ca="1" si="60"/>
        <v>0</v>
      </c>
      <c r="B155" s="103">
        <f t="shared" ca="1" si="61"/>
        <v>0</v>
      </c>
      <c r="C155" s="156">
        <f t="shared" ca="1" si="62"/>
        <v>0</v>
      </c>
      <c r="D155" s="103">
        <f t="shared" ca="1" si="63"/>
        <v>99999</v>
      </c>
      <c r="E155" s="103">
        <f t="shared" ca="1" si="64"/>
        <v>9999</v>
      </c>
      <c r="F155" s="104" t="str">
        <f t="shared" ca="1" si="65"/>
        <v>00000000000000000000029908</v>
      </c>
      <c r="G155" s="145">
        <f t="shared" ca="1" si="66"/>
        <v>1</v>
      </c>
      <c r="H155" s="146">
        <f t="shared" si="67"/>
        <v>145</v>
      </c>
      <c r="I155" s="147" t="str">
        <f t="shared" ca="1" si="68"/>
        <v/>
      </c>
      <c r="J155" s="148" t="str">
        <f ca="1">IF(N(I155)&gt;0,VLOOKUP(I155,Hraci!$A$1:$I$1000,2,0),IF(TYPE(INDIRECT(ADDRESS(ROW() + $A$9-9 + (ROW()-11)*4,2,1,1,"Internet")))&gt;1,INDIRECT(ADDRESS(ROW() + $A$9-9 + (ROW()-11)*4,2,1,1,"Internet"))," "))</f>
        <v xml:space="preserve"> </v>
      </c>
      <c r="K155" s="149" t="str">
        <f ca="1">IF(N(I155)&gt;0,VLOOKUP(I155,Hraci!$A$1:$I$1000,3,0)," ")</f>
        <v xml:space="preserve"> </v>
      </c>
      <c r="L155" s="149" t="str">
        <f ca="1">IF(N(I155)&gt;0,VLOOKUP(I155,Hraci!$A$1:$I$1000,5,0),IF(TYPE(INDIRECT(ADDRESS(ROW() + $A$9-9 + (ROW()-11)*4,3,1,1,"Internet")))&gt;1,INDIRECT(ADDRESS(ROW() + $A$9-9 + (ROW()-11)*4,3,1,1,"Internet"))," "))</f>
        <v xml:space="preserve"> </v>
      </c>
      <c r="M155" s="149">
        <f ca="1">IF(N(I155)=0,9999,VLOOKUP(I155,Hraci!$A$1:$I$1000,8,0))</f>
        <v>9999</v>
      </c>
      <c r="N155" s="150">
        <f ca="1">IF(N(I155)=0,0,VLOOKUP(I155,Hraci!$A$1:$I$1000,9,0))</f>
        <v>0</v>
      </c>
      <c r="O155" s="147" t="str">
        <f t="shared" ca="1" si="69"/>
        <v/>
      </c>
      <c r="P155" s="148" t="str">
        <f ca="1">IF(N(O155)&gt;0,VLOOKUP(O155,Hraci!$A$1:$I$1000,2,0),IF(TYPE(INDIRECT(ADDRESS(ROW() + $A$9-8 + (ROW()-11)*4,2,1,1,"Internet")))&gt;1,INDIRECT(ADDRESS(ROW() + $A$9-8 + (ROW()-11)*4,2,1,1,"Internet"))," "))</f>
        <v xml:space="preserve"> </v>
      </c>
      <c r="Q155" s="149" t="str">
        <f ca="1">IF(N(O155)&gt;0,VLOOKUP(O155,Hraci!$A$1:$I$1000,3,0)," ")</f>
        <v xml:space="preserve"> </v>
      </c>
      <c r="R155" s="149" t="str">
        <f ca="1">IF(N(O155)&gt;0,VLOOKUP(O155,Hraci!$A$1:$I$1000,5,0),IF(TYPE(INDIRECT(ADDRESS(ROW() + $A$9-8 + (ROW()-11)*4,3,1,1,"Internet")))&gt;1,INDIRECT(ADDRESS(ROW() + $A$9-8 + (ROW()-11)*4,3,1,1,"Internet"))," "))</f>
        <v xml:space="preserve"> </v>
      </c>
      <c r="S155" s="149">
        <f ca="1">IF(N(O155)=0,9999,VLOOKUP(O155,Hraci!$A$1:$I$1000,8,0))</f>
        <v>9999</v>
      </c>
      <c r="T155" s="150">
        <f ca="1">IF(N(O155)=0,0,VLOOKUP(O155,Hraci!$A$1:$I$1000,9,0))</f>
        <v>0</v>
      </c>
      <c r="U155" s="147" t="str">
        <f t="shared" ca="1" si="70"/>
        <v/>
      </c>
      <c r="V155" s="148" t="str">
        <f ca="1">IF(N(U155)&gt;0,VLOOKUP(U155,Hraci!$A$1:$I$1000,2,0),IF(TYPE(INDIRECT(ADDRESS(ROW() + $A$9-7 + (ROW()-11)*4,2,1,1,"Internet")))&gt;1,INDIRECT(ADDRESS(ROW() + $A$9-7 + (ROW()-11)*4,2,1,1,"Internet"))," "))</f>
        <v xml:space="preserve"> </v>
      </c>
      <c r="W155" s="149" t="str">
        <f ca="1">IF(N(U155)&gt;0,VLOOKUP(U155,Hraci!$A$1:$I$1000,3,0)," ")</f>
        <v xml:space="preserve"> </v>
      </c>
      <c r="X155" s="149" t="str">
        <f ca="1">IF(N(U155)&gt;0,VLOOKUP(U155,Hraci!$A$1:$I$1000,5,0),IF(TYPE(INDIRECT(ADDRESS(ROW() + $A$9-7 + (ROW()-11)*4,3,1,1,"Internet")))&gt;1,INDIRECT(ADDRESS(ROW() + $A$9-7 + (ROW()-11)*4,3,1,1,"Internet"))," "))</f>
        <v xml:space="preserve"> </v>
      </c>
      <c r="Y155" s="149">
        <f ca="1">IF(N(U155)=0,9999,VLOOKUP(U155,Hraci!$A$1:$I$1000,8,0))</f>
        <v>9999</v>
      </c>
      <c r="Z155" s="150">
        <f ca="1">IF(N(U155)=0,0,VLOOKUP(U155,Hraci!$A$1:$I$1000,9,0))</f>
        <v>0</v>
      </c>
      <c r="AA155" s="147" t="str">
        <f t="shared" ca="1" si="71"/>
        <v/>
      </c>
      <c r="AB155" s="148" t="str">
        <f ca="1">IF(N(AA155)&gt;0,VLOOKUP(AA155,Hraci!$A$1:$I$1000,2,0)," ")</f>
        <v xml:space="preserve"> </v>
      </c>
      <c r="AC155" s="149" t="str">
        <f ca="1">IF(N(AA155)&gt;0,VLOOKUP(AA155,Hraci!$A$1:$I$1000,3,0)," ")</f>
        <v xml:space="preserve"> </v>
      </c>
      <c r="AD155" s="149" t="str">
        <f ca="1">IF(N(AA155)&gt;0,VLOOKUP(AA155,Hraci!$A$1:$I$1000,5,0)," ")</f>
        <v xml:space="preserve"> </v>
      </c>
      <c r="AE155" s="149">
        <f ca="1">IF(N(AA155)=0,9999,VLOOKUP(AA155,Hraci!$A$1:$I$1000,8,0))</f>
        <v>9999</v>
      </c>
      <c r="AF155" s="150">
        <f ca="1">IF(N(AA155)=0,0,VLOOKUP(AA155,Hraci!$A$1:$I$1000,9,0))</f>
        <v>0</v>
      </c>
      <c r="AG155" s="147"/>
      <c r="AH155" s="151">
        <f ca="1">IF(TYPE(VLOOKUP(H155,Nasazení!$A$3:$E$130,5,0))&lt;4,VLOOKUP(H155,Nasazení!$A$3:$E$130,5,0),0)</f>
        <v>0</v>
      </c>
      <c r="AI155" s="152" t="str">
        <f ca="1">IF(N($AH155)&gt;0,VLOOKUP($AH155,Body!$A$4:$F$259,5,0),"")</f>
        <v/>
      </c>
      <c r="AJ155" s="153" t="str">
        <f ca="1">IF(N($AH155)&gt;0,VLOOKUP($AH155,Body!$A$4:$F$259,6,0),"")</f>
        <v/>
      </c>
      <c r="AK155" s="152" t="str">
        <f ca="1">IF(N($AH155)&gt;0,VLOOKUP($AH155,Body!$A$4:$F$259,2,0),"")</f>
        <v/>
      </c>
      <c r="AL155" s="154" t="str">
        <f t="shared" ca="1" si="72"/>
        <v/>
      </c>
      <c r="AM155" s="155">
        <f t="shared" ca="1" si="73"/>
        <v>0</v>
      </c>
      <c r="AN155" s="72">
        <f ca="1">IF(OR(TYPE(I155)&gt;1,TYPE(MATCH(I155,I156:I$203,0))&gt;1),0,MATCH(I155,I156:I$203,0))+IF(OR(TYPE(I155)&gt;1,TYPE(MATCH(I155,O$11:O$203,0))&gt;1),0,MATCH(I155,O$11:O$203,0))+IF(OR(TYPE(I155)&gt;1,TYPE(MATCH(I155,U$11:U$203,0))&gt;1),0,MATCH(I155,U$11:U$203,0))+IF(OR(TYPE(I155)&gt;1,TYPE(MATCH(I155,AA$11:AA$203,0))&gt;1),0,MATCH(I155,AA$11:AA$203,0))</f>
        <v>0</v>
      </c>
      <c r="AO155" s="72">
        <f ca="1">IF(OR(TYPE(O155)&gt;1,TYPE(MATCH(O155,I$11:I$203,0))&gt;1),0,MATCH(O155,I$11:I$203,0))+IF(OR(TYPE(O155)&gt;1,TYPE(MATCH(O155,O156:O$203,0))&gt;1),0,MATCH(O155,O156:O$203,0))+IF(OR(TYPE(O155)&gt;1,TYPE(MATCH(O155,U$11:U$203,0))&gt;1),0,MATCH(O155,U$11:U$203,0))+IF(OR(TYPE(O155)&gt;1,TYPE(MATCH(O155,AA$11:AA$203,0))&gt;1),0,MATCH(O155,AA$11:AA$203,0))</f>
        <v>0</v>
      </c>
      <c r="AP155" s="72">
        <f ca="1">IF(OR(TYPE(U155)&gt;1,TYPE(MATCH(U155,I$11:I$203,0))&gt;1),0,MATCH(U155,I$11:I$203,0))+IF(OR(TYPE(U155)&gt;1,TYPE(MATCH(U155,O$11:O$203,0))&gt;1),0,MATCH(U155,O$11:O$203,0))+IF(OR(TYPE(U155)&gt;1,TYPE(MATCH(U155,U156:U$203,0))&gt;1),0,MATCH(U155,U156:U$203,0))+IF(OR(TYPE(U155)&gt;1,TYPE(MATCH(U155,AA$11:AA$203,0))&gt;1),0,MATCH(U155,AA$11:AA$203,0))</f>
        <v>0</v>
      </c>
      <c r="AQ155" s="72">
        <f ca="1">IF(OR(TYPE(AA155)&gt;1,TYPE(MATCH(AA155,I$11:I$203,0))&gt;1),0,MATCH(AA155,I$11:I$203,0))+IF(OR(TYPE(AA155)&gt;1,TYPE(MATCH(AA155,O$11:O$203,0))&gt;1),0,MATCH(AA155,O$11:O$203,0))+IF(OR(TYPE(AA155)&gt;1,TYPE(MATCH(AA155,U$11:U$203,0))&gt;1),0,MATCH(U155,U$11:U$203,0))+IF(OR(TYPE(AA155)&gt;1,TYPE(MATCH(AA155,AA156:AA$203,0))&gt;1),0,MATCH(AA155,AA156:AA$203,0))</f>
        <v>0</v>
      </c>
      <c r="AR155" s="72">
        <f t="shared" ca="1" si="74"/>
        <v>0</v>
      </c>
    </row>
    <row r="156" spans="1:44" ht="14.25">
      <c r="A156" s="103">
        <f t="shared" ca="1" si="60"/>
        <v>0</v>
      </c>
      <c r="B156" s="103">
        <f t="shared" ca="1" si="61"/>
        <v>0</v>
      </c>
      <c r="C156" s="156">
        <f t="shared" ca="1" si="62"/>
        <v>0</v>
      </c>
      <c r="D156" s="103">
        <f t="shared" ca="1" si="63"/>
        <v>99999</v>
      </c>
      <c r="E156" s="103">
        <f t="shared" ca="1" si="64"/>
        <v>9999</v>
      </c>
      <c r="F156" s="104" t="str">
        <f t="shared" ca="1" si="65"/>
        <v>00000000000000000000841673</v>
      </c>
      <c r="G156" s="145">
        <f t="shared" ca="1" si="66"/>
        <v>1</v>
      </c>
      <c r="H156" s="146">
        <f t="shared" si="67"/>
        <v>146</v>
      </c>
      <c r="I156" s="147" t="str">
        <f t="shared" ca="1" si="68"/>
        <v/>
      </c>
      <c r="J156" s="148" t="str">
        <f ca="1">IF(N(I156)&gt;0,VLOOKUP(I156,Hraci!$A$1:$I$1000,2,0),IF(TYPE(INDIRECT(ADDRESS(ROW() + $A$9-9 + (ROW()-11)*4,2,1,1,"Internet")))&gt;1,INDIRECT(ADDRESS(ROW() + $A$9-9 + (ROW()-11)*4,2,1,1,"Internet"))," "))</f>
        <v xml:space="preserve"> </v>
      </c>
      <c r="K156" s="149" t="str">
        <f ca="1">IF(N(I156)&gt;0,VLOOKUP(I156,Hraci!$A$1:$I$1000,3,0)," ")</f>
        <v xml:space="preserve"> </v>
      </c>
      <c r="L156" s="149" t="str">
        <f ca="1">IF(N(I156)&gt;0,VLOOKUP(I156,Hraci!$A$1:$I$1000,5,0),IF(TYPE(INDIRECT(ADDRESS(ROW() + $A$9-9 + (ROW()-11)*4,3,1,1,"Internet")))&gt;1,INDIRECT(ADDRESS(ROW() + $A$9-9 + (ROW()-11)*4,3,1,1,"Internet"))," "))</f>
        <v xml:space="preserve"> </v>
      </c>
      <c r="M156" s="149">
        <f ca="1">IF(N(I156)=0,9999,VLOOKUP(I156,Hraci!$A$1:$I$1000,8,0))</f>
        <v>9999</v>
      </c>
      <c r="N156" s="150">
        <f ca="1">IF(N(I156)=0,0,VLOOKUP(I156,Hraci!$A$1:$I$1000,9,0))</f>
        <v>0</v>
      </c>
      <c r="O156" s="147" t="str">
        <f t="shared" ca="1" si="69"/>
        <v/>
      </c>
      <c r="P156" s="148" t="str">
        <f ca="1">IF(N(O156)&gt;0,VLOOKUP(O156,Hraci!$A$1:$I$1000,2,0),IF(TYPE(INDIRECT(ADDRESS(ROW() + $A$9-8 + (ROW()-11)*4,2,1,1,"Internet")))&gt;1,INDIRECT(ADDRESS(ROW() + $A$9-8 + (ROW()-11)*4,2,1,1,"Internet"))," "))</f>
        <v xml:space="preserve"> </v>
      </c>
      <c r="Q156" s="149" t="str">
        <f ca="1">IF(N(O156)&gt;0,VLOOKUP(O156,Hraci!$A$1:$I$1000,3,0)," ")</f>
        <v xml:space="preserve"> </v>
      </c>
      <c r="R156" s="149" t="str">
        <f ca="1">IF(N(O156)&gt;0,VLOOKUP(O156,Hraci!$A$1:$I$1000,5,0),IF(TYPE(INDIRECT(ADDRESS(ROW() + $A$9-8 + (ROW()-11)*4,3,1,1,"Internet")))&gt;1,INDIRECT(ADDRESS(ROW() + $A$9-8 + (ROW()-11)*4,3,1,1,"Internet"))," "))</f>
        <v xml:space="preserve"> </v>
      </c>
      <c r="S156" s="149">
        <f ca="1">IF(N(O156)=0,9999,VLOOKUP(O156,Hraci!$A$1:$I$1000,8,0))</f>
        <v>9999</v>
      </c>
      <c r="T156" s="150">
        <f ca="1">IF(N(O156)=0,0,VLOOKUP(O156,Hraci!$A$1:$I$1000,9,0))</f>
        <v>0</v>
      </c>
      <c r="U156" s="147" t="str">
        <f t="shared" ca="1" si="70"/>
        <v/>
      </c>
      <c r="V156" s="148" t="str">
        <f ca="1">IF(N(U156)&gt;0,VLOOKUP(U156,Hraci!$A$1:$I$1000,2,0),IF(TYPE(INDIRECT(ADDRESS(ROW() + $A$9-7 + (ROW()-11)*4,2,1,1,"Internet")))&gt;1,INDIRECT(ADDRESS(ROW() + $A$9-7 + (ROW()-11)*4,2,1,1,"Internet"))," "))</f>
        <v xml:space="preserve"> </v>
      </c>
      <c r="W156" s="149" t="str">
        <f ca="1">IF(N(U156)&gt;0,VLOOKUP(U156,Hraci!$A$1:$I$1000,3,0)," ")</f>
        <v xml:space="preserve"> </v>
      </c>
      <c r="X156" s="149" t="str">
        <f ca="1">IF(N(U156)&gt;0,VLOOKUP(U156,Hraci!$A$1:$I$1000,5,0),IF(TYPE(INDIRECT(ADDRESS(ROW() + $A$9-7 + (ROW()-11)*4,3,1,1,"Internet")))&gt;1,INDIRECT(ADDRESS(ROW() + $A$9-7 + (ROW()-11)*4,3,1,1,"Internet"))," "))</f>
        <v xml:space="preserve"> </v>
      </c>
      <c r="Y156" s="149">
        <f ca="1">IF(N(U156)=0,9999,VLOOKUP(U156,Hraci!$A$1:$I$1000,8,0))</f>
        <v>9999</v>
      </c>
      <c r="Z156" s="150">
        <f ca="1">IF(N(U156)=0,0,VLOOKUP(U156,Hraci!$A$1:$I$1000,9,0))</f>
        <v>0</v>
      </c>
      <c r="AA156" s="147" t="str">
        <f t="shared" ca="1" si="71"/>
        <v/>
      </c>
      <c r="AB156" s="148" t="str">
        <f ca="1">IF(N(AA156)&gt;0,VLOOKUP(AA156,Hraci!$A$1:$I$1000,2,0)," ")</f>
        <v xml:space="preserve"> </v>
      </c>
      <c r="AC156" s="149" t="str">
        <f ca="1">IF(N(AA156)&gt;0,VLOOKUP(AA156,Hraci!$A$1:$I$1000,3,0)," ")</f>
        <v xml:space="preserve"> </v>
      </c>
      <c r="AD156" s="149" t="str">
        <f ca="1">IF(N(AA156)&gt;0,VLOOKUP(AA156,Hraci!$A$1:$I$1000,5,0)," ")</f>
        <v xml:space="preserve"> </v>
      </c>
      <c r="AE156" s="149">
        <f ca="1">IF(N(AA156)=0,9999,VLOOKUP(AA156,Hraci!$A$1:$I$1000,8,0))</f>
        <v>9999</v>
      </c>
      <c r="AF156" s="150">
        <f ca="1">IF(N(AA156)=0,0,VLOOKUP(AA156,Hraci!$A$1:$I$1000,9,0))</f>
        <v>0</v>
      </c>
      <c r="AG156" s="147"/>
      <c r="AH156" s="151">
        <f ca="1">IF(TYPE(VLOOKUP(H156,Nasazení!$A$3:$E$130,5,0))&lt;4,VLOOKUP(H156,Nasazení!$A$3:$E$130,5,0),0)</f>
        <v>0</v>
      </c>
      <c r="AI156" s="152" t="str">
        <f ca="1">IF(N($AH156)&gt;0,VLOOKUP($AH156,Body!$A$4:$F$259,5,0),"")</f>
        <v/>
      </c>
      <c r="AJ156" s="153" t="str">
        <f ca="1">IF(N($AH156)&gt;0,VLOOKUP($AH156,Body!$A$4:$F$259,6,0),"")</f>
        <v/>
      </c>
      <c r="AK156" s="152" t="str">
        <f ca="1">IF(N($AH156)&gt;0,VLOOKUP($AH156,Body!$A$4:$F$259,2,0),"")</f>
        <v/>
      </c>
      <c r="AL156" s="154" t="str">
        <f t="shared" ca="1" si="72"/>
        <v/>
      </c>
      <c r="AM156" s="155">
        <f t="shared" ca="1" si="73"/>
        <v>0</v>
      </c>
      <c r="AN156" s="72">
        <f ca="1">IF(OR(TYPE(I156)&gt;1,TYPE(MATCH(I156,I157:I$203,0))&gt;1),0,MATCH(I156,I157:I$203,0))+IF(OR(TYPE(I156)&gt;1,TYPE(MATCH(I156,O$11:O$203,0))&gt;1),0,MATCH(I156,O$11:O$203,0))+IF(OR(TYPE(I156)&gt;1,TYPE(MATCH(I156,U$11:U$203,0))&gt;1),0,MATCH(I156,U$11:U$203,0))+IF(OR(TYPE(I156)&gt;1,TYPE(MATCH(I156,AA$11:AA$203,0))&gt;1),0,MATCH(I156,AA$11:AA$203,0))</f>
        <v>0</v>
      </c>
      <c r="AO156" s="72">
        <f ca="1">IF(OR(TYPE(O156)&gt;1,TYPE(MATCH(O156,I$11:I$203,0))&gt;1),0,MATCH(O156,I$11:I$203,0))+IF(OR(TYPE(O156)&gt;1,TYPE(MATCH(O156,O157:O$203,0))&gt;1),0,MATCH(O156,O157:O$203,0))+IF(OR(TYPE(O156)&gt;1,TYPE(MATCH(O156,U$11:U$203,0))&gt;1),0,MATCH(O156,U$11:U$203,0))+IF(OR(TYPE(O156)&gt;1,TYPE(MATCH(O156,AA$11:AA$203,0))&gt;1),0,MATCH(O156,AA$11:AA$203,0))</f>
        <v>0</v>
      </c>
      <c r="AP156" s="72">
        <f ca="1">IF(OR(TYPE(U156)&gt;1,TYPE(MATCH(U156,I$11:I$203,0))&gt;1),0,MATCH(U156,I$11:I$203,0))+IF(OR(TYPE(U156)&gt;1,TYPE(MATCH(U156,O$11:O$203,0))&gt;1),0,MATCH(U156,O$11:O$203,0))+IF(OR(TYPE(U156)&gt;1,TYPE(MATCH(U156,U157:U$203,0))&gt;1),0,MATCH(U156,U157:U$203,0))+IF(OR(TYPE(U156)&gt;1,TYPE(MATCH(U156,AA$11:AA$203,0))&gt;1),0,MATCH(U156,AA$11:AA$203,0))</f>
        <v>0</v>
      </c>
      <c r="AQ156" s="72">
        <f ca="1">IF(OR(TYPE(AA156)&gt;1,TYPE(MATCH(AA156,I$11:I$203,0))&gt;1),0,MATCH(AA156,I$11:I$203,0))+IF(OR(TYPE(AA156)&gt;1,TYPE(MATCH(AA156,O$11:O$203,0))&gt;1),0,MATCH(AA156,O$11:O$203,0))+IF(OR(TYPE(AA156)&gt;1,TYPE(MATCH(AA156,U$11:U$203,0))&gt;1),0,MATCH(U156,U$11:U$203,0))+IF(OR(TYPE(AA156)&gt;1,TYPE(MATCH(AA156,AA157:AA$203,0))&gt;1),0,MATCH(AA156,AA157:AA$203,0))</f>
        <v>0</v>
      </c>
      <c r="AR156" s="72">
        <f t="shared" ca="1" si="74"/>
        <v>0</v>
      </c>
    </row>
    <row r="157" spans="1:44" ht="14.25">
      <c r="A157" s="103">
        <f t="shared" ca="1" si="60"/>
        <v>0</v>
      </c>
      <c r="B157" s="103">
        <f t="shared" ca="1" si="61"/>
        <v>0</v>
      </c>
      <c r="C157" s="156">
        <f t="shared" ca="1" si="62"/>
        <v>0</v>
      </c>
      <c r="D157" s="103">
        <f t="shared" ca="1" si="63"/>
        <v>99999</v>
      </c>
      <c r="E157" s="103">
        <f t="shared" ca="1" si="64"/>
        <v>9999</v>
      </c>
      <c r="F157" s="104" t="str">
        <f t="shared" ca="1" si="65"/>
        <v>00000000000000000000685434</v>
      </c>
      <c r="G157" s="145">
        <f t="shared" ca="1" si="66"/>
        <v>1</v>
      </c>
      <c r="H157" s="146">
        <f t="shared" si="67"/>
        <v>147</v>
      </c>
      <c r="I157" s="147" t="str">
        <f t="shared" ca="1" si="68"/>
        <v/>
      </c>
      <c r="J157" s="148" t="str">
        <f ca="1">IF(N(I157)&gt;0,VLOOKUP(I157,Hraci!$A$1:$I$1000,2,0),IF(TYPE(INDIRECT(ADDRESS(ROW() + $A$9-9 + (ROW()-11)*4,2,1,1,"Internet")))&gt;1,INDIRECT(ADDRESS(ROW() + $A$9-9 + (ROW()-11)*4,2,1,1,"Internet"))," "))</f>
        <v xml:space="preserve"> </v>
      </c>
      <c r="K157" s="149" t="str">
        <f ca="1">IF(N(I157)&gt;0,VLOOKUP(I157,Hraci!$A$1:$I$1000,3,0)," ")</f>
        <v xml:space="preserve"> </v>
      </c>
      <c r="L157" s="149" t="str">
        <f ca="1">IF(N(I157)&gt;0,VLOOKUP(I157,Hraci!$A$1:$I$1000,5,0),IF(TYPE(INDIRECT(ADDRESS(ROW() + $A$9-9 + (ROW()-11)*4,3,1,1,"Internet")))&gt;1,INDIRECT(ADDRESS(ROW() + $A$9-9 + (ROW()-11)*4,3,1,1,"Internet"))," "))</f>
        <v xml:space="preserve"> </v>
      </c>
      <c r="M157" s="149">
        <f ca="1">IF(N(I157)=0,9999,VLOOKUP(I157,Hraci!$A$1:$I$1000,8,0))</f>
        <v>9999</v>
      </c>
      <c r="N157" s="150">
        <f ca="1">IF(N(I157)=0,0,VLOOKUP(I157,Hraci!$A$1:$I$1000,9,0))</f>
        <v>0</v>
      </c>
      <c r="O157" s="147" t="str">
        <f t="shared" ca="1" si="69"/>
        <v/>
      </c>
      <c r="P157" s="148" t="str">
        <f ca="1">IF(N(O157)&gt;0,VLOOKUP(O157,Hraci!$A$1:$I$1000,2,0),IF(TYPE(INDIRECT(ADDRESS(ROW() + $A$9-8 + (ROW()-11)*4,2,1,1,"Internet")))&gt;1,INDIRECT(ADDRESS(ROW() + $A$9-8 + (ROW()-11)*4,2,1,1,"Internet"))," "))</f>
        <v xml:space="preserve"> </v>
      </c>
      <c r="Q157" s="149" t="str">
        <f ca="1">IF(N(O157)&gt;0,VLOOKUP(O157,Hraci!$A$1:$I$1000,3,0)," ")</f>
        <v xml:space="preserve"> </v>
      </c>
      <c r="R157" s="149" t="str">
        <f ca="1">IF(N(O157)&gt;0,VLOOKUP(O157,Hraci!$A$1:$I$1000,5,0),IF(TYPE(INDIRECT(ADDRESS(ROW() + $A$9-8 + (ROW()-11)*4,3,1,1,"Internet")))&gt;1,INDIRECT(ADDRESS(ROW() + $A$9-8 + (ROW()-11)*4,3,1,1,"Internet"))," "))</f>
        <v xml:space="preserve"> </v>
      </c>
      <c r="S157" s="149">
        <f ca="1">IF(N(O157)=0,9999,VLOOKUP(O157,Hraci!$A$1:$I$1000,8,0))</f>
        <v>9999</v>
      </c>
      <c r="T157" s="150">
        <f ca="1">IF(N(O157)=0,0,VLOOKUP(O157,Hraci!$A$1:$I$1000,9,0))</f>
        <v>0</v>
      </c>
      <c r="U157" s="147" t="str">
        <f t="shared" ca="1" si="70"/>
        <v/>
      </c>
      <c r="V157" s="148" t="str">
        <f ca="1">IF(N(U157)&gt;0,VLOOKUP(U157,Hraci!$A$1:$I$1000,2,0),IF(TYPE(INDIRECT(ADDRESS(ROW() + $A$9-7 + (ROW()-11)*4,2,1,1,"Internet")))&gt;1,INDIRECT(ADDRESS(ROW() + $A$9-7 + (ROW()-11)*4,2,1,1,"Internet"))," "))</f>
        <v xml:space="preserve"> </v>
      </c>
      <c r="W157" s="149" t="str">
        <f ca="1">IF(N(U157)&gt;0,VLOOKUP(U157,Hraci!$A$1:$I$1000,3,0)," ")</f>
        <v xml:space="preserve"> </v>
      </c>
      <c r="X157" s="149" t="str">
        <f ca="1">IF(N(U157)&gt;0,VLOOKUP(U157,Hraci!$A$1:$I$1000,5,0),IF(TYPE(INDIRECT(ADDRESS(ROW() + $A$9-7 + (ROW()-11)*4,3,1,1,"Internet")))&gt;1,INDIRECT(ADDRESS(ROW() + $A$9-7 + (ROW()-11)*4,3,1,1,"Internet"))," "))</f>
        <v xml:space="preserve"> </v>
      </c>
      <c r="Y157" s="149">
        <f ca="1">IF(N(U157)=0,9999,VLOOKUP(U157,Hraci!$A$1:$I$1000,8,0))</f>
        <v>9999</v>
      </c>
      <c r="Z157" s="150">
        <f ca="1">IF(N(U157)=0,0,VLOOKUP(U157,Hraci!$A$1:$I$1000,9,0))</f>
        <v>0</v>
      </c>
      <c r="AA157" s="147" t="str">
        <f t="shared" ca="1" si="71"/>
        <v/>
      </c>
      <c r="AB157" s="148" t="str">
        <f ca="1">IF(N(AA157)&gt;0,VLOOKUP(AA157,Hraci!$A$1:$I$1000,2,0)," ")</f>
        <v xml:space="preserve"> </v>
      </c>
      <c r="AC157" s="149" t="str">
        <f ca="1">IF(N(AA157)&gt;0,VLOOKUP(AA157,Hraci!$A$1:$I$1000,3,0)," ")</f>
        <v xml:space="preserve"> </v>
      </c>
      <c r="AD157" s="149" t="str">
        <f ca="1">IF(N(AA157)&gt;0,VLOOKUP(AA157,Hraci!$A$1:$I$1000,5,0)," ")</f>
        <v xml:space="preserve"> </v>
      </c>
      <c r="AE157" s="149">
        <f ca="1">IF(N(AA157)=0,9999,VLOOKUP(AA157,Hraci!$A$1:$I$1000,8,0))</f>
        <v>9999</v>
      </c>
      <c r="AF157" s="150">
        <f ca="1">IF(N(AA157)=0,0,VLOOKUP(AA157,Hraci!$A$1:$I$1000,9,0))</f>
        <v>0</v>
      </c>
      <c r="AG157" s="147"/>
      <c r="AH157" s="151">
        <f ca="1">IF(TYPE(VLOOKUP(H157,Nasazení!$A$3:$E$130,5,0))&lt;4,VLOOKUP(H157,Nasazení!$A$3:$E$130,5,0),0)</f>
        <v>0</v>
      </c>
      <c r="AI157" s="152" t="str">
        <f ca="1">IF(N($AH157)&gt;0,VLOOKUP($AH157,Body!$A$4:$F$259,5,0),"")</f>
        <v/>
      </c>
      <c r="AJ157" s="153" t="str">
        <f ca="1">IF(N($AH157)&gt;0,VLOOKUP($AH157,Body!$A$4:$F$259,6,0),"")</f>
        <v/>
      </c>
      <c r="AK157" s="152" t="str">
        <f ca="1">IF(N($AH157)&gt;0,VLOOKUP($AH157,Body!$A$4:$F$259,2,0),"")</f>
        <v/>
      </c>
      <c r="AL157" s="154" t="str">
        <f t="shared" ca="1" si="72"/>
        <v/>
      </c>
      <c r="AM157" s="155">
        <f t="shared" ca="1" si="73"/>
        <v>0</v>
      </c>
      <c r="AN157" s="72">
        <f ca="1">IF(OR(TYPE(I157)&gt;1,TYPE(MATCH(I157,I158:I$203,0))&gt;1),0,MATCH(I157,I158:I$203,0))+IF(OR(TYPE(I157)&gt;1,TYPE(MATCH(I157,O$11:O$203,0))&gt;1),0,MATCH(I157,O$11:O$203,0))+IF(OR(TYPE(I157)&gt;1,TYPE(MATCH(I157,U$11:U$203,0))&gt;1),0,MATCH(I157,U$11:U$203,0))+IF(OR(TYPE(I157)&gt;1,TYPE(MATCH(I157,AA$11:AA$203,0))&gt;1),0,MATCH(I157,AA$11:AA$203,0))</f>
        <v>0</v>
      </c>
      <c r="AO157" s="72">
        <f ca="1">IF(OR(TYPE(O157)&gt;1,TYPE(MATCH(O157,I$11:I$203,0))&gt;1),0,MATCH(O157,I$11:I$203,0))+IF(OR(TYPE(O157)&gt;1,TYPE(MATCH(O157,O158:O$203,0))&gt;1),0,MATCH(O157,O158:O$203,0))+IF(OR(TYPE(O157)&gt;1,TYPE(MATCH(O157,U$11:U$203,0))&gt;1),0,MATCH(O157,U$11:U$203,0))+IF(OR(TYPE(O157)&gt;1,TYPE(MATCH(O157,AA$11:AA$203,0))&gt;1),0,MATCH(O157,AA$11:AA$203,0))</f>
        <v>0</v>
      </c>
      <c r="AP157" s="72">
        <f ca="1">IF(OR(TYPE(U157)&gt;1,TYPE(MATCH(U157,I$11:I$203,0))&gt;1),0,MATCH(U157,I$11:I$203,0))+IF(OR(TYPE(U157)&gt;1,TYPE(MATCH(U157,O$11:O$203,0))&gt;1),0,MATCH(U157,O$11:O$203,0))+IF(OR(TYPE(U157)&gt;1,TYPE(MATCH(U157,U158:U$203,0))&gt;1),0,MATCH(U157,U158:U$203,0))+IF(OR(TYPE(U157)&gt;1,TYPE(MATCH(U157,AA$11:AA$203,0))&gt;1),0,MATCH(U157,AA$11:AA$203,0))</f>
        <v>0</v>
      </c>
      <c r="AQ157" s="72">
        <f ca="1">IF(OR(TYPE(AA157)&gt;1,TYPE(MATCH(AA157,I$11:I$203,0))&gt;1),0,MATCH(AA157,I$11:I$203,0))+IF(OR(TYPE(AA157)&gt;1,TYPE(MATCH(AA157,O$11:O$203,0))&gt;1),0,MATCH(AA157,O$11:O$203,0))+IF(OR(TYPE(AA157)&gt;1,TYPE(MATCH(AA157,U$11:U$203,0))&gt;1),0,MATCH(U157,U$11:U$203,0))+IF(OR(TYPE(AA157)&gt;1,TYPE(MATCH(AA157,AA158:AA$203,0))&gt;1),0,MATCH(AA157,AA158:AA$203,0))</f>
        <v>0</v>
      </c>
      <c r="AR157" s="72">
        <f t="shared" ca="1" si="74"/>
        <v>0</v>
      </c>
    </row>
    <row r="158" spans="1:44" ht="14.25">
      <c r="A158" s="103">
        <f t="shared" ca="1" si="60"/>
        <v>0</v>
      </c>
      <c r="B158" s="103">
        <f t="shared" ca="1" si="61"/>
        <v>0</v>
      </c>
      <c r="C158" s="156">
        <f t="shared" ca="1" si="62"/>
        <v>0</v>
      </c>
      <c r="D158" s="103">
        <f t="shared" ca="1" si="63"/>
        <v>99999</v>
      </c>
      <c r="E158" s="103">
        <f t="shared" ca="1" si="64"/>
        <v>9999</v>
      </c>
      <c r="F158" s="104" t="str">
        <f t="shared" ca="1" si="65"/>
        <v>00000000000000000000408729</v>
      </c>
      <c r="G158" s="145">
        <f t="shared" ca="1" si="66"/>
        <v>1</v>
      </c>
      <c r="H158" s="146">
        <f t="shared" si="67"/>
        <v>148</v>
      </c>
      <c r="I158" s="147" t="str">
        <f t="shared" ca="1" si="68"/>
        <v/>
      </c>
      <c r="J158" s="148" t="str">
        <f ca="1">IF(N(I158)&gt;0,VLOOKUP(I158,Hraci!$A$1:$I$1000,2,0),IF(TYPE(INDIRECT(ADDRESS(ROW() + $A$9-9 + (ROW()-11)*4,2,1,1,"Internet")))&gt;1,INDIRECT(ADDRESS(ROW() + $A$9-9 + (ROW()-11)*4,2,1,1,"Internet"))," "))</f>
        <v xml:space="preserve"> </v>
      </c>
      <c r="K158" s="149" t="str">
        <f ca="1">IF(N(I158)&gt;0,VLOOKUP(I158,Hraci!$A$1:$I$1000,3,0)," ")</f>
        <v xml:space="preserve"> </v>
      </c>
      <c r="L158" s="149" t="str">
        <f ca="1">IF(N(I158)&gt;0,VLOOKUP(I158,Hraci!$A$1:$I$1000,5,0),IF(TYPE(INDIRECT(ADDRESS(ROW() + $A$9-9 + (ROW()-11)*4,3,1,1,"Internet")))&gt;1,INDIRECT(ADDRESS(ROW() + $A$9-9 + (ROW()-11)*4,3,1,1,"Internet"))," "))</f>
        <v xml:space="preserve"> </v>
      </c>
      <c r="M158" s="149">
        <f ca="1">IF(N(I158)=0,9999,VLOOKUP(I158,Hraci!$A$1:$I$1000,8,0))</f>
        <v>9999</v>
      </c>
      <c r="N158" s="150">
        <f ca="1">IF(N(I158)=0,0,VLOOKUP(I158,Hraci!$A$1:$I$1000,9,0))</f>
        <v>0</v>
      </c>
      <c r="O158" s="147" t="str">
        <f t="shared" ca="1" si="69"/>
        <v/>
      </c>
      <c r="P158" s="148" t="str">
        <f ca="1">IF(N(O158)&gt;0,VLOOKUP(O158,Hraci!$A$1:$I$1000,2,0),IF(TYPE(INDIRECT(ADDRESS(ROW() + $A$9-8 + (ROW()-11)*4,2,1,1,"Internet")))&gt;1,INDIRECT(ADDRESS(ROW() + $A$9-8 + (ROW()-11)*4,2,1,1,"Internet"))," "))</f>
        <v xml:space="preserve"> </v>
      </c>
      <c r="Q158" s="149" t="str">
        <f ca="1">IF(N(O158)&gt;0,VLOOKUP(O158,Hraci!$A$1:$I$1000,3,0)," ")</f>
        <v xml:space="preserve"> </v>
      </c>
      <c r="R158" s="149" t="str">
        <f ca="1">IF(N(O158)&gt;0,VLOOKUP(O158,Hraci!$A$1:$I$1000,5,0),IF(TYPE(INDIRECT(ADDRESS(ROW() + $A$9-8 + (ROW()-11)*4,3,1,1,"Internet")))&gt;1,INDIRECT(ADDRESS(ROW() + $A$9-8 + (ROW()-11)*4,3,1,1,"Internet"))," "))</f>
        <v xml:space="preserve"> </v>
      </c>
      <c r="S158" s="149">
        <f ca="1">IF(N(O158)=0,9999,VLOOKUP(O158,Hraci!$A$1:$I$1000,8,0))</f>
        <v>9999</v>
      </c>
      <c r="T158" s="150">
        <f ca="1">IF(N(O158)=0,0,VLOOKUP(O158,Hraci!$A$1:$I$1000,9,0))</f>
        <v>0</v>
      </c>
      <c r="U158" s="147" t="str">
        <f t="shared" ca="1" si="70"/>
        <v/>
      </c>
      <c r="V158" s="148" t="str">
        <f ca="1">IF(N(U158)&gt;0,VLOOKUP(U158,Hraci!$A$1:$I$1000,2,0),IF(TYPE(INDIRECT(ADDRESS(ROW() + $A$9-7 + (ROW()-11)*4,2,1,1,"Internet")))&gt;1,INDIRECT(ADDRESS(ROW() + $A$9-7 + (ROW()-11)*4,2,1,1,"Internet"))," "))</f>
        <v xml:space="preserve"> </v>
      </c>
      <c r="W158" s="149" t="str">
        <f ca="1">IF(N(U158)&gt;0,VLOOKUP(U158,Hraci!$A$1:$I$1000,3,0)," ")</f>
        <v xml:space="preserve"> </v>
      </c>
      <c r="X158" s="149" t="str">
        <f ca="1">IF(N(U158)&gt;0,VLOOKUP(U158,Hraci!$A$1:$I$1000,5,0),IF(TYPE(INDIRECT(ADDRESS(ROW() + $A$9-7 + (ROW()-11)*4,3,1,1,"Internet")))&gt;1,INDIRECT(ADDRESS(ROW() + $A$9-7 + (ROW()-11)*4,3,1,1,"Internet"))," "))</f>
        <v xml:space="preserve"> </v>
      </c>
      <c r="Y158" s="149">
        <f ca="1">IF(N(U158)=0,9999,VLOOKUP(U158,Hraci!$A$1:$I$1000,8,0))</f>
        <v>9999</v>
      </c>
      <c r="Z158" s="150">
        <f ca="1">IF(N(U158)=0,0,VLOOKUP(U158,Hraci!$A$1:$I$1000,9,0))</f>
        <v>0</v>
      </c>
      <c r="AA158" s="147" t="str">
        <f t="shared" ca="1" si="71"/>
        <v/>
      </c>
      <c r="AB158" s="148" t="str">
        <f ca="1">IF(N(AA158)&gt;0,VLOOKUP(AA158,Hraci!$A$1:$I$1000,2,0)," ")</f>
        <v xml:space="preserve"> </v>
      </c>
      <c r="AC158" s="149" t="str">
        <f ca="1">IF(N(AA158)&gt;0,VLOOKUP(AA158,Hraci!$A$1:$I$1000,3,0)," ")</f>
        <v xml:space="preserve"> </v>
      </c>
      <c r="AD158" s="149" t="str">
        <f ca="1">IF(N(AA158)&gt;0,VLOOKUP(AA158,Hraci!$A$1:$I$1000,5,0)," ")</f>
        <v xml:space="preserve"> </v>
      </c>
      <c r="AE158" s="149">
        <f ca="1">IF(N(AA158)=0,9999,VLOOKUP(AA158,Hraci!$A$1:$I$1000,8,0))</f>
        <v>9999</v>
      </c>
      <c r="AF158" s="150">
        <f ca="1">IF(N(AA158)=0,0,VLOOKUP(AA158,Hraci!$A$1:$I$1000,9,0))</f>
        <v>0</v>
      </c>
      <c r="AG158" s="147"/>
      <c r="AH158" s="151">
        <f ca="1">IF(TYPE(VLOOKUP(H158,Nasazení!$A$3:$E$130,5,0))&lt;4,VLOOKUP(H158,Nasazení!$A$3:$E$130,5,0),0)</f>
        <v>0</v>
      </c>
      <c r="AI158" s="152" t="str">
        <f ca="1">IF(N($AH158)&gt;0,VLOOKUP($AH158,Body!$A$4:$F$259,5,0),"")</f>
        <v/>
      </c>
      <c r="AJ158" s="153" t="str">
        <f ca="1">IF(N($AH158)&gt;0,VLOOKUP($AH158,Body!$A$4:$F$259,6,0),"")</f>
        <v/>
      </c>
      <c r="AK158" s="152" t="str">
        <f ca="1">IF(N($AH158)&gt;0,VLOOKUP($AH158,Body!$A$4:$F$259,2,0),"")</f>
        <v/>
      </c>
      <c r="AL158" s="154" t="str">
        <f t="shared" ca="1" si="72"/>
        <v/>
      </c>
      <c r="AM158" s="155">
        <f t="shared" ca="1" si="73"/>
        <v>0</v>
      </c>
      <c r="AN158" s="72">
        <f ca="1">IF(OR(TYPE(I158)&gt;1,TYPE(MATCH(I158,I159:I$203,0))&gt;1),0,MATCH(I158,I159:I$203,0))+IF(OR(TYPE(I158)&gt;1,TYPE(MATCH(I158,O$11:O$203,0))&gt;1),0,MATCH(I158,O$11:O$203,0))+IF(OR(TYPE(I158)&gt;1,TYPE(MATCH(I158,U$11:U$203,0))&gt;1),0,MATCH(I158,U$11:U$203,0))+IF(OR(TYPE(I158)&gt;1,TYPE(MATCH(I158,AA$11:AA$203,0))&gt;1),0,MATCH(I158,AA$11:AA$203,0))</f>
        <v>0</v>
      </c>
      <c r="AO158" s="72">
        <f ca="1">IF(OR(TYPE(O158)&gt;1,TYPE(MATCH(O158,I$11:I$203,0))&gt;1),0,MATCH(O158,I$11:I$203,0))+IF(OR(TYPE(O158)&gt;1,TYPE(MATCH(O158,O159:O$203,0))&gt;1),0,MATCH(O158,O159:O$203,0))+IF(OR(TYPE(O158)&gt;1,TYPE(MATCH(O158,U$11:U$203,0))&gt;1),0,MATCH(O158,U$11:U$203,0))+IF(OR(TYPE(O158)&gt;1,TYPE(MATCH(O158,AA$11:AA$203,0))&gt;1),0,MATCH(O158,AA$11:AA$203,0))</f>
        <v>0</v>
      </c>
      <c r="AP158" s="72">
        <f ca="1">IF(OR(TYPE(U158)&gt;1,TYPE(MATCH(U158,I$11:I$203,0))&gt;1),0,MATCH(U158,I$11:I$203,0))+IF(OR(TYPE(U158)&gt;1,TYPE(MATCH(U158,O$11:O$203,0))&gt;1),0,MATCH(U158,O$11:O$203,0))+IF(OR(TYPE(U158)&gt;1,TYPE(MATCH(U158,U159:U$203,0))&gt;1),0,MATCH(U158,U159:U$203,0))+IF(OR(TYPE(U158)&gt;1,TYPE(MATCH(U158,AA$11:AA$203,0))&gt;1),0,MATCH(U158,AA$11:AA$203,0))</f>
        <v>0</v>
      </c>
      <c r="AQ158" s="72">
        <f ca="1">IF(OR(TYPE(AA158)&gt;1,TYPE(MATCH(AA158,I$11:I$203,0))&gt;1),0,MATCH(AA158,I$11:I$203,0))+IF(OR(TYPE(AA158)&gt;1,TYPE(MATCH(AA158,O$11:O$203,0))&gt;1),0,MATCH(AA158,O$11:O$203,0))+IF(OR(TYPE(AA158)&gt;1,TYPE(MATCH(AA158,U$11:U$203,0))&gt;1),0,MATCH(U158,U$11:U$203,0))+IF(OR(TYPE(AA158)&gt;1,TYPE(MATCH(AA158,AA159:AA$203,0))&gt;1),0,MATCH(AA158,AA159:AA$203,0))</f>
        <v>0</v>
      </c>
      <c r="AR158" s="72">
        <f t="shared" ca="1" si="74"/>
        <v>0</v>
      </c>
    </row>
    <row r="159" spans="1:44" ht="14.25">
      <c r="A159" s="103">
        <f t="shared" ca="1" si="60"/>
        <v>0</v>
      </c>
      <c r="B159" s="103">
        <f t="shared" ca="1" si="61"/>
        <v>0</v>
      </c>
      <c r="C159" s="156">
        <f t="shared" ca="1" si="62"/>
        <v>0</v>
      </c>
      <c r="D159" s="103">
        <f t="shared" ca="1" si="63"/>
        <v>99999</v>
      </c>
      <c r="E159" s="103">
        <f t="shared" ca="1" si="64"/>
        <v>9999</v>
      </c>
      <c r="F159" s="104" t="str">
        <f t="shared" ca="1" si="65"/>
        <v>00000000000000000000641542</v>
      </c>
      <c r="G159" s="145">
        <f t="shared" ca="1" si="66"/>
        <v>1</v>
      </c>
      <c r="H159" s="146">
        <f t="shared" si="67"/>
        <v>149</v>
      </c>
      <c r="I159" s="147" t="str">
        <f t="shared" ca="1" si="68"/>
        <v/>
      </c>
      <c r="J159" s="148" t="str">
        <f ca="1">IF(N(I159)&gt;0,VLOOKUP(I159,Hraci!$A$1:$I$1000,2,0),IF(TYPE(INDIRECT(ADDRESS(ROW() + $A$9-9 + (ROW()-11)*4,2,1,1,"Internet")))&gt;1,INDIRECT(ADDRESS(ROW() + $A$9-9 + (ROW()-11)*4,2,1,1,"Internet"))," "))</f>
        <v xml:space="preserve"> </v>
      </c>
      <c r="K159" s="149" t="str">
        <f ca="1">IF(N(I159)&gt;0,VLOOKUP(I159,Hraci!$A$1:$I$1000,3,0)," ")</f>
        <v xml:space="preserve"> </v>
      </c>
      <c r="L159" s="149" t="str">
        <f ca="1">IF(N(I159)&gt;0,VLOOKUP(I159,Hraci!$A$1:$I$1000,5,0),IF(TYPE(INDIRECT(ADDRESS(ROW() + $A$9-9 + (ROW()-11)*4,3,1,1,"Internet")))&gt;1,INDIRECT(ADDRESS(ROW() + $A$9-9 + (ROW()-11)*4,3,1,1,"Internet"))," "))</f>
        <v xml:space="preserve"> </v>
      </c>
      <c r="M159" s="149">
        <f ca="1">IF(N(I159)=0,9999,VLOOKUP(I159,Hraci!$A$1:$I$1000,8,0))</f>
        <v>9999</v>
      </c>
      <c r="N159" s="150">
        <f ca="1">IF(N(I159)=0,0,VLOOKUP(I159,Hraci!$A$1:$I$1000,9,0))</f>
        <v>0</v>
      </c>
      <c r="O159" s="147" t="str">
        <f t="shared" ca="1" si="69"/>
        <v/>
      </c>
      <c r="P159" s="148" t="str">
        <f ca="1">IF(N(O159)&gt;0,VLOOKUP(O159,Hraci!$A$1:$I$1000,2,0),IF(TYPE(INDIRECT(ADDRESS(ROW() + $A$9-8 + (ROW()-11)*4,2,1,1,"Internet")))&gt;1,INDIRECT(ADDRESS(ROW() + $A$9-8 + (ROW()-11)*4,2,1,1,"Internet"))," "))</f>
        <v xml:space="preserve"> </v>
      </c>
      <c r="Q159" s="149" t="str">
        <f ca="1">IF(N(O159)&gt;0,VLOOKUP(O159,Hraci!$A$1:$I$1000,3,0)," ")</f>
        <v xml:space="preserve"> </v>
      </c>
      <c r="R159" s="149" t="str">
        <f ca="1">IF(N(O159)&gt;0,VLOOKUP(O159,Hraci!$A$1:$I$1000,5,0),IF(TYPE(INDIRECT(ADDRESS(ROW() + $A$9-8 + (ROW()-11)*4,3,1,1,"Internet")))&gt;1,INDIRECT(ADDRESS(ROW() + $A$9-8 + (ROW()-11)*4,3,1,1,"Internet"))," "))</f>
        <v xml:space="preserve"> </v>
      </c>
      <c r="S159" s="149">
        <f ca="1">IF(N(O159)=0,9999,VLOOKUP(O159,Hraci!$A$1:$I$1000,8,0))</f>
        <v>9999</v>
      </c>
      <c r="T159" s="150">
        <f ca="1">IF(N(O159)=0,0,VLOOKUP(O159,Hraci!$A$1:$I$1000,9,0))</f>
        <v>0</v>
      </c>
      <c r="U159" s="147" t="str">
        <f t="shared" ca="1" si="70"/>
        <v/>
      </c>
      <c r="V159" s="148" t="str">
        <f ca="1">IF(N(U159)&gt;0,VLOOKUP(U159,Hraci!$A$1:$I$1000,2,0),IF(TYPE(INDIRECT(ADDRESS(ROW() + $A$9-7 + (ROW()-11)*4,2,1,1,"Internet")))&gt;1,INDIRECT(ADDRESS(ROW() + $A$9-7 + (ROW()-11)*4,2,1,1,"Internet"))," "))</f>
        <v xml:space="preserve"> </v>
      </c>
      <c r="W159" s="149" t="str">
        <f ca="1">IF(N(U159)&gt;0,VLOOKUP(U159,Hraci!$A$1:$I$1000,3,0)," ")</f>
        <v xml:space="preserve"> </v>
      </c>
      <c r="X159" s="149" t="str">
        <f ca="1">IF(N(U159)&gt;0,VLOOKUP(U159,Hraci!$A$1:$I$1000,5,0),IF(TYPE(INDIRECT(ADDRESS(ROW() + $A$9-7 + (ROW()-11)*4,3,1,1,"Internet")))&gt;1,INDIRECT(ADDRESS(ROW() + $A$9-7 + (ROW()-11)*4,3,1,1,"Internet"))," "))</f>
        <v xml:space="preserve"> </v>
      </c>
      <c r="Y159" s="149">
        <f ca="1">IF(N(U159)=0,9999,VLOOKUP(U159,Hraci!$A$1:$I$1000,8,0))</f>
        <v>9999</v>
      </c>
      <c r="Z159" s="150">
        <f ca="1">IF(N(U159)=0,0,VLOOKUP(U159,Hraci!$A$1:$I$1000,9,0))</f>
        <v>0</v>
      </c>
      <c r="AA159" s="147" t="str">
        <f t="shared" ca="1" si="71"/>
        <v/>
      </c>
      <c r="AB159" s="148" t="str">
        <f ca="1">IF(N(AA159)&gt;0,VLOOKUP(AA159,Hraci!$A$1:$I$1000,2,0)," ")</f>
        <v xml:space="preserve"> </v>
      </c>
      <c r="AC159" s="149" t="str">
        <f ca="1">IF(N(AA159)&gt;0,VLOOKUP(AA159,Hraci!$A$1:$I$1000,3,0)," ")</f>
        <v xml:space="preserve"> </v>
      </c>
      <c r="AD159" s="149" t="str">
        <f ca="1">IF(N(AA159)&gt;0,VLOOKUP(AA159,Hraci!$A$1:$I$1000,5,0)," ")</f>
        <v xml:space="preserve"> </v>
      </c>
      <c r="AE159" s="149">
        <f ca="1">IF(N(AA159)=0,9999,VLOOKUP(AA159,Hraci!$A$1:$I$1000,8,0))</f>
        <v>9999</v>
      </c>
      <c r="AF159" s="150">
        <f ca="1">IF(N(AA159)=0,0,VLOOKUP(AA159,Hraci!$A$1:$I$1000,9,0))</f>
        <v>0</v>
      </c>
      <c r="AG159" s="147"/>
      <c r="AH159" s="151">
        <f ca="1">IF(TYPE(VLOOKUP(H159,Nasazení!$A$3:$E$130,5,0))&lt;4,VLOOKUP(H159,Nasazení!$A$3:$E$130,5,0),0)</f>
        <v>0</v>
      </c>
      <c r="AI159" s="152" t="str">
        <f ca="1">IF(N($AH159)&gt;0,VLOOKUP($AH159,Body!$A$4:$F$259,5,0),"")</f>
        <v/>
      </c>
      <c r="AJ159" s="153" t="str">
        <f ca="1">IF(N($AH159)&gt;0,VLOOKUP($AH159,Body!$A$4:$F$259,6,0),"")</f>
        <v/>
      </c>
      <c r="AK159" s="152" t="str">
        <f ca="1">IF(N($AH159)&gt;0,VLOOKUP($AH159,Body!$A$4:$F$259,2,0),"")</f>
        <v/>
      </c>
      <c r="AL159" s="154" t="str">
        <f t="shared" ca="1" si="72"/>
        <v/>
      </c>
      <c r="AM159" s="155">
        <f t="shared" ca="1" si="73"/>
        <v>0</v>
      </c>
      <c r="AN159" s="72">
        <f ca="1">IF(OR(TYPE(I159)&gt;1,TYPE(MATCH(I159,I160:I$203,0))&gt;1),0,MATCH(I159,I160:I$203,0))+IF(OR(TYPE(I159)&gt;1,TYPE(MATCH(I159,O$11:O$203,0))&gt;1),0,MATCH(I159,O$11:O$203,0))+IF(OR(TYPE(I159)&gt;1,TYPE(MATCH(I159,U$11:U$203,0))&gt;1),0,MATCH(I159,U$11:U$203,0))+IF(OR(TYPE(I159)&gt;1,TYPE(MATCH(I159,AA$11:AA$203,0))&gt;1),0,MATCH(I159,AA$11:AA$203,0))</f>
        <v>0</v>
      </c>
      <c r="AO159" s="72">
        <f ca="1">IF(OR(TYPE(O159)&gt;1,TYPE(MATCH(O159,I$11:I$203,0))&gt;1),0,MATCH(O159,I$11:I$203,0))+IF(OR(TYPE(O159)&gt;1,TYPE(MATCH(O159,O160:O$203,0))&gt;1),0,MATCH(O159,O160:O$203,0))+IF(OR(TYPE(O159)&gt;1,TYPE(MATCH(O159,U$11:U$203,0))&gt;1),0,MATCH(O159,U$11:U$203,0))+IF(OR(TYPE(O159)&gt;1,TYPE(MATCH(O159,AA$11:AA$203,0))&gt;1),0,MATCH(O159,AA$11:AA$203,0))</f>
        <v>0</v>
      </c>
      <c r="AP159" s="72">
        <f ca="1">IF(OR(TYPE(U159)&gt;1,TYPE(MATCH(U159,I$11:I$203,0))&gt;1),0,MATCH(U159,I$11:I$203,0))+IF(OR(TYPE(U159)&gt;1,TYPE(MATCH(U159,O$11:O$203,0))&gt;1),0,MATCH(U159,O$11:O$203,0))+IF(OR(TYPE(U159)&gt;1,TYPE(MATCH(U159,U160:U$203,0))&gt;1),0,MATCH(U159,U160:U$203,0))+IF(OR(TYPE(U159)&gt;1,TYPE(MATCH(U159,AA$11:AA$203,0))&gt;1),0,MATCH(U159,AA$11:AA$203,0))</f>
        <v>0</v>
      </c>
      <c r="AQ159" s="72">
        <f ca="1">IF(OR(TYPE(AA159)&gt;1,TYPE(MATCH(AA159,I$11:I$203,0))&gt;1),0,MATCH(AA159,I$11:I$203,0))+IF(OR(TYPE(AA159)&gt;1,TYPE(MATCH(AA159,O$11:O$203,0))&gt;1),0,MATCH(AA159,O$11:O$203,0))+IF(OR(TYPE(AA159)&gt;1,TYPE(MATCH(AA159,U$11:U$203,0))&gt;1),0,MATCH(U159,U$11:U$203,0))+IF(OR(TYPE(AA159)&gt;1,TYPE(MATCH(AA159,AA160:AA$203,0))&gt;1),0,MATCH(AA159,AA160:AA$203,0))</f>
        <v>0</v>
      </c>
      <c r="AR159" s="72">
        <f t="shared" ca="1" si="74"/>
        <v>0</v>
      </c>
    </row>
    <row r="160" spans="1:44" ht="14.25">
      <c r="A160" s="103">
        <f t="shared" ca="1" si="60"/>
        <v>0</v>
      </c>
      <c r="B160" s="103">
        <f t="shared" ca="1" si="61"/>
        <v>0</v>
      </c>
      <c r="C160" s="156">
        <f t="shared" ca="1" si="62"/>
        <v>0</v>
      </c>
      <c r="D160" s="103">
        <f t="shared" ca="1" si="63"/>
        <v>99999</v>
      </c>
      <c r="E160" s="103">
        <f t="shared" ca="1" si="64"/>
        <v>9999</v>
      </c>
      <c r="F160" s="104" t="str">
        <f t="shared" ca="1" si="65"/>
        <v>00000000000000000000687516</v>
      </c>
      <c r="G160" s="145">
        <f t="shared" ca="1" si="66"/>
        <v>1</v>
      </c>
      <c r="H160" s="146">
        <f t="shared" si="67"/>
        <v>150</v>
      </c>
      <c r="I160" s="147" t="str">
        <f t="shared" ca="1" si="68"/>
        <v/>
      </c>
      <c r="J160" s="148" t="str">
        <f ca="1">IF(N(I160)&gt;0,VLOOKUP(I160,Hraci!$A$1:$I$1000,2,0),IF(TYPE(INDIRECT(ADDRESS(ROW() + $A$9-9 + (ROW()-11)*4,2,1,1,"Internet")))&gt;1,INDIRECT(ADDRESS(ROW() + $A$9-9 + (ROW()-11)*4,2,1,1,"Internet"))," "))</f>
        <v xml:space="preserve"> </v>
      </c>
      <c r="K160" s="149" t="str">
        <f ca="1">IF(N(I160)&gt;0,VLOOKUP(I160,Hraci!$A$1:$I$1000,3,0)," ")</f>
        <v xml:space="preserve"> </v>
      </c>
      <c r="L160" s="149" t="str">
        <f ca="1">IF(N(I160)&gt;0,VLOOKUP(I160,Hraci!$A$1:$I$1000,5,0),IF(TYPE(INDIRECT(ADDRESS(ROW() + $A$9-9 + (ROW()-11)*4,3,1,1,"Internet")))&gt;1,INDIRECT(ADDRESS(ROW() + $A$9-9 + (ROW()-11)*4,3,1,1,"Internet"))," "))</f>
        <v xml:space="preserve"> </v>
      </c>
      <c r="M160" s="149">
        <f ca="1">IF(N(I160)=0,9999,VLOOKUP(I160,Hraci!$A$1:$I$1000,8,0))</f>
        <v>9999</v>
      </c>
      <c r="N160" s="150">
        <f ca="1">IF(N(I160)=0,0,VLOOKUP(I160,Hraci!$A$1:$I$1000,9,0))</f>
        <v>0</v>
      </c>
      <c r="O160" s="147" t="str">
        <f t="shared" ca="1" si="69"/>
        <v/>
      </c>
      <c r="P160" s="148" t="str">
        <f ca="1">IF(N(O160)&gt;0,VLOOKUP(O160,Hraci!$A$1:$I$1000,2,0),IF(TYPE(INDIRECT(ADDRESS(ROW() + $A$9-8 + (ROW()-11)*4,2,1,1,"Internet")))&gt;1,INDIRECT(ADDRESS(ROW() + $A$9-8 + (ROW()-11)*4,2,1,1,"Internet"))," "))</f>
        <v xml:space="preserve"> </v>
      </c>
      <c r="Q160" s="149" t="str">
        <f ca="1">IF(N(O160)&gt;0,VLOOKUP(O160,Hraci!$A$1:$I$1000,3,0)," ")</f>
        <v xml:space="preserve"> </v>
      </c>
      <c r="R160" s="149" t="str">
        <f ca="1">IF(N(O160)&gt;0,VLOOKUP(O160,Hraci!$A$1:$I$1000,5,0),IF(TYPE(INDIRECT(ADDRESS(ROW() + $A$9-8 + (ROW()-11)*4,3,1,1,"Internet")))&gt;1,INDIRECT(ADDRESS(ROW() + $A$9-8 + (ROW()-11)*4,3,1,1,"Internet"))," "))</f>
        <v xml:space="preserve"> </v>
      </c>
      <c r="S160" s="149">
        <f ca="1">IF(N(O160)=0,9999,VLOOKUP(O160,Hraci!$A$1:$I$1000,8,0))</f>
        <v>9999</v>
      </c>
      <c r="T160" s="150">
        <f ca="1">IF(N(O160)=0,0,VLOOKUP(O160,Hraci!$A$1:$I$1000,9,0))</f>
        <v>0</v>
      </c>
      <c r="U160" s="147" t="str">
        <f t="shared" ca="1" si="70"/>
        <v/>
      </c>
      <c r="V160" s="148" t="str">
        <f ca="1">IF(N(U160)&gt;0,VLOOKUP(U160,Hraci!$A$1:$I$1000,2,0),IF(TYPE(INDIRECT(ADDRESS(ROW() + $A$9-7 + (ROW()-11)*4,2,1,1,"Internet")))&gt;1,INDIRECT(ADDRESS(ROW() + $A$9-7 + (ROW()-11)*4,2,1,1,"Internet"))," "))</f>
        <v xml:space="preserve"> </v>
      </c>
      <c r="W160" s="149" t="str">
        <f ca="1">IF(N(U160)&gt;0,VLOOKUP(U160,Hraci!$A$1:$I$1000,3,0)," ")</f>
        <v xml:space="preserve"> </v>
      </c>
      <c r="X160" s="149" t="str">
        <f ca="1">IF(N(U160)&gt;0,VLOOKUP(U160,Hraci!$A$1:$I$1000,5,0),IF(TYPE(INDIRECT(ADDRESS(ROW() + $A$9-7 + (ROW()-11)*4,3,1,1,"Internet")))&gt;1,INDIRECT(ADDRESS(ROW() + $A$9-7 + (ROW()-11)*4,3,1,1,"Internet"))," "))</f>
        <v xml:space="preserve"> </v>
      </c>
      <c r="Y160" s="149">
        <f ca="1">IF(N(U160)=0,9999,VLOOKUP(U160,Hraci!$A$1:$I$1000,8,0))</f>
        <v>9999</v>
      </c>
      <c r="Z160" s="150">
        <f ca="1">IF(N(U160)=0,0,VLOOKUP(U160,Hraci!$A$1:$I$1000,9,0))</f>
        <v>0</v>
      </c>
      <c r="AA160" s="147" t="str">
        <f t="shared" ca="1" si="71"/>
        <v/>
      </c>
      <c r="AB160" s="148" t="str">
        <f ca="1">IF(N(AA160)&gt;0,VLOOKUP(AA160,Hraci!$A$1:$I$1000,2,0)," ")</f>
        <v xml:space="preserve"> </v>
      </c>
      <c r="AC160" s="149" t="str">
        <f ca="1">IF(N(AA160)&gt;0,VLOOKUP(AA160,Hraci!$A$1:$I$1000,3,0)," ")</f>
        <v xml:space="preserve"> </v>
      </c>
      <c r="AD160" s="149" t="str">
        <f ca="1">IF(N(AA160)&gt;0,VLOOKUP(AA160,Hraci!$A$1:$I$1000,5,0)," ")</f>
        <v xml:space="preserve"> </v>
      </c>
      <c r="AE160" s="149">
        <f ca="1">IF(N(AA160)=0,9999,VLOOKUP(AA160,Hraci!$A$1:$I$1000,8,0))</f>
        <v>9999</v>
      </c>
      <c r="AF160" s="150">
        <f ca="1">IF(N(AA160)=0,0,VLOOKUP(AA160,Hraci!$A$1:$I$1000,9,0))</f>
        <v>0</v>
      </c>
      <c r="AG160" s="147"/>
      <c r="AH160" s="151">
        <f ca="1">IF(TYPE(VLOOKUP(H160,Nasazení!$A$3:$E$130,5,0))&lt;4,VLOOKUP(H160,Nasazení!$A$3:$E$130,5,0),0)</f>
        <v>0</v>
      </c>
      <c r="AI160" s="152" t="str">
        <f ca="1">IF(N($AH160)&gt;0,VLOOKUP($AH160,Body!$A$4:$F$259,5,0),"")</f>
        <v/>
      </c>
      <c r="AJ160" s="153" t="str">
        <f ca="1">IF(N($AH160)&gt;0,VLOOKUP($AH160,Body!$A$4:$F$259,6,0),"")</f>
        <v/>
      </c>
      <c r="AK160" s="152" t="str">
        <f ca="1">IF(N($AH160)&gt;0,VLOOKUP($AH160,Body!$A$4:$F$259,2,0),"")</f>
        <v/>
      </c>
      <c r="AL160" s="154" t="str">
        <f t="shared" ca="1" si="72"/>
        <v/>
      </c>
      <c r="AM160" s="155">
        <f t="shared" ca="1" si="73"/>
        <v>0</v>
      </c>
      <c r="AN160" s="72">
        <f ca="1">IF(OR(TYPE(I160)&gt;1,TYPE(MATCH(I160,I161:I$203,0))&gt;1),0,MATCH(I160,I161:I$203,0))+IF(OR(TYPE(I160)&gt;1,TYPE(MATCH(I160,O$11:O$203,0))&gt;1),0,MATCH(I160,O$11:O$203,0))+IF(OR(TYPE(I160)&gt;1,TYPE(MATCH(I160,U$11:U$203,0))&gt;1),0,MATCH(I160,U$11:U$203,0))+IF(OR(TYPE(I160)&gt;1,TYPE(MATCH(I160,AA$11:AA$203,0))&gt;1),0,MATCH(I160,AA$11:AA$203,0))</f>
        <v>0</v>
      </c>
      <c r="AO160" s="72">
        <f ca="1">IF(OR(TYPE(O160)&gt;1,TYPE(MATCH(O160,I$11:I$203,0))&gt;1),0,MATCH(O160,I$11:I$203,0))+IF(OR(TYPE(O160)&gt;1,TYPE(MATCH(O160,O161:O$203,0))&gt;1),0,MATCH(O160,O161:O$203,0))+IF(OR(TYPE(O160)&gt;1,TYPE(MATCH(O160,U$11:U$203,0))&gt;1),0,MATCH(O160,U$11:U$203,0))+IF(OR(TYPE(O160)&gt;1,TYPE(MATCH(O160,AA$11:AA$203,0))&gt;1),0,MATCH(O160,AA$11:AA$203,0))</f>
        <v>0</v>
      </c>
      <c r="AP160" s="72">
        <f ca="1">IF(OR(TYPE(U160)&gt;1,TYPE(MATCH(U160,I$11:I$203,0))&gt;1),0,MATCH(U160,I$11:I$203,0))+IF(OR(TYPE(U160)&gt;1,TYPE(MATCH(U160,O$11:O$203,0))&gt;1),0,MATCH(U160,O$11:O$203,0))+IF(OR(TYPE(U160)&gt;1,TYPE(MATCH(U160,U161:U$203,0))&gt;1),0,MATCH(U160,U161:U$203,0))+IF(OR(TYPE(U160)&gt;1,TYPE(MATCH(U160,AA$11:AA$203,0))&gt;1),0,MATCH(U160,AA$11:AA$203,0))</f>
        <v>0</v>
      </c>
      <c r="AQ160" s="72">
        <f ca="1">IF(OR(TYPE(AA160)&gt;1,TYPE(MATCH(AA160,I$11:I$203,0))&gt;1),0,MATCH(AA160,I$11:I$203,0))+IF(OR(TYPE(AA160)&gt;1,TYPE(MATCH(AA160,O$11:O$203,0))&gt;1),0,MATCH(AA160,O$11:O$203,0))+IF(OR(TYPE(AA160)&gt;1,TYPE(MATCH(AA160,U$11:U$203,0))&gt;1),0,MATCH(U160,U$11:U$203,0))+IF(OR(TYPE(AA160)&gt;1,TYPE(MATCH(AA160,AA161:AA$203,0))&gt;1),0,MATCH(AA160,AA161:AA$203,0))</f>
        <v>0</v>
      </c>
      <c r="AR160" s="72">
        <f t="shared" ca="1" si="74"/>
        <v>0</v>
      </c>
    </row>
    <row r="161" spans="1:44" ht="14.25">
      <c r="A161" s="103">
        <f t="shared" ca="1" si="60"/>
        <v>0</v>
      </c>
      <c r="B161" s="103">
        <f t="shared" ca="1" si="61"/>
        <v>0</v>
      </c>
      <c r="C161" s="156">
        <f t="shared" ca="1" si="62"/>
        <v>0</v>
      </c>
      <c r="D161" s="103">
        <f t="shared" ca="1" si="63"/>
        <v>99999</v>
      </c>
      <c r="E161" s="103">
        <f t="shared" ca="1" si="64"/>
        <v>9999</v>
      </c>
      <c r="F161" s="104" t="str">
        <f t="shared" ca="1" si="65"/>
        <v>00000000000000000000069320</v>
      </c>
      <c r="G161" s="145">
        <f t="shared" ca="1" si="66"/>
        <v>1</v>
      </c>
      <c r="H161" s="146">
        <f t="shared" si="67"/>
        <v>151</v>
      </c>
      <c r="I161" s="147" t="str">
        <f t="shared" ca="1" si="68"/>
        <v/>
      </c>
      <c r="J161" s="148" t="str">
        <f ca="1">IF(N(I161)&gt;0,VLOOKUP(I161,Hraci!$A$1:$I$1000,2,0),IF(TYPE(INDIRECT(ADDRESS(ROW() + $A$9-9 + (ROW()-11)*4,2,1,1,"Internet")))&gt;1,INDIRECT(ADDRESS(ROW() + $A$9-9 + (ROW()-11)*4,2,1,1,"Internet"))," "))</f>
        <v xml:space="preserve"> </v>
      </c>
      <c r="K161" s="149" t="str">
        <f ca="1">IF(N(I161)&gt;0,VLOOKUP(I161,Hraci!$A$1:$I$1000,3,0)," ")</f>
        <v xml:space="preserve"> </v>
      </c>
      <c r="L161" s="149" t="str">
        <f ca="1">IF(N(I161)&gt;0,VLOOKUP(I161,Hraci!$A$1:$I$1000,5,0),IF(TYPE(INDIRECT(ADDRESS(ROW() + $A$9-9 + (ROW()-11)*4,3,1,1,"Internet")))&gt;1,INDIRECT(ADDRESS(ROW() + $A$9-9 + (ROW()-11)*4,3,1,1,"Internet"))," "))</f>
        <v xml:space="preserve"> </v>
      </c>
      <c r="M161" s="149">
        <f ca="1">IF(N(I161)=0,9999,VLOOKUP(I161,Hraci!$A$1:$I$1000,8,0))</f>
        <v>9999</v>
      </c>
      <c r="N161" s="150">
        <f ca="1">IF(N(I161)=0,0,VLOOKUP(I161,Hraci!$A$1:$I$1000,9,0))</f>
        <v>0</v>
      </c>
      <c r="O161" s="147" t="str">
        <f t="shared" ca="1" si="69"/>
        <v/>
      </c>
      <c r="P161" s="148" t="str">
        <f ca="1">IF(N(O161)&gt;0,VLOOKUP(O161,Hraci!$A$1:$I$1000,2,0),IF(TYPE(INDIRECT(ADDRESS(ROW() + $A$9-8 + (ROW()-11)*4,2,1,1,"Internet")))&gt;1,INDIRECT(ADDRESS(ROW() + $A$9-8 + (ROW()-11)*4,2,1,1,"Internet"))," "))</f>
        <v xml:space="preserve"> </v>
      </c>
      <c r="Q161" s="149" t="str">
        <f ca="1">IF(N(O161)&gt;0,VLOOKUP(O161,Hraci!$A$1:$I$1000,3,0)," ")</f>
        <v xml:space="preserve"> </v>
      </c>
      <c r="R161" s="149" t="str">
        <f ca="1">IF(N(O161)&gt;0,VLOOKUP(O161,Hraci!$A$1:$I$1000,5,0),IF(TYPE(INDIRECT(ADDRESS(ROW() + $A$9-8 + (ROW()-11)*4,3,1,1,"Internet")))&gt;1,INDIRECT(ADDRESS(ROW() + $A$9-8 + (ROW()-11)*4,3,1,1,"Internet"))," "))</f>
        <v xml:space="preserve"> </v>
      </c>
      <c r="S161" s="149">
        <f ca="1">IF(N(O161)=0,9999,VLOOKUP(O161,Hraci!$A$1:$I$1000,8,0))</f>
        <v>9999</v>
      </c>
      <c r="T161" s="150">
        <f ca="1">IF(N(O161)=0,0,VLOOKUP(O161,Hraci!$A$1:$I$1000,9,0))</f>
        <v>0</v>
      </c>
      <c r="U161" s="147" t="str">
        <f t="shared" ca="1" si="70"/>
        <v/>
      </c>
      <c r="V161" s="148" t="str">
        <f ca="1">IF(N(U161)&gt;0,VLOOKUP(U161,Hraci!$A$1:$I$1000,2,0),IF(TYPE(INDIRECT(ADDRESS(ROW() + $A$9-7 + (ROW()-11)*4,2,1,1,"Internet")))&gt;1,INDIRECT(ADDRESS(ROW() + $A$9-7 + (ROW()-11)*4,2,1,1,"Internet"))," "))</f>
        <v xml:space="preserve"> </v>
      </c>
      <c r="W161" s="149" t="str">
        <f ca="1">IF(N(U161)&gt;0,VLOOKUP(U161,Hraci!$A$1:$I$1000,3,0)," ")</f>
        <v xml:space="preserve"> </v>
      </c>
      <c r="X161" s="149" t="str">
        <f ca="1">IF(N(U161)&gt;0,VLOOKUP(U161,Hraci!$A$1:$I$1000,5,0),IF(TYPE(INDIRECT(ADDRESS(ROW() + $A$9-7 + (ROW()-11)*4,3,1,1,"Internet")))&gt;1,INDIRECT(ADDRESS(ROW() + $A$9-7 + (ROW()-11)*4,3,1,1,"Internet"))," "))</f>
        <v xml:space="preserve"> </v>
      </c>
      <c r="Y161" s="149">
        <f ca="1">IF(N(U161)=0,9999,VLOOKUP(U161,Hraci!$A$1:$I$1000,8,0))</f>
        <v>9999</v>
      </c>
      <c r="Z161" s="150">
        <f ca="1">IF(N(U161)=0,0,VLOOKUP(U161,Hraci!$A$1:$I$1000,9,0))</f>
        <v>0</v>
      </c>
      <c r="AA161" s="147" t="str">
        <f t="shared" ca="1" si="71"/>
        <v/>
      </c>
      <c r="AB161" s="148" t="str">
        <f ca="1">IF(N(AA161)&gt;0,VLOOKUP(AA161,Hraci!$A$1:$I$1000,2,0)," ")</f>
        <v xml:space="preserve"> </v>
      </c>
      <c r="AC161" s="149" t="str">
        <f ca="1">IF(N(AA161)&gt;0,VLOOKUP(AA161,Hraci!$A$1:$I$1000,3,0)," ")</f>
        <v xml:space="preserve"> </v>
      </c>
      <c r="AD161" s="149" t="str">
        <f ca="1">IF(N(AA161)&gt;0,VLOOKUP(AA161,Hraci!$A$1:$I$1000,5,0)," ")</f>
        <v xml:space="preserve"> </v>
      </c>
      <c r="AE161" s="149">
        <f ca="1">IF(N(AA161)=0,9999,VLOOKUP(AA161,Hraci!$A$1:$I$1000,8,0))</f>
        <v>9999</v>
      </c>
      <c r="AF161" s="150">
        <f ca="1">IF(N(AA161)=0,0,VLOOKUP(AA161,Hraci!$A$1:$I$1000,9,0))</f>
        <v>0</v>
      </c>
      <c r="AG161" s="147"/>
      <c r="AH161" s="151">
        <f ca="1">IF(TYPE(VLOOKUP(H161,Nasazení!$A$3:$E$130,5,0))&lt;4,VLOOKUP(H161,Nasazení!$A$3:$E$130,5,0),0)</f>
        <v>0</v>
      </c>
      <c r="AI161" s="152" t="str">
        <f ca="1">IF(N($AH161)&gt;0,VLOOKUP($AH161,Body!$A$4:$F$259,5,0),"")</f>
        <v/>
      </c>
      <c r="AJ161" s="153" t="str">
        <f ca="1">IF(N($AH161)&gt;0,VLOOKUP($AH161,Body!$A$4:$F$259,6,0),"")</f>
        <v/>
      </c>
      <c r="AK161" s="152" t="str">
        <f ca="1">IF(N($AH161)&gt;0,VLOOKUP($AH161,Body!$A$4:$F$259,2,0),"")</f>
        <v/>
      </c>
      <c r="AL161" s="154" t="str">
        <f t="shared" ca="1" si="72"/>
        <v/>
      </c>
      <c r="AM161" s="155">
        <f t="shared" ca="1" si="73"/>
        <v>0</v>
      </c>
      <c r="AN161" s="72">
        <f ca="1">IF(OR(TYPE(I161)&gt;1,TYPE(MATCH(I161,I162:I$203,0))&gt;1),0,MATCH(I161,I162:I$203,0))+IF(OR(TYPE(I161)&gt;1,TYPE(MATCH(I161,O$11:O$203,0))&gt;1),0,MATCH(I161,O$11:O$203,0))+IF(OR(TYPE(I161)&gt;1,TYPE(MATCH(I161,U$11:U$203,0))&gt;1),0,MATCH(I161,U$11:U$203,0))+IF(OR(TYPE(I161)&gt;1,TYPE(MATCH(I161,AA$11:AA$203,0))&gt;1),0,MATCH(I161,AA$11:AA$203,0))</f>
        <v>0</v>
      </c>
      <c r="AO161" s="72">
        <f ca="1">IF(OR(TYPE(O161)&gt;1,TYPE(MATCH(O161,I$11:I$203,0))&gt;1),0,MATCH(O161,I$11:I$203,0))+IF(OR(TYPE(O161)&gt;1,TYPE(MATCH(O161,O162:O$203,0))&gt;1),0,MATCH(O161,O162:O$203,0))+IF(OR(TYPE(O161)&gt;1,TYPE(MATCH(O161,U$11:U$203,0))&gt;1),0,MATCH(O161,U$11:U$203,0))+IF(OR(TYPE(O161)&gt;1,TYPE(MATCH(O161,AA$11:AA$203,0))&gt;1),0,MATCH(O161,AA$11:AA$203,0))</f>
        <v>0</v>
      </c>
      <c r="AP161" s="72">
        <f ca="1">IF(OR(TYPE(U161)&gt;1,TYPE(MATCH(U161,I$11:I$203,0))&gt;1),0,MATCH(U161,I$11:I$203,0))+IF(OR(TYPE(U161)&gt;1,TYPE(MATCH(U161,O$11:O$203,0))&gt;1),0,MATCH(U161,O$11:O$203,0))+IF(OR(TYPE(U161)&gt;1,TYPE(MATCH(U161,U162:U$203,0))&gt;1),0,MATCH(U161,U162:U$203,0))+IF(OR(TYPE(U161)&gt;1,TYPE(MATCH(U161,AA$11:AA$203,0))&gt;1),0,MATCH(U161,AA$11:AA$203,0))</f>
        <v>0</v>
      </c>
      <c r="AQ161" s="72">
        <f ca="1">IF(OR(TYPE(AA161)&gt;1,TYPE(MATCH(AA161,I$11:I$203,0))&gt;1),0,MATCH(AA161,I$11:I$203,0))+IF(OR(TYPE(AA161)&gt;1,TYPE(MATCH(AA161,O$11:O$203,0))&gt;1),0,MATCH(AA161,O$11:O$203,0))+IF(OR(TYPE(AA161)&gt;1,TYPE(MATCH(AA161,U$11:U$203,0))&gt;1),0,MATCH(U161,U$11:U$203,0))+IF(OR(TYPE(AA161)&gt;1,TYPE(MATCH(AA161,AA162:AA$203,0))&gt;1),0,MATCH(AA161,AA162:AA$203,0))</f>
        <v>0</v>
      </c>
      <c r="AR161" s="72">
        <f t="shared" ca="1" si="74"/>
        <v>0</v>
      </c>
    </row>
    <row r="162" spans="1:44" ht="14.25">
      <c r="A162" s="103">
        <f t="shared" ca="1" si="60"/>
        <v>0</v>
      </c>
      <c r="B162" s="103">
        <f t="shared" ca="1" si="61"/>
        <v>0</v>
      </c>
      <c r="C162" s="156">
        <f t="shared" ca="1" si="62"/>
        <v>0</v>
      </c>
      <c r="D162" s="103">
        <f t="shared" ca="1" si="63"/>
        <v>99999</v>
      </c>
      <c r="E162" s="103">
        <f t="shared" ca="1" si="64"/>
        <v>9999</v>
      </c>
      <c r="F162" s="104" t="str">
        <f t="shared" ca="1" si="65"/>
        <v>00000000000000000000434292</v>
      </c>
      <c r="G162" s="145">
        <f t="shared" ca="1" si="66"/>
        <v>1</v>
      </c>
      <c r="H162" s="146">
        <f t="shared" si="67"/>
        <v>152</v>
      </c>
      <c r="I162" s="147" t="str">
        <f t="shared" ca="1" si="68"/>
        <v/>
      </c>
      <c r="J162" s="148" t="str">
        <f ca="1">IF(N(I162)&gt;0,VLOOKUP(I162,Hraci!$A$1:$I$1000,2,0),IF(TYPE(INDIRECT(ADDRESS(ROW() + $A$9-9 + (ROW()-11)*4,2,1,1,"Internet")))&gt;1,INDIRECT(ADDRESS(ROW() + $A$9-9 + (ROW()-11)*4,2,1,1,"Internet"))," "))</f>
        <v xml:space="preserve"> </v>
      </c>
      <c r="K162" s="149" t="str">
        <f ca="1">IF(N(I162)&gt;0,VLOOKUP(I162,Hraci!$A$1:$I$1000,3,0)," ")</f>
        <v xml:space="preserve"> </v>
      </c>
      <c r="L162" s="149" t="str">
        <f ca="1">IF(N(I162)&gt;0,VLOOKUP(I162,Hraci!$A$1:$I$1000,5,0),IF(TYPE(INDIRECT(ADDRESS(ROW() + $A$9-9 + (ROW()-11)*4,3,1,1,"Internet")))&gt;1,INDIRECT(ADDRESS(ROW() + $A$9-9 + (ROW()-11)*4,3,1,1,"Internet"))," "))</f>
        <v xml:space="preserve"> </v>
      </c>
      <c r="M162" s="149">
        <f ca="1">IF(N(I162)=0,9999,VLOOKUP(I162,Hraci!$A$1:$I$1000,8,0))</f>
        <v>9999</v>
      </c>
      <c r="N162" s="150">
        <f ca="1">IF(N(I162)=0,0,VLOOKUP(I162,Hraci!$A$1:$I$1000,9,0))</f>
        <v>0</v>
      </c>
      <c r="O162" s="147" t="str">
        <f t="shared" ca="1" si="69"/>
        <v/>
      </c>
      <c r="P162" s="148" t="str">
        <f ca="1">IF(N(O162)&gt;0,VLOOKUP(O162,Hraci!$A$1:$I$1000,2,0),IF(TYPE(INDIRECT(ADDRESS(ROW() + $A$9-8 + (ROW()-11)*4,2,1,1,"Internet")))&gt;1,INDIRECT(ADDRESS(ROW() + $A$9-8 + (ROW()-11)*4,2,1,1,"Internet"))," "))</f>
        <v xml:space="preserve"> </v>
      </c>
      <c r="Q162" s="149" t="str">
        <f ca="1">IF(N(O162)&gt;0,VLOOKUP(O162,Hraci!$A$1:$I$1000,3,0)," ")</f>
        <v xml:space="preserve"> </v>
      </c>
      <c r="R162" s="149" t="str">
        <f ca="1">IF(N(O162)&gt;0,VLOOKUP(O162,Hraci!$A$1:$I$1000,5,0),IF(TYPE(INDIRECT(ADDRESS(ROW() + $A$9-8 + (ROW()-11)*4,3,1,1,"Internet")))&gt;1,INDIRECT(ADDRESS(ROW() + $A$9-8 + (ROW()-11)*4,3,1,1,"Internet"))," "))</f>
        <v xml:space="preserve"> </v>
      </c>
      <c r="S162" s="149">
        <f ca="1">IF(N(O162)=0,9999,VLOOKUP(O162,Hraci!$A$1:$I$1000,8,0))</f>
        <v>9999</v>
      </c>
      <c r="T162" s="150">
        <f ca="1">IF(N(O162)=0,0,VLOOKUP(O162,Hraci!$A$1:$I$1000,9,0))</f>
        <v>0</v>
      </c>
      <c r="U162" s="147" t="str">
        <f t="shared" ca="1" si="70"/>
        <v/>
      </c>
      <c r="V162" s="148" t="str">
        <f ca="1">IF(N(U162)&gt;0,VLOOKUP(U162,Hraci!$A$1:$I$1000,2,0),IF(TYPE(INDIRECT(ADDRESS(ROW() + $A$9-7 + (ROW()-11)*4,2,1,1,"Internet")))&gt;1,INDIRECT(ADDRESS(ROW() + $A$9-7 + (ROW()-11)*4,2,1,1,"Internet"))," "))</f>
        <v xml:space="preserve"> </v>
      </c>
      <c r="W162" s="149" t="str">
        <f ca="1">IF(N(U162)&gt;0,VLOOKUP(U162,Hraci!$A$1:$I$1000,3,0)," ")</f>
        <v xml:space="preserve"> </v>
      </c>
      <c r="X162" s="149" t="str">
        <f ca="1">IF(N(U162)&gt;0,VLOOKUP(U162,Hraci!$A$1:$I$1000,5,0),IF(TYPE(INDIRECT(ADDRESS(ROW() + $A$9-7 + (ROW()-11)*4,3,1,1,"Internet")))&gt;1,INDIRECT(ADDRESS(ROW() + $A$9-7 + (ROW()-11)*4,3,1,1,"Internet"))," "))</f>
        <v xml:space="preserve"> </v>
      </c>
      <c r="Y162" s="149">
        <f ca="1">IF(N(U162)=0,9999,VLOOKUP(U162,Hraci!$A$1:$I$1000,8,0))</f>
        <v>9999</v>
      </c>
      <c r="Z162" s="150">
        <f ca="1">IF(N(U162)=0,0,VLOOKUP(U162,Hraci!$A$1:$I$1000,9,0))</f>
        <v>0</v>
      </c>
      <c r="AA162" s="147" t="str">
        <f t="shared" ca="1" si="71"/>
        <v/>
      </c>
      <c r="AB162" s="148" t="str">
        <f ca="1">IF(N(AA162)&gt;0,VLOOKUP(AA162,Hraci!$A$1:$I$1000,2,0)," ")</f>
        <v xml:space="preserve"> </v>
      </c>
      <c r="AC162" s="149" t="str">
        <f ca="1">IF(N(AA162)&gt;0,VLOOKUP(AA162,Hraci!$A$1:$I$1000,3,0)," ")</f>
        <v xml:space="preserve"> </v>
      </c>
      <c r="AD162" s="149" t="str">
        <f ca="1">IF(N(AA162)&gt;0,VLOOKUP(AA162,Hraci!$A$1:$I$1000,5,0)," ")</f>
        <v xml:space="preserve"> </v>
      </c>
      <c r="AE162" s="149">
        <f ca="1">IF(N(AA162)=0,9999,VLOOKUP(AA162,Hraci!$A$1:$I$1000,8,0))</f>
        <v>9999</v>
      </c>
      <c r="AF162" s="150">
        <f ca="1">IF(N(AA162)=0,0,VLOOKUP(AA162,Hraci!$A$1:$I$1000,9,0))</f>
        <v>0</v>
      </c>
      <c r="AG162" s="147"/>
      <c r="AH162" s="151">
        <f ca="1">IF(TYPE(VLOOKUP(H162,Nasazení!$A$3:$E$130,5,0))&lt;4,VLOOKUP(H162,Nasazení!$A$3:$E$130,5,0),0)</f>
        <v>0</v>
      </c>
      <c r="AI162" s="152" t="str">
        <f ca="1">IF(N($AH162)&gt;0,VLOOKUP($AH162,Body!$A$4:$F$259,5,0),"")</f>
        <v/>
      </c>
      <c r="AJ162" s="153" t="str">
        <f ca="1">IF(N($AH162)&gt;0,VLOOKUP($AH162,Body!$A$4:$F$259,6,0),"")</f>
        <v/>
      </c>
      <c r="AK162" s="152" t="str">
        <f ca="1">IF(N($AH162)&gt;0,VLOOKUP($AH162,Body!$A$4:$F$259,2,0),"")</f>
        <v/>
      </c>
      <c r="AL162" s="154" t="str">
        <f t="shared" ca="1" si="72"/>
        <v/>
      </c>
      <c r="AM162" s="155">
        <f t="shared" ca="1" si="73"/>
        <v>0</v>
      </c>
      <c r="AN162" s="72">
        <f ca="1">IF(OR(TYPE(I162)&gt;1,TYPE(MATCH(I162,I163:I$203,0))&gt;1),0,MATCH(I162,I163:I$203,0))+IF(OR(TYPE(I162)&gt;1,TYPE(MATCH(I162,O$11:O$203,0))&gt;1),0,MATCH(I162,O$11:O$203,0))+IF(OR(TYPE(I162)&gt;1,TYPE(MATCH(I162,U$11:U$203,0))&gt;1),0,MATCH(I162,U$11:U$203,0))+IF(OR(TYPE(I162)&gt;1,TYPE(MATCH(I162,AA$11:AA$203,0))&gt;1),0,MATCH(I162,AA$11:AA$203,0))</f>
        <v>0</v>
      </c>
      <c r="AO162" s="72">
        <f ca="1">IF(OR(TYPE(O162)&gt;1,TYPE(MATCH(O162,I$11:I$203,0))&gt;1),0,MATCH(O162,I$11:I$203,0))+IF(OR(TYPE(O162)&gt;1,TYPE(MATCH(O162,O163:O$203,0))&gt;1),0,MATCH(O162,O163:O$203,0))+IF(OR(TYPE(O162)&gt;1,TYPE(MATCH(O162,U$11:U$203,0))&gt;1),0,MATCH(O162,U$11:U$203,0))+IF(OR(TYPE(O162)&gt;1,TYPE(MATCH(O162,AA$11:AA$203,0))&gt;1),0,MATCH(O162,AA$11:AA$203,0))</f>
        <v>0</v>
      </c>
      <c r="AP162" s="72">
        <f ca="1">IF(OR(TYPE(U162)&gt;1,TYPE(MATCH(U162,I$11:I$203,0))&gt;1),0,MATCH(U162,I$11:I$203,0))+IF(OR(TYPE(U162)&gt;1,TYPE(MATCH(U162,O$11:O$203,0))&gt;1),0,MATCH(U162,O$11:O$203,0))+IF(OR(TYPE(U162)&gt;1,TYPE(MATCH(U162,U163:U$203,0))&gt;1),0,MATCH(U162,U163:U$203,0))+IF(OR(TYPE(U162)&gt;1,TYPE(MATCH(U162,AA$11:AA$203,0))&gt;1),0,MATCH(U162,AA$11:AA$203,0))</f>
        <v>0</v>
      </c>
      <c r="AQ162" s="72">
        <f ca="1">IF(OR(TYPE(AA162)&gt;1,TYPE(MATCH(AA162,I$11:I$203,0))&gt;1),0,MATCH(AA162,I$11:I$203,0))+IF(OR(TYPE(AA162)&gt;1,TYPE(MATCH(AA162,O$11:O$203,0))&gt;1),0,MATCH(AA162,O$11:O$203,0))+IF(OR(TYPE(AA162)&gt;1,TYPE(MATCH(AA162,U$11:U$203,0))&gt;1),0,MATCH(U162,U$11:U$203,0))+IF(OR(TYPE(AA162)&gt;1,TYPE(MATCH(AA162,AA163:AA$203,0))&gt;1),0,MATCH(AA162,AA163:AA$203,0))</f>
        <v>0</v>
      </c>
      <c r="AR162" s="72">
        <f t="shared" ca="1" si="74"/>
        <v>0</v>
      </c>
    </row>
    <row r="163" spans="1:44" ht="14.25">
      <c r="A163" s="103">
        <f t="shared" ca="1" si="60"/>
        <v>0</v>
      </c>
      <c r="B163" s="103">
        <f t="shared" ca="1" si="61"/>
        <v>0</v>
      </c>
      <c r="C163" s="156">
        <f t="shared" ca="1" si="62"/>
        <v>0</v>
      </c>
      <c r="D163" s="103">
        <f t="shared" ca="1" si="63"/>
        <v>99999</v>
      </c>
      <c r="E163" s="103">
        <f t="shared" ca="1" si="64"/>
        <v>9999</v>
      </c>
      <c r="F163" s="104" t="str">
        <f t="shared" ca="1" si="65"/>
        <v>00000000000000000000122282</v>
      </c>
      <c r="G163" s="145">
        <f t="shared" ca="1" si="66"/>
        <v>1</v>
      </c>
      <c r="H163" s="146">
        <f t="shared" si="67"/>
        <v>153</v>
      </c>
      <c r="I163" s="147" t="str">
        <f t="shared" ca="1" si="68"/>
        <v/>
      </c>
      <c r="J163" s="148" t="str">
        <f ca="1">IF(N(I163)&gt;0,VLOOKUP(I163,Hraci!$A$1:$I$1000,2,0),IF(TYPE(INDIRECT(ADDRESS(ROW() + $A$9-9 + (ROW()-11)*4,2,1,1,"Internet")))&gt;1,INDIRECT(ADDRESS(ROW() + $A$9-9 + (ROW()-11)*4,2,1,1,"Internet"))," "))</f>
        <v xml:space="preserve"> </v>
      </c>
      <c r="K163" s="149" t="str">
        <f ca="1">IF(N(I163)&gt;0,VLOOKUP(I163,Hraci!$A$1:$I$1000,3,0)," ")</f>
        <v xml:space="preserve"> </v>
      </c>
      <c r="L163" s="149" t="str">
        <f ca="1">IF(N(I163)&gt;0,VLOOKUP(I163,Hraci!$A$1:$I$1000,5,0),IF(TYPE(INDIRECT(ADDRESS(ROW() + $A$9-9 + (ROW()-11)*4,3,1,1,"Internet")))&gt;1,INDIRECT(ADDRESS(ROW() + $A$9-9 + (ROW()-11)*4,3,1,1,"Internet"))," "))</f>
        <v xml:space="preserve"> </v>
      </c>
      <c r="M163" s="149">
        <f ca="1">IF(N(I163)=0,9999,VLOOKUP(I163,Hraci!$A$1:$I$1000,8,0))</f>
        <v>9999</v>
      </c>
      <c r="N163" s="150">
        <f ca="1">IF(N(I163)=0,0,VLOOKUP(I163,Hraci!$A$1:$I$1000,9,0))</f>
        <v>0</v>
      </c>
      <c r="O163" s="147" t="str">
        <f t="shared" ca="1" si="69"/>
        <v/>
      </c>
      <c r="P163" s="148" t="str">
        <f ca="1">IF(N(O163)&gt;0,VLOOKUP(O163,Hraci!$A$1:$I$1000,2,0),IF(TYPE(INDIRECT(ADDRESS(ROW() + $A$9-8 + (ROW()-11)*4,2,1,1,"Internet")))&gt;1,INDIRECT(ADDRESS(ROW() + $A$9-8 + (ROW()-11)*4,2,1,1,"Internet"))," "))</f>
        <v xml:space="preserve"> </v>
      </c>
      <c r="Q163" s="149" t="str">
        <f ca="1">IF(N(O163)&gt;0,VLOOKUP(O163,Hraci!$A$1:$I$1000,3,0)," ")</f>
        <v xml:space="preserve"> </v>
      </c>
      <c r="R163" s="149" t="str">
        <f ca="1">IF(N(O163)&gt;0,VLOOKUP(O163,Hraci!$A$1:$I$1000,5,0),IF(TYPE(INDIRECT(ADDRESS(ROW() + $A$9-8 + (ROW()-11)*4,3,1,1,"Internet")))&gt;1,INDIRECT(ADDRESS(ROW() + $A$9-8 + (ROW()-11)*4,3,1,1,"Internet"))," "))</f>
        <v xml:space="preserve"> </v>
      </c>
      <c r="S163" s="149">
        <f ca="1">IF(N(O163)=0,9999,VLOOKUP(O163,Hraci!$A$1:$I$1000,8,0))</f>
        <v>9999</v>
      </c>
      <c r="T163" s="150">
        <f ca="1">IF(N(O163)=0,0,VLOOKUP(O163,Hraci!$A$1:$I$1000,9,0))</f>
        <v>0</v>
      </c>
      <c r="U163" s="147" t="str">
        <f t="shared" ca="1" si="70"/>
        <v/>
      </c>
      <c r="V163" s="148" t="str">
        <f ca="1">IF(N(U163)&gt;0,VLOOKUP(U163,Hraci!$A$1:$I$1000,2,0),IF(TYPE(INDIRECT(ADDRESS(ROW() + $A$9-7 + (ROW()-11)*4,2,1,1,"Internet")))&gt;1,INDIRECT(ADDRESS(ROW() + $A$9-7 + (ROW()-11)*4,2,1,1,"Internet"))," "))</f>
        <v xml:space="preserve"> </v>
      </c>
      <c r="W163" s="149" t="str">
        <f ca="1">IF(N(U163)&gt;0,VLOOKUP(U163,Hraci!$A$1:$I$1000,3,0)," ")</f>
        <v xml:space="preserve"> </v>
      </c>
      <c r="X163" s="149" t="str">
        <f ca="1">IF(N(U163)&gt;0,VLOOKUP(U163,Hraci!$A$1:$I$1000,5,0),IF(TYPE(INDIRECT(ADDRESS(ROW() + $A$9-7 + (ROW()-11)*4,3,1,1,"Internet")))&gt;1,INDIRECT(ADDRESS(ROW() + $A$9-7 + (ROW()-11)*4,3,1,1,"Internet"))," "))</f>
        <v xml:space="preserve"> </v>
      </c>
      <c r="Y163" s="149">
        <f ca="1">IF(N(U163)=0,9999,VLOOKUP(U163,Hraci!$A$1:$I$1000,8,0))</f>
        <v>9999</v>
      </c>
      <c r="Z163" s="150">
        <f ca="1">IF(N(U163)=0,0,VLOOKUP(U163,Hraci!$A$1:$I$1000,9,0))</f>
        <v>0</v>
      </c>
      <c r="AA163" s="147" t="str">
        <f t="shared" ca="1" si="71"/>
        <v/>
      </c>
      <c r="AB163" s="148" t="str">
        <f ca="1">IF(N(AA163)&gt;0,VLOOKUP(AA163,Hraci!$A$1:$I$1000,2,0)," ")</f>
        <v xml:space="preserve"> </v>
      </c>
      <c r="AC163" s="149" t="str">
        <f ca="1">IF(N(AA163)&gt;0,VLOOKUP(AA163,Hraci!$A$1:$I$1000,3,0)," ")</f>
        <v xml:space="preserve"> </v>
      </c>
      <c r="AD163" s="149" t="str">
        <f ca="1">IF(N(AA163)&gt;0,VLOOKUP(AA163,Hraci!$A$1:$I$1000,5,0)," ")</f>
        <v xml:space="preserve"> </v>
      </c>
      <c r="AE163" s="149">
        <f ca="1">IF(N(AA163)=0,9999,VLOOKUP(AA163,Hraci!$A$1:$I$1000,8,0))</f>
        <v>9999</v>
      </c>
      <c r="AF163" s="150">
        <f ca="1">IF(N(AA163)=0,0,VLOOKUP(AA163,Hraci!$A$1:$I$1000,9,0))</f>
        <v>0</v>
      </c>
      <c r="AG163" s="147"/>
      <c r="AH163" s="151">
        <f ca="1">IF(TYPE(VLOOKUP(H163,Nasazení!$A$3:$E$130,5,0))&lt;4,VLOOKUP(H163,Nasazení!$A$3:$E$130,5,0),0)</f>
        <v>0</v>
      </c>
      <c r="AI163" s="152" t="str">
        <f ca="1">IF(N($AH163)&gt;0,VLOOKUP($AH163,Body!$A$4:$F$259,5,0),"")</f>
        <v/>
      </c>
      <c r="AJ163" s="153" t="str">
        <f ca="1">IF(N($AH163)&gt;0,VLOOKUP($AH163,Body!$A$4:$F$259,6,0),"")</f>
        <v/>
      </c>
      <c r="AK163" s="152" t="str">
        <f ca="1">IF(N($AH163)&gt;0,VLOOKUP($AH163,Body!$A$4:$F$259,2,0),"")</f>
        <v/>
      </c>
      <c r="AL163" s="154" t="str">
        <f t="shared" ca="1" si="72"/>
        <v/>
      </c>
      <c r="AM163" s="155">
        <f t="shared" ca="1" si="73"/>
        <v>0</v>
      </c>
      <c r="AN163" s="72">
        <f ca="1">IF(OR(TYPE(I163)&gt;1,TYPE(MATCH(I163,I164:I$203,0))&gt;1),0,MATCH(I163,I164:I$203,0))+IF(OR(TYPE(I163)&gt;1,TYPE(MATCH(I163,O$11:O$203,0))&gt;1),0,MATCH(I163,O$11:O$203,0))+IF(OR(TYPE(I163)&gt;1,TYPE(MATCH(I163,U$11:U$203,0))&gt;1),0,MATCH(I163,U$11:U$203,0))+IF(OR(TYPE(I163)&gt;1,TYPE(MATCH(I163,AA$11:AA$203,0))&gt;1),0,MATCH(I163,AA$11:AA$203,0))</f>
        <v>0</v>
      </c>
      <c r="AO163" s="72">
        <f ca="1">IF(OR(TYPE(O163)&gt;1,TYPE(MATCH(O163,I$11:I$203,0))&gt;1),0,MATCH(O163,I$11:I$203,0))+IF(OR(TYPE(O163)&gt;1,TYPE(MATCH(O163,O164:O$203,0))&gt;1),0,MATCH(O163,O164:O$203,0))+IF(OR(TYPE(O163)&gt;1,TYPE(MATCH(O163,U$11:U$203,0))&gt;1),0,MATCH(O163,U$11:U$203,0))+IF(OR(TYPE(O163)&gt;1,TYPE(MATCH(O163,AA$11:AA$203,0))&gt;1),0,MATCH(O163,AA$11:AA$203,0))</f>
        <v>0</v>
      </c>
      <c r="AP163" s="72">
        <f ca="1">IF(OR(TYPE(U163)&gt;1,TYPE(MATCH(U163,I$11:I$203,0))&gt;1),0,MATCH(U163,I$11:I$203,0))+IF(OR(TYPE(U163)&gt;1,TYPE(MATCH(U163,O$11:O$203,0))&gt;1),0,MATCH(U163,O$11:O$203,0))+IF(OR(TYPE(U163)&gt;1,TYPE(MATCH(U163,U164:U$203,0))&gt;1),0,MATCH(U163,U164:U$203,0))+IF(OR(TYPE(U163)&gt;1,TYPE(MATCH(U163,AA$11:AA$203,0))&gt;1),0,MATCH(U163,AA$11:AA$203,0))</f>
        <v>0</v>
      </c>
      <c r="AQ163" s="72">
        <f ca="1">IF(OR(TYPE(AA163)&gt;1,TYPE(MATCH(AA163,I$11:I$203,0))&gt;1),0,MATCH(AA163,I$11:I$203,0))+IF(OR(TYPE(AA163)&gt;1,TYPE(MATCH(AA163,O$11:O$203,0))&gt;1),0,MATCH(AA163,O$11:O$203,0))+IF(OR(TYPE(AA163)&gt;1,TYPE(MATCH(AA163,U$11:U$203,0))&gt;1),0,MATCH(U163,U$11:U$203,0))+IF(OR(TYPE(AA163)&gt;1,TYPE(MATCH(AA163,AA164:AA$203,0))&gt;1),0,MATCH(AA163,AA164:AA$203,0))</f>
        <v>0</v>
      </c>
      <c r="AR163" s="72">
        <f t="shared" ca="1" si="74"/>
        <v>0</v>
      </c>
    </row>
    <row r="164" spans="1:44" ht="14.25">
      <c r="A164" s="103">
        <f t="shared" ca="1" si="60"/>
        <v>0</v>
      </c>
      <c r="B164" s="103">
        <f t="shared" ca="1" si="61"/>
        <v>0</v>
      </c>
      <c r="C164" s="156">
        <f t="shared" ca="1" si="62"/>
        <v>0</v>
      </c>
      <c r="D164" s="103">
        <f t="shared" ca="1" si="63"/>
        <v>99999</v>
      </c>
      <c r="E164" s="103">
        <f t="shared" ca="1" si="64"/>
        <v>9999</v>
      </c>
      <c r="F164" s="104" t="str">
        <f t="shared" ca="1" si="65"/>
        <v>00000000000000000000808139</v>
      </c>
      <c r="G164" s="145">
        <f t="shared" ca="1" si="66"/>
        <v>1</v>
      </c>
      <c r="H164" s="146">
        <f t="shared" si="67"/>
        <v>154</v>
      </c>
      <c r="I164" s="147" t="str">
        <f t="shared" ca="1" si="68"/>
        <v/>
      </c>
      <c r="J164" s="148" t="str">
        <f ca="1">IF(N(I164)&gt;0,VLOOKUP(I164,Hraci!$A$1:$I$1000,2,0),IF(TYPE(INDIRECT(ADDRESS(ROW() + $A$9-9 + (ROW()-11)*4,2,1,1,"Internet")))&gt;1,INDIRECT(ADDRESS(ROW() + $A$9-9 + (ROW()-11)*4,2,1,1,"Internet"))," "))</f>
        <v xml:space="preserve"> </v>
      </c>
      <c r="K164" s="149" t="str">
        <f ca="1">IF(N(I164)&gt;0,VLOOKUP(I164,Hraci!$A$1:$I$1000,3,0)," ")</f>
        <v xml:space="preserve"> </v>
      </c>
      <c r="L164" s="149" t="str">
        <f ca="1">IF(N(I164)&gt;0,VLOOKUP(I164,Hraci!$A$1:$I$1000,5,0),IF(TYPE(INDIRECT(ADDRESS(ROW() + $A$9-9 + (ROW()-11)*4,3,1,1,"Internet")))&gt;1,INDIRECT(ADDRESS(ROW() + $A$9-9 + (ROW()-11)*4,3,1,1,"Internet"))," "))</f>
        <v xml:space="preserve"> </v>
      </c>
      <c r="M164" s="149">
        <f ca="1">IF(N(I164)=0,9999,VLOOKUP(I164,Hraci!$A$1:$I$1000,8,0))</f>
        <v>9999</v>
      </c>
      <c r="N164" s="150">
        <f ca="1">IF(N(I164)=0,0,VLOOKUP(I164,Hraci!$A$1:$I$1000,9,0))</f>
        <v>0</v>
      </c>
      <c r="O164" s="147" t="str">
        <f t="shared" ca="1" si="69"/>
        <v/>
      </c>
      <c r="P164" s="148" t="str">
        <f ca="1">IF(N(O164)&gt;0,VLOOKUP(O164,Hraci!$A$1:$I$1000,2,0),IF(TYPE(INDIRECT(ADDRESS(ROW() + $A$9-8 + (ROW()-11)*4,2,1,1,"Internet")))&gt;1,INDIRECT(ADDRESS(ROW() + $A$9-8 + (ROW()-11)*4,2,1,1,"Internet"))," "))</f>
        <v xml:space="preserve"> </v>
      </c>
      <c r="Q164" s="149" t="str">
        <f ca="1">IF(N(O164)&gt;0,VLOOKUP(O164,Hraci!$A$1:$I$1000,3,0)," ")</f>
        <v xml:space="preserve"> </v>
      </c>
      <c r="R164" s="149" t="str">
        <f ca="1">IF(N(O164)&gt;0,VLOOKUP(O164,Hraci!$A$1:$I$1000,5,0),IF(TYPE(INDIRECT(ADDRESS(ROW() + $A$9-8 + (ROW()-11)*4,3,1,1,"Internet")))&gt;1,INDIRECT(ADDRESS(ROW() + $A$9-8 + (ROW()-11)*4,3,1,1,"Internet"))," "))</f>
        <v xml:space="preserve"> </v>
      </c>
      <c r="S164" s="149">
        <f ca="1">IF(N(O164)=0,9999,VLOOKUP(O164,Hraci!$A$1:$I$1000,8,0))</f>
        <v>9999</v>
      </c>
      <c r="T164" s="150">
        <f ca="1">IF(N(O164)=0,0,VLOOKUP(O164,Hraci!$A$1:$I$1000,9,0))</f>
        <v>0</v>
      </c>
      <c r="U164" s="147" t="str">
        <f t="shared" ca="1" si="70"/>
        <v/>
      </c>
      <c r="V164" s="148" t="str">
        <f ca="1">IF(N(U164)&gt;0,VLOOKUP(U164,Hraci!$A$1:$I$1000,2,0),IF(TYPE(INDIRECT(ADDRESS(ROW() + $A$9-7 + (ROW()-11)*4,2,1,1,"Internet")))&gt;1,INDIRECT(ADDRESS(ROW() + $A$9-7 + (ROW()-11)*4,2,1,1,"Internet"))," "))</f>
        <v xml:space="preserve"> </v>
      </c>
      <c r="W164" s="149" t="str">
        <f ca="1">IF(N(U164)&gt;0,VLOOKUP(U164,Hraci!$A$1:$I$1000,3,0)," ")</f>
        <v xml:space="preserve"> </v>
      </c>
      <c r="X164" s="149" t="str">
        <f ca="1">IF(N(U164)&gt;0,VLOOKUP(U164,Hraci!$A$1:$I$1000,5,0),IF(TYPE(INDIRECT(ADDRESS(ROW() + $A$9-7 + (ROW()-11)*4,3,1,1,"Internet")))&gt;1,INDIRECT(ADDRESS(ROW() + $A$9-7 + (ROW()-11)*4,3,1,1,"Internet"))," "))</f>
        <v xml:space="preserve"> </v>
      </c>
      <c r="Y164" s="149">
        <f ca="1">IF(N(U164)=0,9999,VLOOKUP(U164,Hraci!$A$1:$I$1000,8,0))</f>
        <v>9999</v>
      </c>
      <c r="Z164" s="150">
        <f ca="1">IF(N(U164)=0,0,VLOOKUP(U164,Hraci!$A$1:$I$1000,9,0))</f>
        <v>0</v>
      </c>
      <c r="AA164" s="147" t="str">
        <f t="shared" ca="1" si="71"/>
        <v/>
      </c>
      <c r="AB164" s="148" t="str">
        <f ca="1">IF(N(AA164)&gt;0,VLOOKUP(AA164,Hraci!$A$1:$I$1000,2,0)," ")</f>
        <v xml:space="preserve"> </v>
      </c>
      <c r="AC164" s="149" t="str">
        <f ca="1">IF(N(AA164)&gt;0,VLOOKUP(AA164,Hraci!$A$1:$I$1000,3,0)," ")</f>
        <v xml:space="preserve"> </v>
      </c>
      <c r="AD164" s="149" t="str">
        <f ca="1">IF(N(AA164)&gt;0,VLOOKUP(AA164,Hraci!$A$1:$I$1000,5,0)," ")</f>
        <v xml:space="preserve"> </v>
      </c>
      <c r="AE164" s="149">
        <f ca="1">IF(N(AA164)=0,9999,VLOOKUP(AA164,Hraci!$A$1:$I$1000,8,0))</f>
        <v>9999</v>
      </c>
      <c r="AF164" s="150">
        <f ca="1">IF(N(AA164)=0,0,VLOOKUP(AA164,Hraci!$A$1:$I$1000,9,0))</f>
        <v>0</v>
      </c>
      <c r="AG164" s="147"/>
      <c r="AH164" s="151">
        <f ca="1">IF(TYPE(VLOOKUP(H164,Nasazení!$A$3:$E$130,5,0))&lt;4,VLOOKUP(H164,Nasazení!$A$3:$E$130,5,0),0)</f>
        <v>0</v>
      </c>
      <c r="AI164" s="152" t="str">
        <f ca="1">IF(N($AH164)&gt;0,VLOOKUP($AH164,Body!$A$4:$F$259,5,0),"")</f>
        <v/>
      </c>
      <c r="AJ164" s="153" t="str">
        <f ca="1">IF(N($AH164)&gt;0,VLOOKUP($AH164,Body!$A$4:$F$259,6,0),"")</f>
        <v/>
      </c>
      <c r="AK164" s="152" t="str">
        <f ca="1">IF(N($AH164)&gt;0,VLOOKUP($AH164,Body!$A$4:$F$259,2,0),"")</f>
        <v/>
      </c>
      <c r="AL164" s="154" t="str">
        <f t="shared" ca="1" si="72"/>
        <v/>
      </c>
      <c r="AM164" s="155">
        <f t="shared" ca="1" si="73"/>
        <v>0</v>
      </c>
      <c r="AN164" s="72">
        <f ca="1">IF(OR(TYPE(I164)&gt;1,TYPE(MATCH(I164,I165:I$203,0))&gt;1),0,MATCH(I164,I165:I$203,0))+IF(OR(TYPE(I164)&gt;1,TYPE(MATCH(I164,O$11:O$203,0))&gt;1),0,MATCH(I164,O$11:O$203,0))+IF(OR(TYPE(I164)&gt;1,TYPE(MATCH(I164,U$11:U$203,0))&gt;1),0,MATCH(I164,U$11:U$203,0))+IF(OR(TYPE(I164)&gt;1,TYPE(MATCH(I164,AA$11:AA$203,0))&gt;1),0,MATCH(I164,AA$11:AA$203,0))</f>
        <v>0</v>
      </c>
      <c r="AO164" s="72">
        <f ca="1">IF(OR(TYPE(O164)&gt;1,TYPE(MATCH(O164,I$11:I$203,0))&gt;1),0,MATCH(O164,I$11:I$203,0))+IF(OR(TYPE(O164)&gt;1,TYPE(MATCH(O164,O165:O$203,0))&gt;1),0,MATCH(O164,O165:O$203,0))+IF(OR(TYPE(O164)&gt;1,TYPE(MATCH(O164,U$11:U$203,0))&gt;1),0,MATCH(O164,U$11:U$203,0))+IF(OR(TYPE(O164)&gt;1,TYPE(MATCH(O164,AA$11:AA$203,0))&gt;1),0,MATCH(O164,AA$11:AA$203,0))</f>
        <v>0</v>
      </c>
      <c r="AP164" s="72">
        <f ca="1">IF(OR(TYPE(U164)&gt;1,TYPE(MATCH(U164,I$11:I$203,0))&gt;1),0,MATCH(U164,I$11:I$203,0))+IF(OR(TYPE(U164)&gt;1,TYPE(MATCH(U164,O$11:O$203,0))&gt;1),0,MATCH(U164,O$11:O$203,0))+IF(OR(TYPE(U164)&gt;1,TYPE(MATCH(U164,U165:U$203,0))&gt;1),0,MATCH(U164,U165:U$203,0))+IF(OR(TYPE(U164)&gt;1,TYPE(MATCH(U164,AA$11:AA$203,0))&gt;1),0,MATCH(U164,AA$11:AA$203,0))</f>
        <v>0</v>
      </c>
      <c r="AQ164" s="72">
        <f ca="1">IF(OR(TYPE(AA164)&gt;1,TYPE(MATCH(AA164,I$11:I$203,0))&gt;1),0,MATCH(AA164,I$11:I$203,0))+IF(OR(TYPE(AA164)&gt;1,TYPE(MATCH(AA164,O$11:O$203,0))&gt;1),0,MATCH(AA164,O$11:O$203,0))+IF(OR(TYPE(AA164)&gt;1,TYPE(MATCH(AA164,U$11:U$203,0))&gt;1),0,MATCH(U164,U$11:U$203,0))+IF(OR(TYPE(AA164)&gt;1,TYPE(MATCH(AA164,AA165:AA$203,0))&gt;1),0,MATCH(AA164,AA165:AA$203,0))</f>
        <v>0</v>
      </c>
      <c r="AR164" s="72">
        <f t="shared" ca="1" si="74"/>
        <v>0</v>
      </c>
    </row>
    <row r="165" spans="1:44" ht="14.25">
      <c r="A165" s="103">
        <f t="shared" ca="1" si="60"/>
        <v>0</v>
      </c>
      <c r="B165" s="103">
        <f t="shared" ca="1" si="61"/>
        <v>0</v>
      </c>
      <c r="C165" s="156">
        <f t="shared" ca="1" si="62"/>
        <v>0</v>
      </c>
      <c r="D165" s="103">
        <f t="shared" ca="1" si="63"/>
        <v>99999</v>
      </c>
      <c r="E165" s="103">
        <f t="shared" ca="1" si="64"/>
        <v>9999</v>
      </c>
      <c r="F165" s="104" t="str">
        <f t="shared" ca="1" si="65"/>
        <v>00000000000000000000735806</v>
      </c>
      <c r="G165" s="145">
        <f t="shared" ca="1" si="66"/>
        <v>1</v>
      </c>
      <c r="H165" s="146">
        <f t="shared" si="67"/>
        <v>155</v>
      </c>
      <c r="I165" s="147" t="str">
        <f t="shared" ca="1" si="68"/>
        <v/>
      </c>
      <c r="J165" s="148" t="str">
        <f ca="1">IF(N(I165)&gt;0,VLOOKUP(I165,Hraci!$A$1:$I$1000,2,0),IF(TYPE(INDIRECT(ADDRESS(ROW() + $A$9-9 + (ROW()-11)*4,2,1,1,"Internet")))&gt;1,INDIRECT(ADDRESS(ROW() + $A$9-9 + (ROW()-11)*4,2,1,1,"Internet"))," "))</f>
        <v xml:space="preserve"> </v>
      </c>
      <c r="K165" s="149" t="str">
        <f ca="1">IF(N(I165)&gt;0,VLOOKUP(I165,Hraci!$A$1:$I$1000,3,0)," ")</f>
        <v xml:space="preserve"> </v>
      </c>
      <c r="L165" s="149" t="str">
        <f ca="1">IF(N(I165)&gt;0,VLOOKUP(I165,Hraci!$A$1:$I$1000,5,0),IF(TYPE(INDIRECT(ADDRESS(ROW() + $A$9-9 + (ROW()-11)*4,3,1,1,"Internet")))&gt;1,INDIRECT(ADDRESS(ROW() + $A$9-9 + (ROW()-11)*4,3,1,1,"Internet"))," "))</f>
        <v xml:space="preserve"> </v>
      </c>
      <c r="M165" s="149">
        <f ca="1">IF(N(I165)=0,9999,VLOOKUP(I165,Hraci!$A$1:$I$1000,8,0))</f>
        <v>9999</v>
      </c>
      <c r="N165" s="150">
        <f ca="1">IF(N(I165)=0,0,VLOOKUP(I165,Hraci!$A$1:$I$1000,9,0))</f>
        <v>0</v>
      </c>
      <c r="O165" s="147" t="str">
        <f t="shared" ca="1" si="69"/>
        <v/>
      </c>
      <c r="P165" s="148" t="str">
        <f ca="1">IF(N(O165)&gt;0,VLOOKUP(O165,Hraci!$A$1:$I$1000,2,0),IF(TYPE(INDIRECT(ADDRESS(ROW() + $A$9-8 + (ROW()-11)*4,2,1,1,"Internet")))&gt;1,INDIRECT(ADDRESS(ROW() + $A$9-8 + (ROW()-11)*4,2,1,1,"Internet"))," "))</f>
        <v xml:space="preserve"> </v>
      </c>
      <c r="Q165" s="149" t="str">
        <f ca="1">IF(N(O165)&gt;0,VLOOKUP(O165,Hraci!$A$1:$I$1000,3,0)," ")</f>
        <v xml:space="preserve"> </v>
      </c>
      <c r="R165" s="149" t="str">
        <f ca="1">IF(N(O165)&gt;0,VLOOKUP(O165,Hraci!$A$1:$I$1000,5,0),IF(TYPE(INDIRECT(ADDRESS(ROW() + $A$9-8 + (ROW()-11)*4,3,1,1,"Internet")))&gt;1,INDIRECT(ADDRESS(ROW() + $A$9-8 + (ROW()-11)*4,3,1,1,"Internet"))," "))</f>
        <v xml:space="preserve"> </v>
      </c>
      <c r="S165" s="149">
        <f ca="1">IF(N(O165)=0,9999,VLOOKUP(O165,Hraci!$A$1:$I$1000,8,0))</f>
        <v>9999</v>
      </c>
      <c r="T165" s="150">
        <f ca="1">IF(N(O165)=0,0,VLOOKUP(O165,Hraci!$A$1:$I$1000,9,0))</f>
        <v>0</v>
      </c>
      <c r="U165" s="147" t="str">
        <f t="shared" ca="1" si="70"/>
        <v/>
      </c>
      <c r="V165" s="148" t="str">
        <f ca="1">IF(N(U165)&gt;0,VLOOKUP(U165,Hraci!$A$1:$I$1000,2,0),IF(TYPE(INDIRECT(ADDRESS(ROW() + $A$9-7 + (ROW()-11)*4,2,1,1,"Internet")))&gt;1,INDIRECT(ADDRESS(ROW() + $A$9-7 + (ROW()-11)*4,2,1,1,"Internet"))," "))</f>
        <v xml:space="preserve"> </v>
      </c>
      <c r="W165" s="149" t="str">
        <f ca="1">IF(N(U165)&gt;0,VLOOKUP(U165,Hraci!$A$1:$I$1000,3,0)," ")</f>
        <v xml:space="preserve"> </v>
      </c>
      <c r="X165" s="149" t="str">
        <f ca="1">IF(N(U165)&gt;0,VLOOKUP(U165,Hraci!$A$1:$I$1000,5,0),IF(TYPE(INDIRECT(ADDRESS(ROW() + $A$9-7 + (ROW()-11)*4,3,1,1,"Internet")))&gt;1,INDIRECT(ADDRESS(ROW() + $A$9-7 + (ROW()-11)*4,3,1,1,"Internet"))," "))</f>
        <v xml:space="preserve"> </v>
      </c>
      <c r="Y165" s="149">
        <f ca="1">IF(N(U165)=0,9999,VLOOKUP(U165,Hraci!$A$1:$I$1000,8,0))</f>
        <v>9999</v>
      </c>
      <c r="Z165" s="150">
        <f ca="1">IF(N(U165)=0,0,VLOOKUP(U165,Hraci!$A$1:$I$1000,9,0))</f>
        <v>0</v>
      </c>
      <c r="AA165" s="147" t="str">
        <f t="shared" ca="1" si="71"/>
        <v/>
      </c>
      <c r="AB165" s="148" t="str">
        <f ca="1">IF(N(AA165)&gt;0,VLOOKUP(AA165,Hraci!$A$1:$I$1000,2,0)," ")</f>
        <v xml:space="preserve"> </v>
      </c>
      <c r="AC165" s="149" t="str">
        <f ca="1">IF(N(AA165)&gt;0,VLOOKUP(AA165,Hraci!$A$1:$I$1000,3,0)," ")</f>
        <v xml:space="preserve"> </v>
      </c>
      <c r="AD165" s="149" t="str">
        <f ca="1">IF(N(AA165)&gt;0,VLOOKUP(AA165,Hraci!$A$1:$I$1000,5,0)," ")</f>
        <v xml:space="preserve"> </v>
      </c>
      <c r="AE165" s="149">
        <f ca="1">IF(N(AA165)=0,9999,VLOOKUP(AA165,Hraci!$A$1:$I$1000,8,0))</f>
        <v>9999</v>
      </c>
      <c r="AF165" s="150">
        <f ca="1">IF(N(AA165)=0,0,VLOOKUP(AA165,Hraci!$A$1:$I$1000,9,0))</f>
        <v>0</v>
      </c>
      <c r="AG165" s="147"/>
      <c r="AH165" s="151">
        <f ca="1">IF(TYPE(VLOOKUP(H165,Nasazení!$A$3:$E$130,5,0))&lt;4,VLOOKUP(H165,Nasazení!$A$3:$E$130,5,0),0)</f>
        <v>0</v>
      </c>
      <c r="AI165" s="152" t="str">
        <f ca="1">IF(N($AH165)&gt;0,VLOOKUP($AH165,Body!$A$4:$F$259,5,0),"")</f>
        <v/>
      </c>
      <c r="AJ165" s="153" t="str">
        <f ca="1">IF(N($AH165)&gt;0,VLOOKUP($AH165,Body!$A$4:$F$259,6,0),"")</f>
        <v/>
      </c>
      <c r="AK165" s="152" t="str">
        <f ca="1">IF(N($AH165)&gt;0,VLOOKUP($AH165,Body!$A$4:$F$259,2,0),"")</f>
        <v/>
      </c>
      <c r="AL165" s="154" t="str">
        <f t="shared" ca="1" si="72"/>
        <v/>
      </c>
      <c r="AM165" s="155">
        <f t="shared" ca="1" si="73"/>
        <v>0</v>
      </c>
      <c r="AN165" s="72">
        <f ca="1">IF(OR(TYPE(I165)&gt;1,TYPE(MATCH(I165,I166:I$203,0))&gt;1),0,MATCH(I165,I166:I$203,0))+IF(OR(TYPE(I165)&gt;1,TYPE(MATCH(I165,O$11:O$203,0))&gt;1),0,MATCH(I165,O$11:O$203,0))+IF(OR(TYPE(I165)&gt;1,TYPE(MATCH(I165,U$11:U$203,0))&gt;1),0,MATCH(I165,U$11:U$203,0))+IF(OR(TYPE(I165)&gt;1,TYPE(MATCH(I165,AA$11:AA$203,0))&gt;1),0,MATCH(I165,AA$11:AA$203,0))</f>
        <v>0</v>
      </c>
      <c r="AO165" s="72">
        <f ca="1">IF(OR(TYPE(O165)&gt;1,TYPE(MATCH(O165,I$11:I$203,0))&gt;1),0,MATCH(O165,I$11:I$203,0))+IF(OR(TYPE(O165)&gt;1,TYPE(MATCH(O165,O166:O$203,0))&gt;1),0,MATCH(O165,O166:O$203,0))+IF(OR(TYPE(O165)&gt;1,TYPE(MATCH(O165,U$11:U$203,0))&gt;1),0,MATCH(O165,U$11:U$203,0))+IF(OR(TYPE(O165)&gt;1,TYPE(MATCH(O165,AA$11:AA$203,0))&gt;1),0,MATCH(O165,AA$11:AA$203,0))</f>
        <v>0</v>
      </c>
      <c r="AP165" s="72">
        <f ca="1">IF(OR(TYPE(U165)&gt;1,TYPE(MATCH(U165,I$11:I$203,0))&gt;1),0,MATCH(U165,I$11:I$203,0))+IF(OR(TYPE(U165)&gt;1,TYPE(MATCH(U165,O$11:O$203,0))&gt;1),0,MATCH(U165,O$11:O$203,0))+IF(OR(TYPE(U165)&gt;1,TYPE(MATCH(U165,U166:U$203,0))&gt;1),0,MATCH(U165,U166:U$203,0))+IF(OR(TYPE(U165)&gt;1,TYPE(MATCH(U165,AA$11:AA$203,0))&gt;1),0,MATCH(U165,AA$11:AA$203,0))</f>
        <v>0</v>
      </c>
      <c r="AQ165" s="72">
        <f ca="1">IF(OR(TYPE(AA165)&gt;1,TYPE(MATCH(AA165,I$11:I$203,0))&gt;1),0,MATCH(AA165,I$11:I$203,0))+IF(OR(TYPE(AA165)&gt;1,TYPE(MATCH(AA165,O$11:O$203,0))&gt;1),0,MATCH(AA165,O$11:O$203,0))+IF(OR(TYPE(AA165)&gt;1,TYPE(MATCH(AA165,U$11:U$203,0))&gt;1),0,MATCH(U165,U$11:U$203,0))+IF(OR(TYPE(AA165)&gt;1,TYPE(MATCH(AA165,AA166:AA$203,0))&gt;1),0,MATCH(AA165,AA166:AA$203,0))</f>
        <v>0</v>
      </c>
      <c r="AR165" s="72">
        <f t="shared" ca="1" si="74"/>
        <v>0</v>
      </c>
    </row>
    <row r="166" spans="1:44" ht="14.25">
      <c r="A166" s="103">
        <f t="shared" ca="1" si="60"/>
        <v>0</v>
      </c>
      <c r="B166" s="103">
        <f t="shared" ca="1" si="61"/>
        <v>0</v>
      </c>
      <c r="C166" s="156">
        <f t="shared" ca="1" si="62"/>
        <v>0</v>
      </c>
      <c r="D166" s="103">
        <f t="shared" ca="1" si="63"/>
        <v>99999</v>
      </c>
      <c r="E166" s="103">
        <f t="shared" ca="1" si="64"/>
        <v>9999</v>
      </c>
      <c r="F166" s="104" t="str">
        <f t="shared" ca="1" si="65"/>
        <v>00000000000000000000294781</v>
      </c>
      <c r="G166" s="145">
        <f t="shared" ca="1" si="66"/>
        <v>1</v>
      </c>
      <c r="H166" s="146">
        <f t="shared" si="67"/>
        <v>156</v>
      </c>
      <c r="I166" s="147" t="str">
        <f t="shared" ca="1" si="68"/>
        <v/>
      </c>
      <c r="J166" s="148" t="str">
        <f ca="1">IF(N(I166)&gt;0,VLOOKUP(I166,Hraci!$A$1:$I$1000,2,0),IF(TYPE(INDIRECT(ADDRESS(ROW() + $A$9-9 + (ROW()-11)*4,2,1,1,"Internet")))&gt;1,INDIRECT(ADDRESS(ROW() + $A$9-9 + (ROW()-11)*4,2,1,1,"Internet"))," "))</f>
        <v xml:space="preserve"> </v>
      </c>
      <c r="K166" s="149" t="str">
        <f ca="1">IF(N(I166)&gt;0,VLOOKUP(I166,Hraci!$A$1:$I$1000,3,0)," ")</f>
        <v xml:space="preserve"> </v>
      </c>
      <c r="L166" s="149" t="str">
        <f ca="1">IF(N(I166)&gt;0,VLOOKUP(I166,Hraci!$A$1:$I$1000,5,0),IF(TYPE(INDIRECT(ADDRESS(ROW() + $A$9-9 + (ROW()-11)*4,3,1,1,"Internet")))&gt;1,INDIRECT(ADDRESS(ROW() + $A$9-9 + (ROW()-11)*4,3,1,1,"Internet"))," "))</f>
        <v xml:space="preserve"> </v>
      </c>
      <c r="M166" s="149">
        <f ca="1">IF(N(I166)=0,9999,VLOOKUP(I166,Hraci!$A$1:$I$1000,8,0))</f>
        <v>9999</v>
      </c>
      <c r="N166" s="150">
        <f ca="1">IF(N(I166)=0,0,VLOOKUP(I166,Hraci!$A$1:$I$1000,9,0))</f>
        <v>0</v>
      </c>
      <c r="O166" s="147" t="str">
        <f t="shared" ca="1" si="69"/>
        <v/>
      </c>
      <c r="P166" s="148" t="str">
        <f ca="1">IF(N(O166)&gt;0,VLOOKUP(O166,Hraci!$A$1:$I$1000,2,0),IF(TYPE(INDIRECT(ADDRESS(ROW() + $A$9-8 + (ROW()-11)*4,2,1,1,"Internet")))&gt;1,INDIRECT(ADDRESS(ROW() + $A$9-8 + (ROW()-11)*4,2,1,1,"Internet"))," "))</f>
        <v xml:space="preserve"> </v>
      </c>
      <c r="Q166" s="149" t="str">
        <f ca="1">IF(N(O166)&gt;0,VLOOKUP(O166,Hraci!$A$1:$I$1000,3,0)," ")</f>
        <v xml:space="preserve"> </v>
      </c>
      <c r="R166" s="149" t="str">
        <f ca="1">IF(N(O166)&gt;0,VLOOKUP(O166,Hraci!$A$1:$I$1000,5,0),IF(TYPE(INDIRECT(ADDRESS(ROW() + $A$9-8 + (ROW()-11)*4,3,1,1,"Internet")))&gt;1,INDIRECT(ADDRESS(ROW() + $A$9-8 + (ROW()-11)*4,3,1,1,"Internet"))," "))</f>
        <v xml:space="preserve"> </v>
      </c>
      <c r="S166" s="149">
        <f ca="1">IF(N(O166)=0,9999,VLOOKUP(O166,Hraci!$A$1:$I$1000,8,0))</f>
        <v>9999</v>
      </c>
      <c r="T166" s="150">
        <f ca="1">IF(N(O166)=0,0,VLOOKUP(O166,Hraci!$A$1:$I$1000,9,0))</f>
        <v>0</v>
      </c>
      <c r="U166" s="147" t="str">
        <f t="shared" ca="1" si="70"/>
        <v/>
      </c>
      <c r="V166" s="148" t="str">
        <f ca="1">IF(N(U166)&gt;0,VLOOKUP(U166,Hraci!$A$1:$I$1000,2,0),IF(TYPE(INDIRECT(ADDRESS(ROW() + $A$9-7 + (ROW()-11)*4,2,1,1,"Internet")))&gt;1,INDIRECT(ADDRESS(ROW() + $A$9-7 + (ROW()-11)*4,2,1,1,"Internet"))," "))</f>
        <v xml:space="preserve"> </v>
      </c>
      <c r="W166" s="149" t="str">
        <f ca="1">IF(N(U166)&gt;0,VLOOKUP(U166,Hraci!$A$1:$I$1000,3,0)," ")</f>
        <v xml:space="preserve"> </v>
      </c>
      <c r="X166" s="149" t="str">
        <f ca="1">IF(N(U166)&gt;0,VLOOKUP(U166,Hraci!$A$1:$I$1000,5,0),IF(TYPE(INDIRECT(ADDRESS(ROW() + $A$9-7 + (ROW()-11)*4,3,1,1,"Internet")))&gt;1,INDIRECT(ADDRESS(ROW() + $A$9-7 + (ROW()-11)*4,3,1,1,"Internet"))," "))</f>
        <v xml:space="preserve"> </v>
      </c>
      <c r="Y166" s="149">
        <f ca="1">IF(N(U166)=0,9999,VLOOKUP(U166,Hraci!$A$1:$I$1000,8,0))</f>
        <v>9999</v>
      </c>
      <c r="Z166" s="150">
        <f ca="1">IF(N(U166)=0,0,VLOOKUP(U166,Hraci!$A$1:$I$1000,9,0))</f>
        <v>0</v>
      </c>
      <c r="AA166" s="147" t="str">
        <f t="shared" ca="1" si="71"/>
        <v/>
      </c>
      <c r="AB166" s="148" t="str">
        <f ca="1">IF(N(AA166)&gt;0,VLOOKUP(AA166,Hraci!$A$1:$I$1000,2,0)," ")</f>
        <v xml:space="preserve"> </v>
      </c>
      <c r="AC166" s="149" t="str">
        <f ca="1">IF(N(AA166)&gt;0,VLOOKUP(AA166,Hraci!$A$1:$I$1000,3,0)," ")</f>
        <v xml:space="preserve"> </v>
      </c>
      <c r="AD166" s="149" t="str">
        <f ca="1">IF(N(AA166)&gt;0,VLOOKUP(AA166,Hraci!$A$1:$I$1000,5,0)," ")</f>
        <v xml:space="preserve"> </v>
      </c>
      <c r="AE166" s="149">
        <f ca="1">IF(N(AA166)=0,9999,VLOOKUP(AA166,Hraci!$A$1:$I$1000,8,0))</f>
        <v>9999</v>
      </c>
      <c r="AF166" s="150">
        <f ca="1">IF(N(AA166)=0,0,VLOOKUP(AA166,Hraci!$A$1:$I$1000,9,0))</f>
        <v>0</v>
      </c>
      <c r="AG166" s="147"/>
      <c r="AH166" s="151">
        <f ca="1">IF(TYPE(VLOOKUP(H166,Nasazení!$A$3:$E$130,5,0))&lt;4,VLOOKUP(H166,Nasazení!$A$3:$E$130,5,0),0)</f>
        <v>0</v>
      </c>
      <c r="AI166" s="152" t="str">
        <f ca="1">IF(N($AH166)&gt;0,VLOOKUP($AH166,Body!$A$4:$F$259,5,0),"")</f>
        <v/>
      </c>
      <c r="AJ166" s="153" t="str">
        <f ca="1">IF(N($AH166)&gt;0,VLOOKUP($AH166,Body!$A$4:$F$259,6,0),"")</f>
        <v/>
      </c>
      <c r="AK166" s="152" t="str">
        <f ca="1">IF(N($AH166)&gt;0,VLOOKUP($AH166,Body!$A$4:$F$259,2,0),"")</f>
        <v/>
      </c>
      <c r="AL166" s="154" t="str">
        <f t="shared" ca="1" si="72"/>
        <v/>
      </c>
      <c r="AM166" s="155">
        <f t="shared" ca="1" si="73"/>
        <v>0</v>
      </c>
      <c r="AN166" s="72">
        <f ca="1">IF(OR(TYPE(I166)&gt;1,TYPE(MATCH(I166,I167:I$203,0))&gt;1),0,MATCH(I166,I167:I$203,0))+IF(OR(TYPE(I166)&gt;1,TYPE(MATCH(I166,O$11:O$203,0))&gt;1),0,MATCH(I166,O$11:O$203,0))+IF(OR(TYPE(I166)&gt;1,TYPE(MATCH(I166,U$11:U$203,0))&gt;1),0,MATCH(I166,U$11:U$203,0))+IF(OR(TYPE(I166)&gt;1,TYPE(MATCH(I166,AA$11:AA$203,0))&gt;1),0,MATCH(I166,AA$11:AA$203,0))</f>
        <v>0</v>
      </c>
      <c r="AO166" s="72">
        <f ca="1">IF(OR(TYPE(O166)&gt;1,TYPE(MATCH(O166,I$11:I$203,0))&gt;1),0,MATCH(O166,I$11:I$203,0))+IF(OR(TYPE(O166)&gt;1,TYPE(MATCH(O166,O167:O$203,0))&gt;1),0,MATCH(O166,O167:O$203,0))+IF(OR(TYPE(O166)&gt;1,TYPE(MATCH(O166,U$11:U$203,0))&gt;1),0,MATCH(O166,U$11:U$203,0))+IF(OR(TYPE(O166)&gt;1,TYPE(MATCH(O166,AA$11:AA$203,0))&gt;1),0,MATCH(O166,AA$11:AA$203,0))</f>
        <v>0</v>
      </c>
      <c r="AP166" s="72">
        <f ca="1">IF(OR(TYPE(U166)&gt;1,TYPE(MATCH(U166,I$11:I$203,0))&gt;1),0,MATCH(U166,I$11:I$203,0))+IF(OR(TYPE(U166)&gt;1,TYPE(MATCH(U166,O$11:O$203,0))&gt;1),0,MATCH(U166,O$11:O$203,0))+IF(OR(TYPE(U166)&gt;1,TYPE(MATCH(U166,U167:U$203,0))&gt;1),0,MATCH(U166,U167:U$203,0))+IF(OR(TYPE(U166)&gt;1,TYPE(MATCH(U166,AA$11:AA$203,0))&gt;1),0,MATCH(U166,AA$11:AA$203,0))</f>
        <v>0</v>
      </c>
      <c r="AQ166" s="72">
        <f ca="1">IF(OR(TYPE(AA166)&gt;1,TYPE(MATCH(AA166,I$11:I$203,0))&gt;1),0,MATCH(AA166,I$11:I$203,0))+IF(OR(TYPE(AA166)&gt;1,TYPE(MATCH(AA166,O$11:O$203,0))&gt;1),0,MATCH(AA166,O$11:O$203,0))+IF(OR(TYPE(AA166)&gt;1,TYPE(MATCH(AA166,U$11:U$203,0))&gt;1),0,MATCH(U166,U$11:U$203,0))+IF(OR(TYPE(AA166)&gt;1,TYPE(MATCH(AA166,AA167:AA$203,0))&gt;1),0,MATCH(AA166,AA167:AA$203,0))</f>
        <v>0</v>
      </c>
      <c r="AR166" s="72">
        <f t="shared" ca="1" si="74"/>
        <v>0</v>
      </c>
    </row>
    <row r="167" spans="1:44" ht="14.25">
      <c r="A167" s="103">
        <f t="shared" ca="1" si="60"/>
        <v>0</v>
      </c>
      <c r="B167" s="103">
        <f t="shared" ca="1" si="61"/>
        <v>0</v>
      </c>
      <c r="C167" s="156">
        <f t="shared" ca="1" si="62"/>
        <v>0</v>
      </c>
      <c r="D167" s="103">
        <f t="shared" ca="1" si="63"/>
        <v>99999</v>
      </c>
      <c r="E167" s="103">
        <f t="shared" ca="1" si="64"/>
        <v>9999</v>
      </c>
      <c r="F167" s="104" t="str">
        <f t="shared" ca="1" si="65"/>
        <v>00000000000000000000591088</v>
      </c>
      <c r="G167" s="145">
        <f t="shared" ca="1" si="66"/>
        <v>1</v>
      </c>
      <c r="H167" s="146">
        <f t="shared" si="67"/>
        <v>157</v>
      </c>
      <c r="I167" s="147" t="str">
        <f t="shared" ca="1" si="68"/>
        <v/>
      </c>
      <c r="J167" s="148" t="str">
        <f ca="1">IF(N(I167)&gt;0,VLOOKUP(I167,Hraci!$A$1:$I$1000,2,0),IF(TYPE(INDIRECT(ADDRESS(ROW() + $A$9-9 + (ROW()-11)*4,2,1,1,"Internet")))&gt;1,INDIRECT(ADDRESS(ROW() + $A$9-9 + (ROW()-11)*4,2,1,1,"Internet"))," "))</f>
        <v xml:space="preserve"> </v>
      </c>
      <c r="K167" s="149" t="str">
        <f ca="1">IF(N(I167)&gt;0,VLOOKUP(I167,Hraci!$A$1:$I$1000,3,0)," ")</f>
        <v xml:space="preserve"> </v>
      </c>
      <c r="L167" s="149" t="str">
        <f ca="1">IF(N(I167)&gt;0,VLOOKUP(I167,Hraci!$A$1:$I$1000,5,0),IF(TYPE(INDIRECT(ADDRESS(ROW() + $A$9-9 + (ROW()-11)*4,3,1,1,"Internet")))&gt;1,INDIRECT(ADDRESS(ROW() + $A$9-9 + (ROW()-11)*4,3,1,1,"Internet"))," "))</f>
        <v xml:space="preserve"> </v>
      </c>
      <c r="M167" s="149">
        <f ca="1">IF(N(I167)=0,9999,VLOOKUP(I167,Hraci!$A$1:$I$1000,8,0))</f>
        <v>9999</v>
      </c>
      <c r="N167" s="150">
        <f ca="1">IF(N(I167)=0,0,VLOOKUP(I167,Hraci!$A$1:$I$1000,9,0))</f>
        <v>0</v>
      </c>
      <c r="O167" s="147" t="str">
        <f t="shared" ca="1" si="69"/>
        <v/>
      </c>
      <c r="P167" s="148" t="str">
        <f ca="1">IF(N(O167)&gt;0,VLOOKUP(O167,Hraci!$A$1:$I$1000,2,0),IF(TYPE(INDIRECT(ADDRESS(ROW() + $A$9-8 + (ROW()-11)*4,2,1,1,"Internet")))&gt;1,INDIRECT(ADDRESS(ROW() + $A$9-8 + (ROW()-11)*4,2,1,1,"Internet"))," "))</f>
        <v xml:space="preserve"> </v>
      </c>
      <c r="Q167" s="149" t="str">
        <f ca="1">IF(N(O167)&gt;0,VLOOKUP(O167,Hraci!$A$1:$I$1000,3,0)," ")</f>
        <v xml:space="preserve"> </v>
      </c>
      <c r="R167" s="149" t="str">
        <f ca="1">IF(N(O167)&gt;0,VLOOKUP(O167,Hraci!$A$1:$I$1000,5,0),IF(TYPE(INDIRECT(ADDRESS(ROW() + $A$9-8 + (ROW()-11)*4,3,1,1,"Internet")))&gt;1,INDIRECT(ADDRESS(ROW() + $A$9-8 + (ROW()-11)*4,3,1,1,"Internet"))," "))</f>
        <v xml:space="preserve"> </v>
      </c>
      <c r="S167" s="149">
        <f ca="1">IF(N(O167)=0,9999,VLOOKUP(O167,Hraci!$A$1:$I$1000,8,0))</f>
        <v>9999</v>
      </c>
      <c r="T167" s="150">
        <f ca="1">IF(N(O167)=0,0,VLOOKUP(O167,Hraci!$A$1:$I$1000,9,0))</f>
        <v>0</v>
      </c>
      <c r="U167" s="147" t="str">
        <f t="shared" ca="1" si="70"/>
        <v/>
      </c>
      <c r="V167" s="148" t="str">
        <f ca="1">IF(N(U167)&gt;0,VLOOKUP(U167,Hraci!$A$1:$I$1000,2,0),IF(TYPE(INDIRECT(ADDRESS(ROW() + $A$9-7 + (ROW()-11)*4,2,1,1,"Internet")))&gt;1,INDIRECT(ADDRESS(ROW() + $A$9-7 + (ROW()-11)*4,2,1,1,"Internet"))," "))</f>
        <v xml:space="preserve"> </v>
      </c>
      <c r="W167" s="149" t="str">
        <f ca="1">IF(N(U167)&gt;0,VLOOKUP(U167,Hraci!$A$1:$I$1000,3,0)," ")</f>
        <v xml:space="preserve"> </v>
      </c>
      <c r="X167" s="149" t="str">
        <f ca="1">IF(N(U167)&gt;0,VLOOKUP(U167,Hraci!$A$1:$I$1000,5,0),IF(TYPE(INDIRECT(ADDRESS(ROW() + $A$9-7 + (ROW()-11)*4,3,1,1,"Internet")))&gt;1,INDIRECT(ADDRESS(ROW() + $A$9-7 + (ROW()-11)*4,3,1,1,"Internet"))," "))</f>
        <v xml:space="preserve"> </v>
      </c>
      <c r="Y167" s="149">
        <f ca="1">IF(N(U167)=0,9999,VLOOKUP(U167,Hraci!$A$1:$I$1000,8,0))</f>
        <v>9999</v>
      </c>
      <c r="Z167" s="150">
        <f ca="1">IF(N(U167)=0,0,VLOOKUP(U167,Hraci!$A$1:$I$1000,9,0))</f>
        <v>0</v>
      </c>
      <c r="AA167" s="147" t="str">
        <f t="shared" ca="1" si="71"/>
        <v/>
      </c>
      <c r="AB167" s="148" t="str">
        <f ca="1">IF(N(AA167)&gt;0,VLOOKUP(AA167,Hraci!$A$1:$I$1000,2,0)," ")</f>
        <v xml:space="preserve"> </v>
      </c>
      <c r="AC167" s="149" t="str">
        <f ca="1">IF(N(AA167)&gt;0,VLOOKUP(AA167,Hraci!$A$1:$I$1000,3,0)," ")</f>
        <v xml:space="preserve"> </v>
      </c>
      <c r="AD167" s="149" t="str">
        <f ca="1">IF(N(AA167)&gt;0,VLOOKUP(AA167,Hraci!$A$1:$I$1000,5,0)," ")</f>
        <v xml:space="preserve"> </v>
      </c>
      <c r="AE167" s="149">
        <f ca="1">IF(N(AA167)=0,9999,VLOOKUP(AA167,Hraci!$A$1:$I$1000,8,0))</f>
        <v>9999</v>
      </c>
      <c r="AF167" s="150">
        <f ca="1">IF(N(AA167)=0,0,VLOOKUP(AA167,Hraci!$A$1:$I$1000,9,0))</f>
        <v>0</v>
      </c>
      <c r="AG167" s="147"/>
      <c r="AH167" s="151">
        <f ca="1">IF(TYPE(VLOOKUP(H167,Nasazení!$A$3:$E$130,5,0))&lt;4,VLOOKUP(H167,Nasazení!$A$3:$E$130,5,0),0)</f>
        <v>0</v>
      </c>
      <c r="AI167" s="152" t="str">
        <f ca="1">IF(N($AH167)&gt;0,VLOOKUP($AH167,Body!$A$4:$F$259,5,0),"")</f>
        <v/>
      </c>
      <c r="AJ167" s="153" t="str">
        <f ca="1">IF(N($AH167)&gt;0,VLOOKUP($AH167,Body!$A$4:$F$259,6,0),"")</f>
        <v/>
      </c>
      <c r="AK167" s="152" t="str">
        <f ca="1">IF(N($AH167)&gt;0,VLOOKUP($AH167,Body!$A$4:$F$259,2,0),"")</f>
        <v/>
      </c>
      <c r="AL167" s="154" t="str">
        <f t="shared" ca="1" si="72"/>
        <v/>
      </c>
      <c r="AM167" s="155">
        <f t="shared" ca="1" si="73"/>
        <v>0</v>
      </c>
      <c r="AN167" s="72">
        <f ca="1">IF(OR(TYPE(I167)&gt;1,TYPE(MATCH(I167,I168:I$203,0))&gt;1),0,MATCH(I167,I168:I$203,0))+IF(OR(TYPE(I167)&gt;1,TYPE(MATCH(I167,O$11:O$203,0))&gt;1),0,MATCH(I167,O$11:O$203,0))+IF(OR(TYPE(I167)&gt;1,TYPE(MATCH(I167,U$11:U$203,0))&gt;1),0,MATCH(I167,U$11:U$203,0))+IF(OR(TYPE(I167)&gt;1,TYPE(MATCH(I167,AA$11:AA$203,0))&gt;1),0,MATCH(I167,AA$11:AA$203,0))</f>
        <v>0</v>
      </c>
      <c r="AO167" s="72">
        <f ca="1">IF(OR(TYPE(O167)&gt;1,TYPE(MATCH(O167,I$11:I$203,0))&gt;1),0,MATCH(O167,I$11:I$203,0))+IF(OR(TYPE(O167)&gt;1,TYPE(MATCH(O167,O168:O$203,0))&gt;1),0,MATCH(O167,O168:O$203,0))+IF(OR(TYPE(O167)&gt;1,TYPE(MATCH(O167,U$11:U$203,0))&gt;1),0,MATCH(O167,U$11:U$203,0))+IF(OR(TYPE(O167)&gt;1,TYPE(MATCH(O167,AA$11:AA$203,0))&gt;1),0,MATCH(O167,AA$11:AA$203,0))</f>
        <v>0</v>
      </c>
      <c r="AP167" s="72">
        <f ca="1">IF(OR(TYPE(U167)&gt;1,TYPE(MATCH(U167,I$11:I$203,0))&gt;1),0,MATCH(U167,I$11:I$203,0))+IF(OR(TYPE(U167)&gt;1,TYPE(MATCH(U167,O$11:O$203,0))&gt;1),0,MATCH(U167,O$11:O$203,0))+IF(OR(TYPE(U167)&gt;1,TYPE(MATCH(U167,U168:U$203,0))&gt;1),0,MATCH(U167,U168:U$203,0))+IF(OR(TYPE(U167)&gt;1,TYPE(MATCH(U167,AA$11:AA$203,0))&gt;1),0,MATCH(U167,AA$11:AA$203,0))</f>
        <v>0</v>
      </c>
      <c r="AQ167" s="72">
        <f ca="1">IF(OR(TYPE(AA167)&gt;1,TYPE(MATCH(AA167,I$11:I$203,0))&gt;1),0,MATCH(AA167,I$11:I$203,0))+IF(OR(TYPE(AA167)&gt;1,TYPE(MATCH(AA167,O$11:O$203,0))&gt;1),0,MATCH(AA167,O$11:O$203,0))+IF(OR(TYPE(AA167)&gt;1,TYPE(MATCH(AA167,U$11:U$203,0))&gt;1),0,MATCH(U167,U$11:U$203,0))+IF(OR(TYPE(AA167)&gt;1,TYPE(MATCH(AA167,AA168:AA$203,0))&gt;1),0,MATCH(AA167,AA168:AA$203,0))</f>
        <v>0</v>
      </c>
      <c r="AR167" s="72">
        <f t="shared" ca="1" si="74"/>
        <v>0</v>
      </c>
    </row>
    <row r="168" spans="1:44" ht="14.25">
      <c r="A168" s="103">
        <f t="shared" ca="1" si="60"/>
        <v>0</v>
      </c>
      <c r="B168" s="103">
        <f t="shared" ca="1" si="61"/>
        <v>0</v>
      </c>
      <c r="C168" s="156">
        <f t="shared" ca="1" si="62"/>
        <v>0</v>
      </c>
      <c r="D168" s="103">
        <f t="shared" ca="1" si="63"/>
        <v>99999</v>
      </c>
      <c r="E168" s="103">
        <f t="shared" ca="1" si="64"/>
        <v>9999</v>
      </c>
      <c r="F168" s="104" t="str">
        <f t="shared" ca="1" si="65"/>
        <v>00000000000000000000092609</v>
      </c>
      <c r="G168" s="145">
        <f t="shared" ca="1" si="66"/>
        <v>1</v>
      </c>
      <c r="H168" s="146">
        <f t="shared" si="67"/>
        <v>158</v>
      </c>
      <c r="I168" s="147" t="str">
        <f t="shared" ca="1" si="68"/>
        <v/>
      </c>
      <c r="J168" s="148" t="str">
        <f ca="1">IF(N(I168)&gt;0,VLOOKUP(I168,Hraci!$A$1:$I$1000,2,0),IF(TYPE(INDIRECT(ADDRESS(ROW() + $A$9-9 + (ROW()-11)*4,2,1,1,"Internet")))&gt;1,INDIRECT(ADDRESS(ROW() + $A$9-9 + (ROW()-11)*4,2,1,1,"Internet"))," "))</f>
        <v xml:space="preserve"> </v>
      </c>
      <c r="K168" s="149" t="str">
        <f ca="1">IF(N(I168)&gt;0,VLOOKUP(I168,Hraci!$A$1:$I$1000,3,0)," ")</f>
        <v xml:space="preserve"> </v>
      </c>
      <c r="L168" s="149" t="str">
        <f ca="1">IF(N(I168)&gt;0,VLOOKUP(I168,Hraci!$A$1:$I$1000,5,0),IF(TYPE(INDIRECT(ADDRESS(ROW() + $A$9-9 + (ROW()-11)*4,3,1,1,"Internet")))&gt;1,INDIRECT(ADDRESS(ROW() + $A$9-9 + (ROW()-11)*4,3,1,1,"Internet"))," "))</f>
        <v xml:space="preserve"> </v>
      </c>
      <c r="M168" s="149">
        <f ca="1">IF(N(I168)=0,9999,VLOOKUP(I168,Hraci!$A$1:$I$1000,8,0))</f>
        <v>9999</v>
      </c>
      <c r="N168" s="150">
        <f ca="1">IF(N(I168)=0,0,VLOOKUP(I168,Hraci!$A$1:$I$1000,9,0))</f>
        <v>0</v>
      </c>
      <c r="O168" s="147" t="str">
        <f t="shared" ca="1" si="69"/>
        <v/>
      </c>
      <c r="P168" s="148" t="str">
        <f ca="1">IF(N(O168)&gt;0,VLOOKUP(O168,Hraci!$A$1:$I$1000,2,0),IF(TYPE(INDIRECT(ADDRESS(ROW() + $A$9-8 + (ROW()-11)*4,2,1,1,"Internet")))&gt;1,INDIRECT(ADDRESS(ROW() + $A$9-8 + (ROW()-11)*4,2,1,1,"Internet"))," "))</f>
        <v xml:space="preserve"> </v>
      </c>
      <c r="Q168" s="149" t="str">
        <f ca="1">IF(N(O168)&gt;0,VLOOKUP(O168,Hraci!$A$1:$I$1000,3,0)," ")</f>
        <v xml:space="preserve"> </v>
      </c>
      <c r="R168" s="149" t="str">
        <f ca="1">IF(N(O168)&gt;0,VLOOKUP(O168,Hraci!$A$1:$I$1000,5,0),IF(TYPE(INDIRECT(ADDRESS(ROW() + $A$9-8 + (ROW()-11)*4,3,1,1,"Internet")))&gt;1,INDIRECT(ADDRESS(ROW() + $A$9-8 + (ROW()-11)*4,3,1,1,"Internet"))," "))</f>
        <v xml:space="preserve"> </v>
      </c>
      <c r="S168" s="149">
        <f ca="1">IF(N(O168)=0,9999,VLOOKUP(O168,Hraci!$A$1:$I$1000,8,0))</f>
        <v>9999</v>
      </c>
      <c r="T168" s="150">
        <f ca="1">IF(N(O168)=0,0,VLOOKUP(O168,Hraci!$A$1:$I$1000,9,0))</f>
        <v>0</v>
      </c>
      <c r="U168" s="147" t="str">
        <f t="shared" ca="1" si="70"/>
        <v/>
      </c>
      <c r="V168" s="148" t="str">
        <f ca="1">IF(N(U168)&gt;0,VLOOKUP(U168,Hraci!$A$1:$I$1000,2,0),IF(TYPE(INDIRECT(ADDRESS(ROW() + $A$9-7 + (ROW()-11)*4,2,1,1,"Internet")))&gt;1,INDIRECT(ADDRESS(ROW() + $A$9-7 + (ROW()-11)*4,2,1,1,"Internet"))," "))</f>
        <v xml:space="preserve"> </v>
      </c>
      <c r="W168" s="149" t="str">
        <f ca="1">IF(N(U168)&gt;0,VLOOKUP(U168,Hraci!$A$1:$I$1000,3,0)," ")</f>
        <v xml:space="preserve"> </v>
      </c>
      <c r="X168" s="149" t="str">
        <f ca="1">IF(N(U168)&gt;0,VLOOKUP(U168,Hraci!$A$1:$I$1000,5,0),IF(TYPE(INDIRECT(ADDRESS(ROW() + $A$9-7 + (ROW()-11)*4,3,1,1,"Internet")))&gt;1,INDIRECT(ADDRESS(ROW() + $A$9-7 + (ROW()-11)*4,3,1,1,"Internet"))," "))</f>
        <v xml:space="preserve"> </v>
      </c>
      <c r="Y168" s="149">
        <f ca="1">IF(N(U168)=0,9999,VLOOKUP(U168,Hraci!$A$1:$I$1000,8,0))</f>
        <v>9999</v>
      </c>
      <c r="Z168" s="150">
        <f ca="1">IF(N(U168)=0,0,VLOOKUP(U168,Hraci!$A$1:$I$1000,9,0))</f>
        <v>0</v>
      </c>
      <c r="AA168" s="147" t="str">
        <f t="shared" ca="1" si="71"/>
        <v/>
      </c>
      <c r="AB168" s="148" t="str">
        <f ca="1">IF(N(AA168)&gt;0,VLOOKUP(AA168,Hraci!$A$1:$I$1000,2,0)," ")</f>
        <v xml:space="preserve"> </v>
      </c>
      <c r="AC168" s="149" t="str">
        <f ca="1">IF(N(AA168)&gt;0,VLOOKUP(AA168,Hraci!$A$1:$I$1000,3,0)," ")</f>
        <v xml:space="preserve"> </v>
      </c>
      <c r="AD168" s="149" t="str">
        <f ca="1">IF(N(AA168)&gt;0,VLOOKUP(AA168,Hraci!$A$1:$I$1000,5,0)," ")</f>
        <v xml:space="preserve"> </v>
      </c>
      <c r="AE168" s="149">
        <f ca="1">IF(N(AA168)=0,9999,VLOOKUP(AA168,Hraci!$A$1:$I$1000,8,0))</f>
        <v>9999</v>
      </c>
      <c r="AF168" s="150">
        <f ca="1">IF(N(AA168)=0,0,VLOOKUP(AA168,Hraci!$A$1:$I$1000,9,0))</f>
        <v>0</v>
      </c>
      <c r="AG168" s="147"/>
      <c r="AH168" s="151">
        <f ca="1">IF(TYPE(VLOOKUP(H168,Nasazení!$A$3:$E$130,5,0))&lt;4,VLOOKUP(H168,Nasazení!$A$3:$E$130,5,0),0)</f>
        <v>0</v>
      </c>
      <c r="AI168" s="152" t="str">
        <f ca="1">IF(N($AH168)&gt;0,VLOOKUP($AH168,Body!$A$4:$F$259,5,0),"")</f>
        <v/>
      </c>
      <c r="AJ168" s="153" t="str">
        <f ca="1">IF(N($AH168)&gt;0,VLOOKUP($AH168,Body!$A$4:$F$259,6,0),"")</f>
        <v/>
      </c>
      <c r="AK168" s="152" t="str">
        <f ca="1">IF(N($AH168)&gt;0,VLOOKUP($AH168,Body!$A$4:$F$259,2,0),"")</f>
        <v/>
      </c>
      <c r="AL168" s="154" t="str">
        <f t="shared" ca="1" si="72"/>
        <v/>
      </c>
      <c r="AM168" s="155">
        <f t="shared" ca="1" si="73"/>
        <v>0</v>
      </c>
      <c r="AN168" s="72">
        <f ca="1">IF(OR(TYPE(I168)&gt;1,TYPE(MATCH(I168,I169:I$203,0))&gt;1),0,MATCH(I168,I169:I$203,0))+IF(OR(TYPE(I168)&gt;1,TYPE(MATCH(I168,O$11:O$203,0))&gt;1),0,MATCH(I168,O$11:O$203,0))+IF(OR(TYPE(I168)&gt;1,TYPE(MATCH(I168,U$11:U$203,0))&gt;1),0,MATCH(I168,U$11:U$203,0))+IF(OR(TYPE(I168)&gt;1,TYPE(MATCH(I168,AA$11:AA$203,0))&gt;1),0,MATCH(I168,AA$11:AA$203,0))</f>
        <v>0</v>
      </c>
      <c r="AO168" s="72">
        <f ca="1">IF(OR(TYPE(O168)&gt;1,TYPE(MATCH(O168,I$11:I$203,0))&gt;1),0,MATCH(O168,I$11:I$203,0))+IF(OR(TYPE(O168)&gt;1,TYPE(MATCH(O168,O169:O$203,0))&gt;1),0,MATCH(O168,O169:O$203,0))+IF(OR(TYPE(O168)&gt;1,TYPE(MATCH(O168,U$11:U$203,0))&gt;1),0,MATCH(O168,U$11:U$203,0))+IF(OR(TYPE(O168)&gt;1,TYPE(MATCH(O168,AA$11:AA$203,0))&gt;1),0,MATCH(O168,AA$11:AA$203,0))</f>
        <v>0</v>
      </c>
      <c r="AP168" s="72">
        <f ca="1">IF(OR(TYPE(U168)&gt;1,TYPE(MATCH(U168,I$11:I$203,0))&gt;1),0,MATCH(U168,I$11:I$203,0))+IF(OR(TYPE(U168)&gt;1,TYPE(MATCH(U168,O$11:O$203,0))&gt;1),0,MATCH(U168,O$11:O$203,0))+IF(OR(TYPE(U168)&gt;1,TYPE(MATCH(U168,U169:U$203,0))&gt;1),0,MATCH(U168,U169:U$203,0))+IF(OR(TYPE(U168)&gt;1,TYPE(MATCH(U168,AA$11:AA$203,0))&gt;1),0,MATCH(U168,AA$11:AA$203,0))</f>
        <v>0</v>
      </c>
      <c r="AQ168" s="72">
        <f ca="1">IF(OR(TYPE(AA168)&gt;1,TYPE(MATCH(AA168,I$11:I$203,0))&gt;1),0,MATCH(AA168,I$11:I$203,0))+IF(OR(TYPE(AA168)&gt;1,TYPE(MATCH(AA168,O$11:O$203,0))&gt;1),0,MATCH(AA168,O$11:O$203,0))+IF(OR(TYPE(AA168)&gt;1,TYPE(MATCH(AA168,U$11:U$203,0))&gt;1),0,MATCH(U168,U$11:U$203,0))+IF(OR(TYPE(AA168)&gt;1,TYPE(MATCH(AA168,AA169:AA$203,0))&gt;1),0,MATCH(AA168,AA169:AA$203,0))</f>
        <v>0</v>
      </c>
      <c r="AR168" s="72">
        <f t="shared" ca="1" si="74"/>
        <v>0</v>
      </c>
    </row>
    <row r="169" spans="1:44" ht="14.25">
      <c r="A169" s="103">
        <f t="shared" ca="1" si="60"/>
        <v>0</v>
      </c>
      <c r="B169" s="103">
        <f t="shared" ca="1" si="61"/>
        <v>0</v>
      </c>
      <c r="C169" s="156">
        <f t="shared" ca="1" si="62"/>
        <v>0</v>
      </c>
      <c r="D169" s="103">
        <f t="shared" ca="1" si="63"/>
        <v>99999</v>
      </c>
      <c r="E169" s="103">
        <f t="shared" ca="1" si="64"/>
        <v>9999</v>
      </c>
      <c r="F169" s="104" t="str">
        <f t="shared" ca="1" si="65"/>
        <v>00000000000000000000004545</v>
      </c>
      <c r="G169" s="145">
        <f t="shared" ca="1" si="66"/>
        <v>1</v>
      </c>
      <c r="H169" s="146">
        <f t="shared" si="67"/>
        <v>159</v>
      </c>
      <c r="I169" s="147" t="str">
        <f t="shared" ca="1" si="68"/>
        <v/>
      </c>
      <c r="J169" s="148" t="str">
        <f ca="1">IF(N(I169)&gt;0,VLOOKUP(I169,Hraci!$A$1:$I$1000,2,0),IF(TYPE(INDIRECT(ADDRESS(ROW() + $A$9-9 + (ROW()-11)*4,2,1,1,"Internet")))&gt;1,INDIRECT(ADDRESS(ROW() + $A$9-9 + (ROW()-11)*4,2,1,1,"Internet"))," "))</f>
        <v xml:space="preserve"> </v>
      </c>
      <c r="K169" s="149" t="str">
        <f ca="1">IF(N(I169)&gt;0,VLOOKUP(I169,Hraci!$A$1:$I$1000,3,0)," ")</f>
        <v xml:space="preserve"> </v>
      </c>
      <c r="L169" s="149" t="str">
        <f ca="1">IF(N(I169)&gt;0,VLOOKUP(I169,Hraci!$A$1:$I$1000,5,0),IF(TYPE(INDIRECT(ADDRESS(ROW() + $A$9-9 + (ROW()-11)*4,3,1,1,"Internet")))&gt;1,INDIRECT(ADDRESS(ROW() + $A$9-9 + (ROW()-11)*4,3,1,1,"Internet"))," "))</f>
        <v xml:space="preserve"> </v>
      </c>
      <c r="M169" s="149">
        <f ca="1">IF(N(I169)=0,9999,VLOOKUP(I169,Hraci!$A$1:$I$1000,8,0))</f>
        <v>9999</v>
      </c>
      <c r="N169" s="150">
        <f ca="1">IF(N(I169)=0,0,VLOOKUP(I169,Hraci!$A$1:$I$1000,9,0))</f>
        <v>0</v>
      </c>
      <c r="O169" s="147" t="str">
        <f t="shared" ca="1" si="69"/>
        <v/>
      </c>
      <c r="P169" s="148" t="str">
        <f ca="1">IF(N(O169)&gt;0,VLOOKUP(O169,Hraci!$A$1:$I$1000,2,0),IF(TYPE(INDIRECT(ADDRESS(ROW() + $A$9-8 + (ROW()-11)*4,2,1,1,"Internet")))&gt;1,INDIRECT(ADDRESS(ROW() + $A$9-8 + (ROW()-11)*4,2,1,1,"Internet"))," "))</f>
        <v xml:space="preserve"> </v>
      </c>
      <c r="Q169" s="149" t="str">
        <f ca="1">IF(N(O169)&gt;0,VLOOKUP(O169,Hraci!$A$1:$I$1000,3,0)," ")</f>
        <v xml:space="preserve"> </v>
      </c>
      <c r="R169" s="149" t="str">
        <f ca="1">IF(N(O169)&gt;0,VLOOKUP(O169,Hraci!$A$1:$I$1000,5,0),IF(TYPE(INDIRECT(ADDRESS(ROW() + $A$9-8 + (ROW()-11)*4,3,1,1,"Internet")))&gt;1,INDIRECT(ADDRESS(ROW() + $A$9-8 + (ROW()-11)*4,3,1,1,"Internet"))," "))</f>
        <v xml:space="preserve"> </v>
      </c>
      <c r="S169" s="149">
        <f ca="1">IF(N(O169)=0,9999,VLOOKUP(O169,Hraci!$A$1:$I$1000,8,0))</f>
        <v>9999</v>
      </c>
      <c r="T169" s="150">
        <f ca="1">IF(N(O169)=0,0,VLOOKUP(O169,Hraci!$A$1:$I$1000,9,0))</f>
        <v>0</v>
      </c>
      <c r="U169" s="147" t="str">
        <f t="shared" ca="1" si="70"/>
        <v/>
      </c>
      <c r="V169" s="148" t="str">
        <f ca="1">IF(N(U169)&gt;0,VLOOKUP(U169,Hraci!$A$1:$I$1000,2,0),IF(TYPE(INDIRECT(ADDRESS(ROW() + $A$9-7 + (ROW()-11)*4,2,1,1,"Internet")))&gt;1,INDIRECT(ADDRESS(ROW() + $A$9-7 + (ROW()-11)*4,2,1,1,"Internet"))," "))</f>
        <v xml:space="preserve"> </v>
      </c>
      <c r="W169" s="149" t="str">
        <f ca="1">IF(N(U169)&gt;0,VLOOKUP(U169,Hraci!$A$1:$I$1000,3,0)," ")</f>
        <v xml:space="preserve"> </v>
      </c>
      <c r="X169" s="149" t="str">
        <f ca="1">IF(N(U169)&gt;0,VLOOKUP(U169,Hraci!$A$1:$I$1000,5,0),IF(TYPE(INDIRECT(ADDRESS(ROW() + $A$9-7 + (ROW()-11)*4,3,1,1,"Internet")))&gt;1,INDIRECT(ADDRESS(ROW() + $A$9-7 + (ROW()-11)*4,3,1,1,"Internet"))," "))</f>
        <v xml:space="preserve"> </v>
      </c>
      <c r="Y169" s="149">
        <f ca="1">IF(N(U169)=0,9999,VLOOKUP(U169,Hraci!$A$1:$I$1000,8,0))</f>
        <v>9999</v>
      </c>
      <c r="Z169" s="150">
        <f ca="1">IF(N(U169)=0,0,VLOOKUP(U169,Hraci!$A$1:$I$1000,9,0))</f>
        <v>0</v>
      </c>
      <c r="AA169" s="147" t="str">
        <f t="shared" ca="1" si="71"/>
        <v/>
      </c>
      <c r="AB169" s="148" t="str">
        <f ca="1">IF(N(AA169)&gt;0,VLOOKUP(AA169,Hraci!$A$1:$I$1000,2,0)," ")</f>
        <v xml:space="preserve"> </v>
      </c>
      <c r="AC169" s="149" t="str">
        <f ca="1">IF(N(AA169)&gt;0,VLOOKUP(AA169,Hraci!$A$1:$I$1000,3,0)," ")</f>
        <v xml:space="preserve"> </v>
      </c>
      <c r="AD169" s="149" t="str">
        <f ca="1">IF(N(AA169)&gt;0,VLOOKUP(AA169,Hraci!$A$1:$I$1000,5,0)," ")</f>
        <v xml:space="preserve"> </v>
      </c>
      <c r="AE169" s="149">
        <f ca="1">IF(N(AA169)=0,9999,VLOOKUP(AA169,Hraci!$A$1:$I$1000,8,0))</f>
        <v>9999</v>
      </c>
      <c r="AF169" s="150">
        <f ca="1">IF(N(AA169)=0,0,VLOOKUP(AA169,Hraci!$A$1:$I$1000,9,0))</f>
        <v>0</v>
      </c>
      <c r="AG169" s="147"/>
      <c r="AH169" s="151">
        <f ca="1">IF(TYPE(VLOOKUP(H169,Nasazení!$A$3:$E$130,5,0))&lt;4,VLOOKUP(H169,Nasazení!$A$3:$E$130,5,0),0)</f>
        <v>0</v>
      </c>
      <c r="AI169" s="152" t="str">
        <f ca="1">IF(N($AH169)&gt;0,VLOOKUP($AH169,Body!$A$4:$F$259,5,0),"")</f>
        <v/>
      </c>
      <c r="AJ169" s="153" t="str">
        <f ca="1">IF(N($AH169)&gt;0,VLOOKUP($AH169,Body!$A$4:$F$259,6,0),"")</f>
        <v/>
      </c>
      <c r="AK169" s="152" t="str">
        <f ca="1">IF(N($AH169)&gt;0,VLOOKUP($AH169,Body!$A$4:$F$259,2,0),"")</f>
        <v/>
      </c>
      <c r="AL169" s="154" t="str">
        <f t="shared" ca="1" si="72"/>
        <v/>
      </c>
      <c r="AM169" s="155">
        <f t="shared" ca="1" si="73"/>
        <v>0</v>
      </c>
      <c r="AN169" s="72">
        <f ca="1">IF(OR(TYPE(I169)&gt;1,TYPE(MATCH(I169,I170:I$203,0))&gt;1),0,MATCH(I169,I170:I$203,0))+IF(OR(TYPE(I169)&gt;1,TYPE(MATCH(I169,O$11:O$203,0))&gt;1),0,MATCH(I169,O$11:O$203,0))+IF(OR(TYPE(I169)&gt;1,TYPE(MATCH(I169,U$11:U$203,0))&gt;1),0,MATCH(I169,U$11:U$203,0))+IF(OR(TYPE(I169)&gt;1,TYPE(MATCH(I169,AA$11:AA$203,0))&gt;1),0,MATCH(I169,AA$11:AA$203,0))</f>
        <v>0</v>
      </c>
      <c r="AO169" s="72">
        <f ca="1">IF(OR(TYPE(O169)&gt;1,TYPE(MATCH(O169,I$11:I$203,0))&gt;1),0,MATCH(O169,I$11:I$203,0))+IF(OR(TYPE(O169)&gt;1,TYPE(MATCH(O169,O170:O$203,0))&gt;1),0,MATCH(O169,O170:O$203,0))+IF(OR(TYPE(O169)&gt;1,TYPE(MATCH(O169,U$11:U$203,0))&gt;1),0,MATCH(O169,U$11:U$203,0))+IF(OR(TYPE(O169)&gt;1,TYPE(MATCH(O169,AA$11:AA$203,0))&gt;1),0,MATCH(O169,AA$11:AA$203,0))</f>
        <v>0</v>
      </c>
      <c r="AP169" s="72">
        <f ca="1">IF(OR(TYPE(U169)&gt;1,TYPE(MATCH(U169,I$11:I$203,0))&gt;1),0,MATCH(U169,I$11:I$203,0))+IF(OR(TYPE(U169)&gt;1,TYPE(MATCH(U169,O$11:O$203,0))&gt;1),0,MATCH(U169,O$11:O$203,0))+IF(OR(TYPE(U169)&gt;1,TYPE(MATCH(U169,U170:U$203,0))&gt;1),0,MATCH(U169,U170:U$203,0))+IF(OR(TYPE(U169)&gt;1,TYPE(MATCH(U169,AA$11:AA$203,0))&gt;1),0,MATCH(U169,AA$11:AA$203,0))</f>
        <v>0</v>
      </c>
      <c r="AQ169" s="72">
        <f ca="1">IF(OR(TYPE(AA169)&gt;1,TYPE(MATCH(AA169,I$11:I$203,0))&gt;1),0,MATCH(AA169,I$11:I$203,0))+IF(OR(TYPE(AA169)&gt;1,TYPE(MATCH(AA169,O$11:O$203,0))&gt;1),0,MATCH(AA169,O$11:O$203,0))+IF(OR(TYPE(AA169)&gt;1,TYPE(MATCH(AA169,U$11:U$203,0))&gt;1),0,MATCH(U169,U$11:U$203,0))+IF(OR(TYPE(AA169)&gt;1,TYPE(MATCH(AA169,AA170:AA$203,0))&gt;1),0,MATCH(AA169,AA170:AA$203,0))</f>
        <v>0</v>
      </c>
      <c r="AR169" s="72">
        <f t="shared" ca="1" si="74"/>
        <v>0</v>
      </c>
    </row>
    <row r="170" spans="1:44" ht="14.25">
      <c r="A170" s="103">
        <f t="shared" ca="1" si="60"/>
        <v>0</v>
      </c>
      <c r="B170" s="103">
        <f t="shared" ca="1" si="61"/>
        <v>0</v>
      </c>
      <c r="C170" s="156">
        <f t="shared" ca="1" si="62"/>
        <v>0</v>
      </c>
      <c r="D170" s="103">
        <f t="shared" ca="1" si="63"/>
        <v>99999</v>
      </c>
      <c r="E170" s="103">
        <f t="shared" ca="1" si="64"/>
        <v>9999</v>
      </c>
      <c r="F170" s="104" t="str">
        <f t="shared" ca="1" si="65"/>
        <v>00000000000000000000924014</v>
      </c>
      <c r="G170" s="145">
        <f t="shared" ca="1" si="66"/>
        <v>1</v>
      </c>
      <c r="H170" s="146">
        <f t="shared" si="67"/>
        <v>160</v>
      </c>
      <c r="I170" s="147" t="str">
        <f t="shared" ca="1" si="68"/>
        <v/>
      </c>
      <c r="J170" s="148" t="str">
        <f ca="1">IF(N(I170)&gt;0,VLOOKUP(I170,Hraci!$A$1:$I$1000,2,0),IF(TYPE(INDIRECT(ADDRESS(ROW() + $A$9-9 + (ROW()-11)*4,2,1,1,"Internet")))&gt;1,INDIRECT(ADDRESS(ROW() + $A$9-9 + (ROW()-11)*4,2,1,1,"Internet"))," "))</f>
        <v xml:space="preserve"> </v>
      </c>
      <c r="K170" s="149" t="str">
        <f ca="1">IF(N(I170)&gt;0,VLOOKUP(I170,Hraci!$A$1:$I$1000,3,0)," ")</f>
        <v xml:space="preserve"> </v>
      </c>
      <c r="L170" s="149" t="str">
        <f ca="1">IF(N(I170)&gt;0,VLOOKUP(I170,Hraci!$A$1:$I$1000,5,0),IF(TYPE(INDIRECT(ADDRESS(ROW() + $A$9-9 + (ROW()-11)*4,3,1,1,"Internet")))&gt;1,INDIRECT(ADDRESS(ROW() + $A$9-9 + (ROW()-11)*4,3,1,1,"Internet"))," "))</f>
        <v xml:space="preserve"> </v>
      </c>
      <c r="M170" s="149">
        <f ca="1">IF(N(I170)=0,9999,VLOOKUP(I170,Hraci!$A$1:$I$1000,8,0))</f>
        <v>9999</v>
      </c>
      <c r="N170" s="150">
        <f ca="1">IF(N(I170)=0,0,VLOOKUP(I170,Hraci!$A$1:$I$1000,9,0))</f>
        <v>0</v>
      </c>
      <c r="O170" s="147" t="str">
        <f t="shared" ca="1" si="69"/>
        <v/>
      </c>
      <c r="P170" s="148" t="str">
        <f ca="1">IF(N(O170)&gt;0,VLOOKUP(O170,Hraci!$A$1:$I$1000,2,0),IF(TYPE(INDIRECT(ADDRESS(ROW() + $A$9-8 + (ROW()-11)*4,2,1,1,"Internet")))&gt;1,INDIRECT(ADDRESS(ROW() + $A$9-8 + (ROW()-11)*4,2,1,1,"Internet"))," "))</f>
        <v xml:space="preserve"> </v>
      </c>
      <c r="Q170" s="149" t="str">
        <f ca="1">IF(N(O170)&gt;0,VLOOKUP(O170,Hraci!$A$1:$I$1000,3,0)," ")</f>
        <v xml:space="preserve"> </v>
      </c>
      <c r="R170" s="149" t="str">
        <f ca="1">IF(N(O170)&gt;0,VLOOKUP(O170,Hraci!$A$1:$I$1000,5,0),IF(TYPE(INDIRECT(ADDRESS(ROW() + $A$9-8 + (ROW()-11)*4,3,1,1,"Internet")))&gt;1,INDIRECT(ADDRESS(ROW() + $A$9-8 + (ROW()-11)*4,3,1,1,"Internet"))," "))</f>
        <v xml:space="preserve"> </v>
      </c>
      <c r="S170" s="149">
        <f ca="1">IF(N(O170)=0,9999,VLOOKUP(O170,Hraci!$A$1:$I$1000,8,0))</f>
        <v>9999</v>
      </c>
      <c r="T170" s="150">
        <f ca="1">IF(N(O170)=0,0,VLOOKUP(O170,Hraci!$A$1:$I$1000,9,0))</f>
        <v>0</v>
      </c>
      <c r="U170" s="147" t="str">
        <f t="shared" ca="1" si="70"/>
        <v/>
      </c>
      <c r="V170" s="148" t="str">
        <f ca="1">IF(N(U170)&gt;0,VLOOKUP(U170,Hraci!$A$1:$I$1000,2,0),IF(TYPE(INDIRECT(ADDRESS(ROW() + $A$9-7 + (ROW()-11)*4,2,1,1,"Internet")))&gt;1,INDIRECT(ADDRESS(ROW() + $A$9-7 + (ROW()-11)*4,2,1,1,"Internet"))," "))</f>
        <v xml:space="preserve"> </v>
      </c>
      <c r="W170" s="149" t="str">
        <f ca="1">IF(N(U170)&gt;0,VLOOKUP(U170,Hraci!$A$1:$I$1000,3,0)," ")</f>
        <v xml:space="preserve"> </v>
      </c>
      <c r="X170" s="149" t="str">
        <f ca="1">IF(N(U170)&gt;0,VLOOKUP(U170,Hraci!$A$1:$I$1000,5,0),IF(TYPE(INDIRECT(ADDRESS(ROW() + $A$9-7 + (ROW()-11)*4,3,1,1,"Internet")))&gt;1,INDIRECT(ADDRESS(ROW() + $A$9-7 + (ROW()-11)*4,3,1,1,"Internet"))," "))</f>
        <v xml:space="preserve"> </v>
      </c>
      <c r="Y170" s="149">
        <f ca="1">IF(N(U170)=0,9999,VLOOKUP(U170,Hraci!$A$1:$I$1000,8,0))</f>
        <v>9999</v>
      </c>
      <c r="Z170" s="150">
        <f ca="1">IF(N(U170)=0,0,VLOOKUP(U170,Hraci!$A$1:$I$1000,9,0))</f>
        <v>0</v>
      </c>
      <c r="AA170" s="147" t="str">
        <f t="shared" ca="1" si="71"/>
        <v/>
      </c>
      <c r="AB170" s="148" t="str">
        <f ca="1">IF(N(AA170)&gt;0,VLOOKUP(AA170,Hraci!$A$1:$I$1000,2,0)," ")</f>
        <v xml:space="preserve"> </v>
      </c>
      <c r="AC170" s="149" t="str">
        <f ca="1">IF(N(AA170)&gt;0,VLOOKUP(AA170,Hraci!$A$1:$I$1000,3,0)," ")</f>
        <v xml:space="preserve"> </v>
      </c>
      <c r="AD170" s="149" t="str">
        <f ca="1">IF(N(AA170)&gt;0,VLOOKUP(AA170,Hraci!$A$1:$I$1000,5,0)," ")</f>
        <v xml:space="preserve"> </v>
      </c>
      <c r="AE170" s="149">
        <f ca="1">IF(N(AA170)=0,9999,VLOOKUP(AA170,Hraci!$A$1:$I$1000,8,0))</f>
        <v>9999</v>
      </c>
      <c r="AF170" s="150">
        <f ca="1">IF(N(AA170)=0,0,VLOOKUP(AA170,Hraci!$A$1:$I$1000,9,0))</f>
        <v>0</v>
      </c>
      <c r="AG170" s="147"/>
      <c r="AH170" s="151">
        <f ca="1">IF(TYPE(VLOOKUP(H170,Nasazení!$A$3:$E$130,5,0))&lt;4,VLOOKUP(H170,Nasazení!$A$3:$E$130,5,0),0)</f>
        <v>0</v>
      </c>
      <c r="AI170" s="152" t="str">
        <f ca="1">IF(N($AH170)&gt;0,VLOOKUP($AH170,Body!$A$4:$F$259,5,0),"")</f>
        <v/>
      </c>
      <c r="AJ170" s="153" t="str">
        <f ca="1">IF(N($AH170)&gt;0,VLOOKUP($AH170,Body!$A$4:$F$259,6,0),"")</f>
        <v/>
      </c>
      <c r="AK170" s="152" t="str">
        <f ca="1">IF(N($AH170)&gt;0,VLOOKUP($AH170,Body!$A$4:$F$259,2,0),"")</f>
        <v/>
      </c>
      <c r="AL170" s="154" t="str">
        <f t="shared" ca="1" si="72"/>
        <v/>
      </c>
      <c r="AM170" s="155">
        <f t="shared" ca="1" si="73"/>
        <v>0</v>
      </c>
      <c r="AN170" s="72">
        <f ca="1">IF(OR(TYPE(I170)&gt;1,TYPE(MATCH(I170,I171:I$203,0))&gt;1),0,MATCH(I170,I171:I$203,0))+IF(OR(TYPE(I170)&gt;1,TYPE(MATCH(I170,O$11:O$203,0))&gt;1),0,MATCH(I170,O$11:O$203,0))+IF(OR(TYPE(I170)&gt;1,TYPE(MATCH(I170,U$11:U$203,0))&gt;1),0,MATCH(I170,U$11:U$203,0))+IF(OR(TYPE(I170)&gt;1,TYPE(MATCH(I170,AA$11:AA$203,0))&gt;1),0,MATCH(I170,AA$11:AA$203,0))</f>
        <v>0</v>
      </c>
      <c r="AO170" s="72">
        <f ca="1">IF(OR(TYPE(O170)&gt;1,TYPE(MATCH(O170,I$11:I$203,0))&gt;1),0,MATCH(O170,I$11:I$203,0))+IF(OR(TYPE(O170)&gt;1,TYPE(MATCH(O170,O171:O$203,0))&gt;1),0,MATCH(O170,O171:O$203,0))+IF(OR(TYPE(O170)&gt;1,TYPE(MATCH(O170,U$11:U$203,0))&gt;1),0,MATCH(O170,U$11:U$203,0))+IF(OR(TYPE(O170)&gt;1,TYPE(MATCH(O170,AA$11:AA$203,0))&gt;1),0,MATCH(O170,AA$11:AA$203,0))</f>
        <v>0</v>
      </c>
      <c r="AP170" s="72">
        <f ca="1">IF(OR(TYPE(U170)&gt;1,TYPE(MATCH(U170,I$11:I$203,0))&gt;1),0,MATCH(U170,I$11:I$203,0))+IF(OR(TYPE(U170)&gt;1,TYPE(MATCH(U170,O$11:O$203,0))&gt;1),0,MATCH(U170,O$11:O$203,0))+IF(OR(TYPE(U170)&gt;1,TYPE(MATCH(U170,U171:U$203,0))&gt;1),0,MATCH(U170,U171:U$203,0))+IF(OR(TYPE(U170)&gt;1,TYPE(MATCH(U170,AA$11:AA$203,0))&gt;1),0,MATCH(U170,AA$11:AA$203,0))</f>
        <v>0</v>
      </c>
      <c r="AQ170" s="72">
        <f ca="1">IF(OR(TYPE(AA170)&gt;1,TYPE(MATCH(AA170,I$11:I$203,0))&gt;1),0,MATCH(AA170,I$11:I$203,0))+IF(OR(TYPE(AA170)&gt;1,TYPE(MATCH(AA170,O$11:O$203,0))&gt;1),0,MATCH(AA170,O$11:O$203,0))+IF(OR(TYPE(AA170)&gt;1,TYPE(MATCH(AA170,U$11:U$203,0))&gt;1),0,MATCH(U170,U$11:U$203,0))+IF(OR(TYPE(AA170)&gt;1,TYPE(MATCH(AA170,AA171:AA$203,0))&gt;1),0,MATCH(AA170,AA171:AA$203,0))</f>
        <v>0</v>
      </c>
      <c r="AR170" s="72">
        <f t="shared" ca="1" si="74"/>
        <v>0</v>
      </c>
    </row>
    <row r="171" spans="1:44" ht="14.25">
      <c r="A171" s="103">
        <f t="shared" ref="A171:A202" ca="1" si="75">IF(OR(LEFT(J171,1)=" ",ISBLANK(J171)),0,1)+IF(OR(LEFT(P171,1)=" ",ISBLANK(P171)),0,1)+IF(OR(LEFT(V171,1)=" ",ISBLANK(V171)),0,1)</f>
        <v>0</v>
      </c>
      <c r="B171" s="103">
        <f t="shared" ref="B171:B202" ca="1" si="76">IF(AND(TYPE(G171&lt;15),G171=0),1,0)</f>
        <v>0</v>
      </c>
      <c r="C171" s="156">
        <f t="shared" ref="C171:C202" ca="1" si="77">IF(B171=0,0,N171+T171+Z171)</f>
        <v>0</v>
      </c>
      <c r="D171" s="103">
        <f t="shared" ref="D171:D202" ca="1" si="78">IF(B171=0,99999,M171+S171+Y171)</f>
        <v>99999</v>
      </c>
      <c r="E171" s="103">
        <f t="shared" ref="E171:E202" ca="1" si="79">MIN(M171,S171,Y171)</f>
        <v>9999</v>
      </c>
      <c r="F171" s="104" t="str">
        <f t="shared" ref="F171:F202" ca="1" si="80">CONCATENATE(IF(AND($P$4=1,H171&gt;2*$O$7),"0","9"),TEXT(B171,"0"),IF(AND($P$4=1,H171&gt;2*$O$7),"000000",TEXT(1000*C171,"000000")),IF(AND($P$4=1,H171&gt;2*$O$7),"000000",TEXT(999999-D171,"000000")),IF(AND($P$4=1,H171&gt;2*$O$7),"000000",TEXT(999999-E171,"000000")),TEXT(999999*RAND(),"000000"))</f>
        <v>00000000000000000000615869</v>
      </c>
      <c r="G171" s="145">
        <f t="shared" ref="G171:G202" ca="1" si="81">IF(OR($K$6&gt;A171,AR171&gt;0),1,0)</f>
        <v>1</v>
      </c>
      <c r="H171" s="146">
        <f t="shared" ref="H171:H202" si="82">ROW(H171)-10</f>
        <v>161</v>
      </c>
      <c r="I171" s="147" t="str">
        <f t="shared" ref="I171:I202" ca="1" si="83">IF(N(INDIRECT(ADDRESS(ROW() + $A$9-9 + (ROW()-11)*4,1,1,1,"Internet")))&gt;0,INDIRECT(ADDRESS(ROW() + $A$9-9 + (ROW()-11)*4,1,1,1,"Internet")),"")</f>
        <v/>
      </c>
      <c r="J171" s="148" t="str">
        <f ca="1">IF(N(I171)&gt;0,VLOOKUP(I171,Hraci!$A$1:$I$1000,2,0),IF(TYPE(INDIRECT(ADDRESS(ROW() + $A$9-9 + (ROW()-11)*4,2,1,1,"Internet")))&gt;1,INDIRECT(ADDRESS(ROW() + $A$9-9 + (ROW()-11)*4,2,1,1,"Internet"))," "))</f>
        <v xml:space="preserve"> </v>
      </c>
      <c r="K171" s="149" t="str">
        <f ca="1">IF(N(I171)&gt;0,VLOOKUP(I171,Hraci!$A$1:$I$1000,3,0)," ")</f>
        <v xml:space="preserve"> </v>
      </c>
      <c r="L171" s="149" t="str">
        <f ca="1">IF(N(I171)&gt;0,VLOOKUP(I171,Hraci!$A$1:$I$1000,5,0),IF(TYPE(INDIRECT(ADDRESS(ROW() + $A$9-9 + (ROW()-11)*4,3,1,1,"Internet")))&gt;1,INDIRECT(ADDRESS(ROW() + $A$9-9 + (ROW()-11)*4,3,1,1,"Internet"))," "))</f>
        <v xml:space="preserve"> </v>
      </c>
      <c r="M171" s="149">
        <f ca="1">IF(N(I171)=0,9999,VLOOKUP(I171,Hraci!$A$1:$I$1000,8,0))</f>
        <v>9999</v>
      </c>
      <c r="N171" s="150">
        <f ca="1">IF(N(I171)=0,0,VLOOKUP(I171,Hraci!$A$1:$I$1000,9,0))</f>
        <v>0</v>
      </c>
      <c r="O171" s="147" t="str">
        <f t="shared" ref="O171:O202" ca="1" si="84">IF(N(INDIRECT(ADDRESS(ROW() + $A$9-8 + (ROW()-11)*4,1,1,1,"Internet")))&gt;0,INDIRECT(ADDRESS(ROW() + $A$9-8 + (ROW()-11)*4,1,1,1,"Internet")),"")</f>
        <v/>
      </c>
      <c r="P171" s="148" t="str">
        <f ca="1">IF(N(O171)&gt;0,VLOOKUP(O171,Hraci!$A$1:$I$1000,2,0),IF(TYPE(INDIRECT(ADDRESS(ROW() + $A$9-8 + (ROW()-11)*4,2,1,1,"Internet")))&gt;1,INDIRECT(ADDRESS(ROW() + $A$9-8 + (ROW()-11)*4,2,1,1,"Internet"))," "))</f>
        <v xml:space="preserve"> </v>
      </c>
      <c r="Q171" s="149" t="str">
        <f ca="1">IF(N(O171)&gt;0,VLOOKUP(O171,Hraci!$A$1:$I$1000,3,0)," ")</f>
        <v xml:space="preserve"> </v>
      </c>
      <c r="R171" s="149" t="str">
        <f ca="1">IF(N(O171)&gt;0,VLOOKUP(O171,Hraci!$A$1:$I$1000,5,0),IF(TYPE(INDIRECT(ADDRESS(ROW() + $A$9-8 + (ROW()-11)*4,3,1,1,"Internet")))&gt;1,INDIRECT(ADDRESS(ROW() + $A$9-8 + (ROW()-11)*4,3,1,1,"Internet"))," "))</f>
        <v xml:space="preserve"> </v>
      </c>
      <c r="S171" s="149">
        <f ca="1">IF(N(O171)=0,9999,VLOOKUP(O171,Hraci!$A$1:$I$1000,8,0))</f>
        <v>9999</v>
      </c>
      <c r="T171" s="150">
        <f ca="1">IF(N(O171)=0,0,VLOOKUP(O171,Hraci!$A$1:$I$1000,9,0))</f>
        <v>0</v>
      </c>
      <c r="U171" s="147" t="str">
        <f t="shared" ref="U171:U202" ca="1" si="85">IF(N(INDIRECT(ADDRESS(ROW() + $A$9-7 + (ROW()-11)*4,1,1,1,"Internet")))&gt;0,INDIRECT(ADDRESS(ROW() + $A$9-7 + (ROW()-11)*4,1,1,1,"Internet")),"")</f>
        <v/>
      </c>
      <c r="V171" s="148" t="str">
        <f ca="1">IF(N(U171)&gt;0,VLOOKUP(U171,Hraci!$A$1:$I$1000,2,0),IF(TYPE(INDIRECT(ADDRESS(ROW() + $A$9-7 + (ROW()-11)*4,2,1,1,"Internet")))&gt;1,INDIRECT(ADDRESS(ROW() + $A$9-7 + (ROW()-11)*4,2,1,1,"Internet"))," "))</f>
        <v xml:space="preserve"> </v>
      </c>
      <c r="W171" s="149" t="str">
        <f ca="1">IF(N(U171)&gt;0,VLOOKUP(U171,Hraci!$A$1:$I$1000,3,0)," ")</f>
        <v xml:space="preserve"> </v>
      </c>
      <c r="X171" s="149" t="str">
        <f ca="1">IF(N(U171)&gt;0,VLOOKUP(U171,Hraci!$A$1:$I$1000,5,0),IF(TYPE(INDIRECT(ADDRESS(ROW() + $A$9-7 + (ROW()-11)*4,3,1,1,"Internet")))&gt;1,INDIRECT(ADDRESS(ROW() + $A$9-7 + (ROW()-11)*4,3,1,1,"Internet"))," "))</f>
        <v xml:space="preserve"> </v>
      </c>
      <c r="Y171" s="149">
        <f ca="1">IF(N(U171)=0,9999,VLOOKUP(U171,Hraci!$A$1:$I$1000,8,0))</f>
        <v>9999</v>
      </c>
      <c r="Z171" s="150">
        <f ca="1">IF(N(U171)=0,0,VLOOKUP(U171,Hraci!$A$1:$I$1000,9,0))</f>
        <v>0</v>
      </c>
      <c r="AA171" s="147" t="str">
        <f t="shared" ref="AA171:AA202" ca="1" si="86">IF(N(INDIRECT(ADDRESS(ROW() + $A$9-6 + (ROW()-11)*4,1,1,1,"Internet")))&gt;0,INDIRECT(ADDRESS(ROW() + $A$9-6 + (ROW()-11)*4,1,1,1,"Internet")),"")</f>
        <v/>
      </c>
      <c r="AB171" s="148" t="str">
        <f ca="1">IF(N(AA171)&gt;0,VLOOKUP(AA171,Hraci!$A$1:$I$1000,2,0)," ")</f>
        <v xml:space="preserve"> </v>
      </c>
      <c r="AC171" s="149" t="str">
        <f ca="1">IF(N(AA171)&gt;0,VLOOKUP(AA171,Hraci!$A$1:$I$1000,3,0)," ")</f>
        <v xml:space="preserve"> </v>
      </c>
      <c r="AD171" s="149" t="str">
        <f ca="1">IF(N(AA171)&gt;0,VLOOKUP(AA171,Hraci!$A$1:$I$1000,5,0)," ")</f>
        <v xml:space="preserve"> </v>
      </c>
      <c r="AE171" s="149">
        <f ca="1">IF(N(AA171)=0,9999,VLOOKUP(AA171,Hraci!$A$1:$I$1000,8,0))</f>
        <v>9999</v>
      </c>
      <c r="AF171" s="150">
        <f ca="1">IF(N(AA171)=0,0,VLOOKUP(AA171,Hraci!$A$1:$I$1000,9,0))</f>
        <v>0</v>
      </c>
      <c r="AG171" s="147"/>
      <c r="AH171" s="151">
        <f ca="1">IF(TYPE(VLOOKUP(H171,Nasazení!$A$3:$E$130,5,0))&lt;4,VLOOKUP(H171,Nasazení!$A$3:$E$130,5,0),0)</f>
        <v>0</v>
      </c>
      <c r="AI171" s="152" t="str">
        <f ca="1">IF(N($AH171)&gt;0,VLOOKUP($AH171,Body!$A$4:$F$259,5,0),"")</f>
        <v/>
      </c>
      <c r="AJ171" s="153" t="str">
        <f ca="1">IF(N($AH171)&gt;0,VLOOKUP($AH171,Body!$A$4:$F$259,6,0),"")</f>
        <v/>
      </c>
      <c r="AK171" s="152" t="str">
        <f ca="1">IF(N($AH171)&gt;0,VLOOKUP($AH171,Body!$A$4:$F$259,2,0),"")</f>
        <v/>
      </c>
      <c r="AL171" s="154" t="str">
        <f t="shared" ref="AL171:AL202" ca="1" si="87">IF(N(H171)&gt;$K$7,"",CONCATENATE(IF($U$8="","",H171&amp;" "),L171,IF(L171="",""," - "),J171," ",K171))</f>
        <v/>
      </c>
      <c r="AM171" s="155">
        <f t="shared" ref="AM171:AM202" ca="1" si="88">C171</f>
        <v>0</v>
      </c>
      <c r="AN171" s="72">
        <f ca="1">IF(OR(TYPE(I171)&gt;1,TYPE(MATCH(I171,I172:I$203,0))&gt;1),0,MATCH(I171,I172:I$203,0))+IF(OR(TYPE(I171)&gt;1,TYPE(MATCH(I171,O$11:O$203,0))&gt;1),0,MATCH(I171,O$11:O$203,0))+IF(OR(TYPE(I171)&gt;1,TYPE(MATCH(I171,U$11:U$203,0))&gt;1),0,MATCH(I171,U$11:U$203,0))+IF(OR(TYPE(I171)&gt;1,TYPE(MATCH(I171,AA$11:AA$203,0))&gt;1),0,MATCH(I171,AA$11:AA$203,0))</f>
        <v>0</v>
      </c>
      <c r="AO171" s="72">
        <f ca="1">IF(OR(TYPE(O171)&gt;1,TYPE(MATCH(O171,I$11:I$203,0))&gt;1),0,MATCH(O171,I$11:I$203,0))+IF(OR(TYPE(O171)&gt;1,TYPE(MATCH(O171,O172:O$203,0))&gt;1),0,MATCH(O171,O172:O$203,0))+IF(OR(TYPE(O171)&gt;1,TYPE(MATCH(O171,U$11:U$203,0))&gt;1),0,MATCH(O171,U$11:U$203,0))+IF(OR(TYPE(O171)&gt;1,TYPE(MATCH(O171,AA$11:AA$203,0))&gt;1),0,MATCH(O171,AA$11:AA$203,0))</f>
        <v>0</v>
      </c>
      <c r="AP171" s="72">
        <f ca="1">IF(OR(TYPE(U171)&gt;1,TYPE(MATCH(U171,I$11:I$203,0))&gt;1),0,MATCH(U171,I$11:I$203,0))+IF(OR(TYPE(U171)&gt;1,TYPE(MATCH(U171,O$11:O$203,0))&gt;1),0,MATCH(U171,O$11:O$203,0))+IF(OR(TYPE(U171)&gt;1,TYPE(MATCH(U171,U172:U$203,0))&gt;1),0,MATCH(U171,U172:U$203,0))+IF(OR(TYPE(U171)&gt;1,TYPE(MATCH(U171,AA$11:AA$203,0))&gt;1),0,MATCH(U171,AA$11:AA$203,0))</f>
        <v>0</v>
      </c>
      <c r="AQ171" s="72">
        <f ca="1">IF(OR(TYPE(AA171)&gt;1,TYPE(MATCH(AA171,I$11:I$203,0))&gt;1),0,MATCH(AA171,I$11:I$203,0))+IF(OR(TYPE(AA171)&gt;1,TYPE(MATCH(AA171,O$11:O$203,0))&gt;1),0,MATCH(AA171,O$11:O$203,0))+IF(OR(TYPE(AA171)&gt;1,TYPE(MATCH(AA171,U$11:U$203,0))&gt;1),0,MATCH(U171,U$11:U$203,0))+IF(OR(TYPE(AA171)&gt;1,TYPE(MATCH(AA171,AA172:AA$203,0))&gt;1),0,MATCH(AA171,AA172:AA$203,0))</f>
        <v>0</v>
      </c>
      <c r="AR171" s="72">
        <f t="shared" ref="AR171:AR202" ca="1" si="89">SUM(AN171:AQ171)</f>
        <v>0</v>
      </c>
    </row>
    <row r="172" spans="1:44" ht="14.25">
      <c r="A172" s="103">
        <f t="shared" ca="1" si="75"/>
        <v>0</v>
      </c>
      <c r="B172" s="103">
        <f t="shared" ca="1" si="76"/>
        <v>0</v>
      </c>
      <c r="C172" s="156">
        <f t="shared" ca="1" si="77"/>
        <v>0</v>
      </c>
      <c r="D172" s="103">
        <f t="shared" ca="1" si="78"/>
        <v>99999</v>
      </c>
      <c r="E172" s="103">
        <f t="shared" ca="1" si="79"/>
        <v>9999</v>
      </c>
      <c r="F172" s="104" t="str">
        <f t="shared" ca="1" si="80"/>
        <v>00000000000000000000099524</v>
      </c>
      <c r="G172" s="145">
        <f t="shared" ca="1" si="81"/>
        <v>1</v>
      </c>
      <c r="H172" s="146">
        <f t="shared" si="82"/>
        <v>162</v>
      </c>
      <c r="I172" s="147" t="str">
        <f t="shared" ca="1" si="83"/>
        <v/>
      </c>
      <c r="J172" s="148" t="str">
        <f ca="1">IF(N(I172)&gt;0,VLOOKUP(I172,Hraci!$A$1:$I$1000,2,0),IF(TYPE(INDIRECT(ADDRESS(ROW() + $A$9-9 + (ROW()-11)*4,2,1,1,"Internet")))&gt;1,INDIRECT(ADDRESS(ROW() + $A$9-9 + (ROW()-11)*4,2,1,1,"Internet"))," "))</f>
        <v xml:space="preserve"> </v>
      </c>
      <c r="K172" s="149" t="str">
        <f ca="1">IF(N(I172)&gt;0,VLOOKUP(I172,Hraci!$A$1:$I$1000,3,0)," ")</f>
        <v xml:space="preserve"> </v>
      </c>
      <c r="L172" s="149" t="str">
        <f ca="1">IF(N(I172)&gt;0,VLOOKUP(I172,Hraci!$A$1:$I$1000,5,0),IF(TYPE(INDIRECT(ADDRESS(ROW() + $A$9-9 + (ROW()-11)*4,3,1,1,"Internet")))&gt;1,INDIRECT(ADDRESS(ROW() + $A$9-9 + (ROW()-11)*4,3,1,1,"Internet"))," "))</f>
        <v xml:space="preserve"> </v>
      </c>
      <c r="M172" s="149">
        <f ca="1">IF(N(I172)=0,9999,VLOOKUP(I172,Hraci!$A$1:$I$1000,8,0))</f>
        <v>9999</v>
      </c>
      <c r="N172" s="150">
        <f ca="1">IF(N(I172)=0,0,VLOOKUP(I172,Hraci!$A$1:$I$1000,9,0))</f>
        <v>0</v>
      </c>
      <c r="O172" s="147" t="str">
        <f t="shared" ca="1" si="84"/>
        <v/>
      </c>
      <c r="P172" s="148" t="str">
        <f ca="1">IF(N(O172)&gt;0,VLOOKUP(O172,Hraci!$A$1:$I$1000,2,0),IF(TYPE(INDIRECT(ADDRESS(ROW() + $A$9-8 + (ROW()-11)*4,2,1,1,"Internet")))&gt;1,INDIRECT(ADDRESS(ROW() + $A$9-8 + (ROW()-11)*4,2,1,1,"Internet"))," "))</f>
        <v xml:space="preserve"> </v>
      </c>
      <c r="Q172" s="149" t="str">
        <f ca="1">IF(N(O172)&gt;0,VLOOKUP(O172,Hraci!$A$1:$I$1000,3,0)," ")</f>
        <v xml:space="preserve"> </v>
      </c>
      <c r="R172" s="149" t="str">
        <f ca="1">IF(N(O172)&gt;0,VLOOKUP(O172,Hraci!$A$1:$I$1000,5,0),IF(TYPE(INDIRECT(ADDRESS(ROW() + $A$9-8 + (ROW()-11)*4,3,1,1,"Internet")))&gt;1,INDIRECT(ADDRESS(ROW() + $A$9-8 + (ROW()-11)*4,3,1,1,"Internet"))," "))</f>
        <v xml:space="preserve"> </v>
      </c>
      <c r="S172" s="149">
        <f ca="1">IF(N(O172)=0,9999,VLOOKUP(O172,Hraci!$A$1:$I$1000,8,0))</f>
        <v>9999</v>
      </c>
      <c r="T172" s="150">
        <f ca="1">IF(N(O172)=0,0,VLOOKUP(O172,Hraci!$A$1:$I$1000,9,0))</f>
        <v>0</v>
      </c>
      <c r="U172" s="147" t="str">
        <f t="shared" ca="1" si="85"/>
        <v/>
      </c>
      <c r="V172" s="148" t="str">
        <f ca="1">IF(N(U172)&gt;0,VLOOKUP(U172,Hraci!$A$1:$I$1000,2,0),IF(TYPE(INDIRECT(ADDRESS(ROW() + $A$9-7 + (ROW()-11)*4,2,1,1,"Internet")))&gt;1,INDIRECT(ADDRESS(ROW() + $A$9-7 + (ROW()-11)*4,2,1,1,"Internet"))," "))</f>
        <v xml:space="preserve"> </v>
      </c>
      <c r="W172" s="149" t="str">
        <f ca="1">IF(N(U172)&gt;0,VLOOKUP(U172,Hraci!$A$1:$I$1000,3,0)," ")</f>
        <v xml:space="preserve"> </v>
      </c>
      <c r="X172" s="149" t="str">
        <f ca="1">IF(N(U172)&gt;0,VLOOKUP(U172,Hraci!$A$1:$I$1000,5,0),IF(TYPE(INDIRECT(ADDRESS(ROW() + $A$9-7 + (ROW()-11)*4,3,1,1,"Internet")))&gt;1,INDIRECT(ADDRESS(ROW() + $A$9-7 + (ROW()-11)*4,3,1,1,"Internet"))," "))</f>
        <v xml:space="preserve"> </v>
      </c>
      <c r="Y172" s="149">
        <f ca="1">IF(N(U172)=0,9999,VLOOKUP(U172,Hraci!$A$1:$I$1000,8,0))</f>
        <v>9999</v>
      </c>
      <c r="Z172" s="150">
        <f ca="1">IF(N(U172)=0,0,VLOOKUP(U172,Hraci!$A$1:$I$1000,9,0))</f>
        <v>0</v>
      </c>
      <c r="AA172" s="147" t="str">
        <f t="shared" ca="1" si="86"/>
        <v/>
      </c>
      <c r="AB172" s="148" t="str">
        <f ca="1">IF(N(AA172)&gt;0,VLOOKUP(AA172,Hraci!$A$1:$I$1000,2,0)," ")</f>
        <v xml:space="preserve"> </v>
      </c>
      <c r="AC172" s="149" t="str">
        <f ca="1">IF(N(AA172)&gt;0,VLOOKUP(AA172,Hraci!$A$1:$I$1000,3,0)," ")</f>
        <v xml:space="preserve"> </v>
      </c>
      <c r="AD172" s="149" t="str">
        <f ca="1">IF(N(AA172)&gt;0,VLOOKUP(AA172,Hraci!$A$1:$I$1000,5,0)," ")</f>
        <v xml:space="preserve"> </v>
      </c>
      <c r="AE172" s="149">
        <f ca="1">IF(N(AA172)=0,9999,VLOOKUP(AA172,Hraci!$A$1:$I$1000,8,0))</f>
        <v>9999</v>
      </c>
      <c r="AF172" s="150">
        <f ca="1">IF(N(AA172)=0,0,VLOOKUP(AA172,Hraci!$A$1:$I$1000,9,0))</f>
        <v>0</v>
      </c>
      <c r="AG172" s="147"/>
      <c r="AH172" s="151">
        <f ca="1">IF(TYPE(VLOOKUP(H172,Nasazení!$A$3:$E$130,5,0))&lt;4,VLOOKUP(H172,Nasazení!$A$3:$E$130,5,0),0)</f>
        <v>0</v>
      </c>
      <c r="AI172" s="152" t="str">
        <f ca="1">IF(N($AH172)&gt;0,VLOOKUP($AH172,Body!$A$4:$F$259,5,0),"")</f>
        <v/>
      </c>
      <c r="AJ172" s="153" t="str">
        <f ca="1">IF(N($AH172)&gt;0,VLOOKUP($AH172,Body!$A$4:$F$259,6,0),"")</f>
        <v/>
      </c>
      <c r="AK172" s="152" t="str">
        <f ca="1">IF(N($AH172)&gt;0,VLOOKUP($AH172,Body!$A$4:$F$259,2,0),"")</f>
        <v/>
      </c>
      <c r="AL172" s="154" t="str">
        <f t="shared" ca="1" si="87"/>
        <v/>
      </c>
      <c r="AM172" s="155">
        <f t="shared" ca="1" si="88"/>
        <v>0</v>
      </c>
      <c r="AN172" s="72">
        <f ca="1">IF(OR(TYPE(I172)&gt;1,TYPE(MATCH(I172,I173:I$203,0))&gt;1),0,MATCH(I172,I173:I$203,0))+IF(OR(TYPE(I172)&gt;1,TYPE(MATCH(I172,O$11:O$203,0))&gt;1),0,MATCH(I172,O$11:O$203,0))+IF(OR(TYPE(I172)&gt;1,TYPE(MATCH(I172,U$11:U$203,0))&gt;1),0,MATCH(I172,U$11:U$203,0))+IF(OR(TYPE(I172)&gt;1,TYPE(MATCH(I172,AA$11:AA$203,0))&gt;1),0,MATCH(I172,AA$11:AA$203,0))</f>
        <v>0</v>
      </c>
      <c r="AO172" s="72">
        <f ca="1">IF(OR(TYPE(O172)&gt;1,TYPE(MATCH(O172,I$11:I$203,0))&gt;1),0,MATCH(O172,I$11:I$203,0))+IF(OR(TYPE(O172)&gt;1,TYPE(MATCH(O172,O173:O$203,0))&gt;1),0,MATCH(O172,O173:O$203,0))+IF(OR(TYPE(O172)&gt;1,TYPE(MATCH(O172,U$11:U$203,0))&gt;1),0,MATCH(O172,U$11:U$203,0))+IF(OR(TYPE(O172)&gt;1,TYPE(MATCH(O172,AA$11:AA$203,0))&gt;1),0,MATCH(O172,AA$11:AA$203,0))</f>
        <v>0</v>
      </c>
      <c r="AP172" s="72">
        <f ca="1">IF(OR(TYPE(U172)&gt;1,TYPE(MATCH(U172,I$11:I$203,0))&gt;1),0,MATCH(U172,I$11:I$203,0))+IF(OR(TYPE(U172)&gt;1,TYPE(MATCH(U172,O$11:O$203,0))&gt;1),0,MATCH(U172,O$11:O$203,0))+IF(OR(TYPE(U172)&gt;1,TYPE(MATCH(U172,U173:U$203,0))&gt;1),0,MATCH(U172,U173:U$203,0))+IF(OR(TYPE(U172)&gt;1,TYPE(MATCH(U172,AA$11:AA$203,0))&gt;1),0,MATCH(U172,AA$11:AA$203,0))</f>
        <v>0</v>
      </c>
      <c r="AQ172" s="72">
        <f ca="1">IF(OR(TYPE(AA172)&gt;1,TYPE(MATCH(AA172,I$11:I$203,0))&gt;1),0,MATCH(AA172,I$11:I$203,0))+IF(OR(TYPE(AA172)&gt;1,TYPE(MATCH(AA172,O$11:O$203,0))&gt;1),0,MATCH(AA172,O$11:O$203,0))+IF(OR(TYPE(AA172)&gt;1,TYPE(MATCH(AA172,U$11:U$203,0))&gt;1),0,MATCH(U172,U$11:U$203,0))+IF(OR(TYPE(AA172)&gt;1,TYPE(MATCH(AA172,AA173:AA$203,0))&gt;1),0,MATCH(AA172,AA173:AA$203,0))</f>
        <v>0</v>
      </c>
      <c r="AR172" s="72">
        <f t="shared" ca="1" si="89"/>
        <v>0</v>
      </c>
    </row>
    <row r="173" spans="1:44" ht="14.25">
      <c r="A173" s="103">
        <f t="shared" ca="1" si="75"/>
        <v>0</v>
      </c>
      <c r="B173" s="103">
        <f t="shared" ca="1" si="76"/>
        <v>0</v>
      </c>
      <c r="C173" s="156">
        <f t="shared" ca="1" si="77"/>
        <v>0</v>
      </c>
      <c r="D173" s="103">
        <f t="shared" ca="1" si="78"/>
        <v>99999</v>
      </c>
      <c r="E173" s="103">
        <f t="shared" ca="1" si="79"/>
        <v>9999</v>
      </c>
      <c r="F173" s="104" t="str">
        <f t="shared" ca="1" si="80"/>
        <v>00000000000000000000405284</v>
      </c>
      <c r="G173" s="145">
        <f t="shared" ca="1" si="81"/>
        <v>1</v>
      </c>
      <c r="H173" s="146">
        <f t="shared" si="82"/>
        <v>163</v>
      </c>
      <c r="I173" s="147" t="str">
        <f t="shared" ca="1" si="83"/>
        <v/>
      </c>
      <c r="J173" s="148" t="str">
        <f ca="1">IF(N(I173)&gt;0,VLOOKUP(I173,Hraci!$A$1:$I$1000,2,0),IF(TYPE(INDIRECT(ADDRESS(ROW() + $A$9-9 + (ROW()-11)*4,2,1,1,"Internet")))&gt;1,INDIRECT(ADDRESS(ROW() + $A$9-9 + (ROW()-11)*4,2,1,1,"Internet"))," "))</f>
        <v xml:space="preserve"> </v>
      </c>
      <c r="K173" s="149" t="str">
        <f ca="1">IF(N(I173)&gt;0,VLOOKUP(I173,Hraci!$A$1:$I$1000,3,0)," ")</f>
        <v xml:space="preserve"> </v>
      </c>
      <c r="L173" s="149" t="str">
        <f ca="1">IF(N(I173)&gt;0,VLOOKUP(I173,Hraci!$A$1:$I$1000,5,0),IF(TYPE(INDIRECT(ADDRESS(ROW() + $A$9-9 + (ROW()-11)*4,3,1,1,"Internet")))&gt;1,INDIRECT(ADDRESS(ROW() + $A$9-9 + (ROW()-11)*4,3,1,1,"Internet"))," "))</f>
        <v xml:space="preserve"> </v>
      </c>
      <c r="M173" s="149">
        <f ca="1">IF(N(I173)=0,9999,VLOOKUP(I173,Hraci!$A$1:$I$1000,8,0))</f>
        <v>9999</v>
      </c>
      <c r="N173" s="150">
        <f ca="1">IF(N(I173)=0,0,VLOOKUP(I173,Hraci!$A$1:$I$1000,9,0))</f>
        <v>0</v>
      </c>
      <c r="O173" s="147" t="str">
        <f t="shared" ca="1" si="84"/>
        <v/>
      </c>
      <c r="P173" s="148" t="str">
        <f ca="1">IF(N(O173)&gt;0,VLOOKUP(O173,Hraci!$A$1:$I$1000,2,0),IF(TYPE(INDIRECT(ADDRESS(ROW() + $A$9-8 + (ROW()-11)*4,2,1,1,"Internet")))&gt;1,INDIRECT(ADDRESS(ROW() + $A$9-8 + (ROW()-11)*4,2,1,1,"Internet"))," "))</f>
        <v xml:space="preserve"> </v>
      </c>
      <c r="Q173" s="149" t="str">
        <f ca="1">IF(N(O173)&gt;0,VLOOKUP(O173,Hraci!$A$1:$I$1000,3,0)," ")</f>
        <v xml:space="preserve"> </v>
      </c>
      <c r="R173" s="149" t="str">
        <f ca="1">IF(N(O173)&gt;0,VLOOKUP(O173,Hraci!$A$1:$I$1000,5,0),IF(TYPE(INDIRECT(ADDRESS(ROW() + $A$9-8 + (ROW()-11)*4,3,1,1,"Internet")))&gt;1,INDIRECT(ADDRESS(ROW() + $A$9-8 + (ROW()-11)*4,3,1,1,"Internet"))," "))</f>
        <v xml:space="preserve"> </v>
      </c>
      <c r="S173" s="149">
        <f ca="1">IF(N(O173)=0,9999,VLOOKUP(O173,Hraci!$A$1:$I$1000,8,0))</f>
        <v>9999</v>
      </c>
      <c r="T173" s="150">
        <f ca="1">IF(N(O173)=0,0,VLOOKUP(O173,Hraci!$A$1:$I$1000,9,0))</f>
        <v>0</v>
      </c>
      <c r="U173" s="147" t="str">
        <f t="shared" ca="1" si="85"/>
        <v/>
      </c>
      <c r="V173" s="148" t="str">
        <f ca="1">IF(N(U173)&gt;0,VLOOKUP(U173,Hraci!$A$1:$I$1000,2,0),IF(TYPE(INDIRECT(ADDRESS(ROW() + $A$9-7 + (ROW()-11)*4,2,1,1,"Internet")))&gt;1,INDIRECT(ADDRESS(ROW() + $A$9-7 + (ROW()-11)*4,2,1,1,"Internet"))," "))</f>
        <v xml:space="preserve"> </v>
      </c>
      <c r="W173" s="149" t="str">
        <f ca="1">IF(N(U173)&gt;0,VLOOKUP(U173,Hraci!$A$1:$I$1000,3,0)," ")</f>
        <v xml:space="preserve"> </v>
      </c>
      <c r="X173" s="149" t="str">
        <f ca="1">IF(N(U173)&gt;0,VLOOKUP(U173,Hraci!$A$1:$I$1000,5,0),IF(TYPE(INDIRECT(ADDRESS(ROW() + $A$9-7 + (ROW()-11)*4,3,1,1,"Internet")))&gt;1,INDIRECT(ADDRESS(ROW() + $A$9-7 + (ROW()-11)*4,3,1,1,"Internet"))," "))</f>
        <v xml:space="preserve"> </v>
      </c>
      <c r="Y173" s="149">
        <f ca="1">IF(N(U173)=0,9999,VLOOKUP(U173,Hraci!$A$1:$I$1000,8,0))</f>
        <v>9999</v>
      </c>
      <c r="Z173" s="150">
        <f ca="1">IF(N(U173)=0,0,VLOOKUP(U173,Hraci!$A$1:$I$1000,9,0))</f>
        <v>0</v>
      </c>
      <c r="AA173" s="147" t="str">
        <f t="shared" ca="1" si="86"/>
        <v/>
      </c>
      <c r="AB173" s="148" t="str">
        <f ca="1">IF(N(AA173)&gt;0,VLOOKUP(AA173,Hraci!$A$1:$I$1000,2,0)," ")</f>
        <v xml:space="preserve"> </v>
      </c>
      <c r="AC173" s="149" t="str">
        <f ca="1">IF(N(AA173)&gt;0,VLOOKUP(AA173,Hraci!$A$1:$I$1000,3,0)," ")</f>
        <v xml:space="preserve"> </v>
      </c>
      <c r="AD173" s="149" t="str">
        <f ca="1">IF(N(AA173)&gt;0,VLOOKUP(AA173,Hraci!$A$1:$I$1000,5,0)," ")</f>
        <v xml:space="preserve"> </v>
      </c>
      <c r="AE173" s="149">
        <f ca="1">IF(N(AA173)=0,9999,VLOOKUP(AA173,Hraci!$A$1:$I$1000,8,0))</f>
        <v>9999</v>
      </c>
      <c r="AF173" s="150">
        <f ca="1">IF(N(AA173)=0,0,VLOOKUP(AA173,Hraci!$A$1:$I$1000,9,0))</f>
        <v>0</v>
      </c>
      <c r="AG173" s="147"/>
      <c r="AH173" s="151">
        <f ca="1">IF(TYPE(VLOOKUP(H173,Nasazení!$A$3:$E$130,5,0))&lt;4,VLOOKUP(H173,Nasazení!$A$3:$E$130,5,0),0)</f>
        <v>0</v>
      </c>
      <c r="AI173" s="152" t="str">
        <f ca="1">IF(N($AH173)&gt;0,VLOOKUP($AH173,Body!$A$4:$F$259,5,0),"")</f>
        <v/>
      </c>
      <c r="AJ173" s="153" t="str">
        <f ca="1">IF(N($AH173)&gt;0,VLOOKUP($AH173,Body!$A$4:$F$259,6,0),"")</f>
        <v/>
      </c>
      <c r="AK173" s="152" t="str">
        <f ca="1">IF(N($AH173)&gt;0,VLOOKUP($AH173,Body!$A$4:$F$259,2,0),"")</f>
        <v/>
      </c>
      <c r="AL173" s="154" t="str">
        <f t="shared" ca="1" si="87"/>
        <v/>
      </c>
      <c r="AM173" s="155">
        <f t="shared" ca="1" si="88"/>
        <v>0</v>
      </c>
      <c r="AN173" s="72">
        <f ca="1">IF(OR(TYPE(I173)&gt;1,TYPE(MATCH(I173,I174:I$203,0))&gt;1),0,MATCH(I173,I174:I$203,0))+IF(OR(TYPE(I173)&gt;1,TYPE(MATCH(I173,O$11:O$203,0))&gt;1),0,MATCH(I173,O$11:O$203,0))+IF(OR(TYPE(I173)&gt;1,TYPE(MATCH(I173,U$11:U$203,0))&gt;1),0,MATCH(I173,U$11:U$203,0))+IF(OR(TYPE(I173)&gt;1,TYPE(MATCH(I173,AA$11:AA$203,0))&gt;1),0,MATCH(I173,AA$11:AA$203,0))</f>
        <v>0</v>
      </c>
      <c r="AO173" s="72">
        <f ca="1">IF(OR(TYPE(O173)&gt;1,TYPE(MATCH(O173,I$11:I$203,0))&gt;1),0,MATCH(O173,I$11:I$203,0))+IF(OR(TYPE(O173)&gt;1,TYPE(MATCH(O173,O174:O$203,0))&gt;1),0,MATCH(O173,O174:O$203,0))+IF(OR(TYPE(O173)&gt;1,TYPE(MATCH(O173,U$11:U$203,0))&gt;1),0,MATCH(O173,U$11:U$203,0))+IF(OR(TYPE(O173)&gt;1,TYPE(MATCH(O173,AA$11:AA$203,0))&gt;1),0,MATCH(O173,AA$11:AA$203,0))</f>
        <v>0</v>
      </c>
      <c r="AP173" s="72">
        <f ca="1">IF(OR(TYPE(U173)&gt;1,TYPE(MATCH(U173,I$11:I$203,0))&gt;1),0,MATCH(U173,I$11:I$203,0))+IF(OR(TYPE(U173)&gt;1,TYPE(MATCH(U173,O$11:O$203,0))&gt;1),0,MATCH(U173,O$11:O$203,0))+IF(OR(TYPE(U173)&gt;1,TYPE(MATCH(U173,U174:U$203,0))&gt;1),0,MATCH(U173,U174:U$203,0))+IF(OR(TYPE(U173)&gt;1,TYPE(MATCH(U173,AA$11:AA$203,0))&gt;1),0,MATCH(U173,AA$11:AA$203,0))</f>
        <v>0</v>
      </c>
      <c r="AQ173" s="72">
        <f ca="1">IF(OR(TYPE(AA173)&gt;1,TYPE(MATCH(AA173,I$11:I$203,0))&gt;1),0,MATCH(AA173,I$11:I$203,0))+IF(OR(TYPE(AA173)&gt;1,TYPE(MATCH(AA173,O$11:O$203,0))&gt;1),0,MATCH(AA173,O$11:O$203,0))+IF(OR(TYPE(AA173)&gt;1,TYPE(MATCH(AA173,U$11:U$203,0))&gt;1),0,MATCH(U173,U$11:U$203,0))+IF(OR(TYPE(AA173)&gt;1,TYPE(MATCH(AA173,AA174:AA$203,0))&gt;1),0,MATCH(AA173,AA174:AA$203,0))</f>
        <v>0</v>
      </c>
      <c r="AR173" s="72">
        <f t="shared" ca="1" si="89"/>
        <v>0</v>
      </c>
    </row>
    <row r="174" spans="1:44" ht="14.25">
      <c r="A174" s="103">
        <f t="shared" ca="1" si="75"/>
        <v>0</v>
      </c>
      <c r="B174" s="103">
        <f t="shared" ca="1" si="76"/>
        <v>0</v>
      </c>
      <c r="C174" s="156">
        <f t="shared" ca="1" si="77"/>
        <v>0</v>
      </c>
      <c r="D174" s="103">
        <f t="shared" ca="1" si="78"/>
        <v>99999</v>
      </c>
      <c r="E174" s="103">
        <f t="shared" ca="1" si="79"/>
        <v>9999</v>
      </c>
      <c r="F174" s="104" t="str">
        <f t="shared" ca="1" si="80"/>
        <v>00000000000000000000688632</v>
      </c>
      <c r="G174" s="145">
        <f t="shared" ca="1" si="81"/>
        <v>1</v>
      </c>
      <c r="H174" s="146">
        <f t="shared" si="82"/>
        <v>164</v>
      </c>
      <c r="I174" s="147" t="str">
        <f t="shared" ca="1" si="83"/>
        <v/>
      </c>
      <c r="J174" s="148" t="str">
        <f ca="1">IF(N(I174)&gt;0,VLOOKUP(I174,Hraci!$A$1:$I$1000,2,0),IF(TYPE(INDIRECT(ADDRESS(ROW() + $A$9-9 + (ROW()-11)*4,2,1,1,"Internet")))&gt;1,INDIRECT(ADDRESS(ROW() + $A$9-9 + (ROW()-11)*4,2,1,1,"Internet"))," "))</f>
        <v xml:space="preserve"> </v>
      </c>
      <c r="K174" s="149" t="str">
        <f ca="1">IF(N(I174)&gt;0,VLOOKUP(I174,Hraci!$A$1:$I$1000,3,0)," ")</f>
        <v xml:space="preserve"> </v>
      </c>
      <c r="L174" s="149" t="str">
        <f ca="1">IF(N(I174)&gt;0,VLOOKUP(I174,Hraci!$A$1:$I$1000,5,0),IF(TYPE(INDIRECT(ADDRESS(ROW() + $A$9-9 + (ROW()-11)*4,3,1,1,"Internet")))&gt;1,INDIRECT(ADDRESS(ROW() + $A$9-9 + (ROW()-11)*4,3,1,1,"Internet"))," "))</f>
        <v xml:space="preserve"> </v>
      </c>
      <c r="M174" s="149">
        <f ca="1">IF(N(I174)=0,9999,VLOOKUP(I174,Hraci!$A$1:$I$1000,8,0))</f>
        <v>9999</v>
      </c>
      <c r="N174" s="150">
        <f ca="1">IF(N(I174)=0,0,VLOOKUP(I174,Hraci!$A$1:$I$1000,9,0))</f>
        <v>0</v>
      </c>
      <c r="O174" s="147" t="str">
        <f t="shared" ca="1" si="84"/>
        <v/>
      </c>
      <c r="P174" s="148" t="str">
        <f ca="1">IF(N(O174)&gt;0,VLOOKUP(O174,Hraci!$A$1:$I$1000,2,0),IF(TYPE(INDIRECT(ADDRESS(ROW() + $A$9-8 + (ROW()-11)*4,2,1,1,"Internet")))&gt;1,INDIRECT(ADDRESS(ROW() + $A$9-8 + (ROW()-11)*4,2,1,1,"Internet"))," "))</f>
        <v xml:space="preserve"> </v>
      </c>
      <c r="Q174" s="149" t="str">
        <f ca="1">IF(N(O174)&gt;0,VLOOKUP(O174,Hraci!$A$1:$I$1000,3,0)," ")</f>
        <v xml:space="preserve"> </v>
      </c>
      <c r="R174" s="149" t="str">
        <f ca="1">IF(N(O174)&gt;0,VLOOKUP(O174,Hraci!$A$1:$I$1000,5,0),IF(TYPE(INDIRECT(ADDRESS(ROW() + $A$9-8 + (ROW()-11)*4,3,1,1,"Internet")))&gt;1,INDIRECT(ADDRESS(ROW() + $A$9-8 + (ROW()-11)*4,3,1,1,"Internet"))," "))</f>
        <v xml:space="preserve"> </v>
      </c>
      <c r="S174" s="149">
        <f ca="1">IF(N(O174)=0,9999,VLOOKUP(O174,Hraci!$A$1:$I$1000,8,0))</f>
        <v>9999</v>
      </c>
      <c r="T174" s="150">
        <f ca="1">IF(N(O174)=0,0,VLOOKUP(O174,Hraci!$A$1:$I$1000,9,0))</f>
        <v>0</v>
      </c>
      <c r="U174" s="147" t="str">
        <f t="shared" ca="1" si="85"/>
        <v/>
      </c>
      <c r="V174" s="148" t="str">
        <f ca="1">IF(N(U174)&gt;0,VLOOKUP(U174,Hraci!$A$1:$I$1000,2,0),IF(TYPE(INDIRECT(ADDRESS(ROW() + $A$9-7 + (ROW()-11)*4,2,1,1,"Internet")))&gt;1,INDIRECT(ADDRESS(ROW() + $A$9-7 + (ROW()-11)*4,2,1,1,"Internet"))," "))</f>
        <v xml:space="preserve"> </v>
      </c>
      <c r="W174" s="149" t="str">
        <f ca="1">IF(N(U174)&gt;0,VLOOKUP(U174,Hraci!$A$1:$I$1000,3,0)," ")</f>
        <v xml:space="preserve"> </v>
      </c>
      <c r="X174" s="149" t="str">
        <f ca="1">IF(N(U174)&gt;0,VLOOKUP(U174,Hraci!$A$1:$I$1000,5,0),IF(TYPE(INDIRECT(ADDRESS(ROW() + $A$9-7 + (ROW()-11)*4,3,1,1,"Internet")))&gt;1,INDIRECT(ADDRESS(ROW() + $A$9-7 + (ROW()-11)*4,3,1,1,"Internet"))," "))</f>
        <v xml:space="preserve"> </v>
      </c>
      <c r="Y174" s="149">
        <f ca="1">IF(N(U174)=0,9999,VLOOKUP(U174,Hraci!$A$1:$I$1000,8,0))</f>
        <v>9999</v>
      </c>
      <c r="Z174" s="150">
        <f ca="1">IF(N(U174)=0,0,VLOOKUP(U174,Hraci!$A$1:$I$1000,9,0))</f>
        <v>0</v>
      </c>
      <c r="AA174" s="147" t="str">
        <f t="shared" ca="1" si="86"/>
        <v/>
      </c>
      <c r="AB174" s="148" t="str">
        <f ca="1">IF(N(AA174)&gt;0,VLOOKUP(AA174,Hraci!$A$1:$I$1000,2,0)," ")</f>
        <v xml:space="preserve"> </v>
      </c>
      <c r="AC174" s="149" t="str">
        <f ca="1">IF(N(AA174)&gt;0,VLOOKUP(AA174,Hraci!$A$1:$I$1000,3,0)," ")</f>
        <v xml:space="preserve"> </v>
      </c>
      <c r="AD174" s="149" t="str">
        <f ca="1">IF(N(AA174)&gt;0,VLOOKUP(AA174,Hraci!$A$1:$I$1000,5,0)," ")</f>
        <v xml:space="preserve"> </v>
      </c>
      <c r="AE174" s="149">
        <f ca="1">IF(N(AA174)=0,9999,VLOOKUP(AA174,Hraci!$A$1:$I$1000,8,0))</f>
        <v>9999</v>
      </c>
      <c r="AF174" s="150">
        <f ca="1">IF(N(AA174)=0,0,VLOOKUP(AA174,Hraci!$A$1:$I$1000,9,0))</f>
        <v>0</v>
      </c>
      <c r="AG174" s="147"/>
      <c r="AH174" s="151">
        <f ca="1">IF(TYPE(VLOOKUP(H174,Nasazení!$A$3:$E$130,5,0))&lt;4,VLOOKUP(H174,Nasazení!$A$3:$E$130,5,0),0)</f>
        <v>0</v>
      </c>
      <c r="AI174" s="152" t="str">
        <f ca="1">IF(N($AH174)&gt;0,VLOOKUP($AH174,Body!$A$4:$F$259,5,0),"")</f>
        <v/>
      </c>
      <c r="AJ174" s="153" t="str">
        <f ca="1">IF(N($AH174)&gt;0,VLOOKUP($AH174,Body!$A$4:$F$259,6,0),"")</f>
        <v/>
      </c>
      <c r="AK174" s="152" t="str">
        <f ca="1">IF(N($AH174)&gt;0,VLOOKUP($AH174,Body!$A$4:$F$259,2,0),"")</f>
        <v/>
      </c>
      <c r="AL174" s="154" t="str">
        <f t="shared" ca="1" si="87"/>
        <v/>
      </c>
      <c r="AM174" s="155">
        <f t="shared" ca="1" si="88"/>
        <v>0</v>
      </c>
      <c r="AN174" s="72">
        <f ca="1">IF(OR(TYPE(I174)&gt;1,TYPE(MATCH(I174,I175:I$203,0))&gt;1),0,MATCH(I174,I175:I$203,0))+IF(OR(TYPE(I174)&gt;1,TYPE(MATCH(I174,O$11:O$203,0))&gt;1),0,MATCH(I174,O$11:O$203,0))+IF(OR(TYPE(I174)&gt;1,TYPE(MATCH(I174,U$11:U$203,0))&gt;1),0,MATCH(I174,U$11:U$203,0))+IF(OR(TYPE(I174)&gt;1,TYPE(MATCH(I174,AA$11:AA$203,0))&gt;1),0,MATCH(I174,AA$11:AA$203,0))</f>
        <v>0</v>
      </c>
      <c r="AO174" s="72">
        <f ca="1">IF(OR(TYPE(O174)&gt;1,TYPE(MATCH(O174,I$11:I$203,0))&gt;1),0,MATCH(O174,I$11:I$203,0))+IF(OR(TYPE(O174)&gt;1,TYPE(MATCH(O174,O175:O$203,0))&gt;1),0,MATCH(O174,O175:O$203,0))+IF(OR(TYPE(O174)&gt;1,TYPE(MATCH(O174,U$11:U$203,0))&gt;1),0,MATCH(O174,U$11:U$203,0))+IF(OR(TYPE(O174)&gt;1,TYPE(MATCH(O174,AA$11:AA$203,0))&gt;1),0,MATCH(O174,AA$11:AA$203,0))</f>
        <v>0</v>
      </c>
      <c r="AP174" s="72">
        <f ca="1">IF(OR(TYPE(U174)&gt;1,TYPE(MATCH(U174,I$11:I$203,0))&gt;1),0,MATCH(U174,I$11:I$203,0))+IF(OR(TYPE(U174)&gt;1,TYPE(MATCH(U174,O$11:O$203,0))&gt;1),0,MATCH(U174,O$11:O$203,0))+IF(OR(TYPE(U174)&gt;1,TYPE(MATCH(U174,U175:U$203,0))&gt;1),0,MATCH(U174,U175:U$203,0))+IF(OR(TYPE(U174)&gt;1,TYPE(MATCH(U174,AA$11:AA$203,0))&gt;1),0,MATCH(U174,AA$11:AA$203,0))</f>
        <v>0</v>
      </c>
      <c r="AQ174" s="72">
        <f ca="1">IF(OR(TYPE(AA174)&gt;1,TYPE(MATCH(AA174,I$11:I$203,0))&gt;1),0,MATCH(AA174,I$11:I$203,0))+IF(OR(TYPE(AA174)&gt;1,TYPE(MATCH(AA174,O$11:O$203,0))&gt;1),0,MATCH(AA174,O$11:O$203,0))+IF(OR(TYPE(AA174)&gt;1,TYPE(MATCH(AA174,U$11:U$203,0))&gt;1),0,MATCH(U174,U$11:U$203,0))+IF(OR(TYPE(AA174)&gt;1,TYPE(MATCH(AA174,AA175:AA$203,0))&gt;1),0,MATCH(AA174,AA175:AA$203,0))</f>
        <v>0</v>
      </c>
      <c r="AR174" s="72">
        <f t="shared" ca="1" si="89"/>
        <v>0</v>
      </c>
    </row>
    <row r="175" spans="1:44" ht="14.25">
      <c r="A175" s="103">
        <f t="shared" ca="1" si="75"/>
        <v>0</v>
      </c>
      <c r="B175" s="103">
        <f t="shared" ca="1" si="76"/>
        <v>0</v>
      </c>
      <c r="C175" s="156">
        <f t="shared" ca="1" si="77"/>
        <v>0</v>
      </c>
      <c r="D175" s="103">
        <f t="shared" ca="1" si="78"/>
        <v>99999</v>
      </c>
      <c r="E175" s="103">
        <f t="shared" ca="1" si="79"/>
        <v>9999</v>
      </c>
      <c r="F175" s="104" t="str">
        <f t="shared" ca="1" si="80"/>
        <v>00000000000000000000963962</v>
      </c>
      <c r="G175" s="145">
        <f t="shared" ca="1" si="81"/>
        <v>1</v>
      </c>
      <c r="H175" s="146">
        <f t="shared" si="82"/>
        <v>165</v>
      </c>
      <c r="I175" s="147" t="str">
        <f t="shared" ca="1" si="83"/>
        <v/>
      </c>
      <c r="J175" s="148" t="str">
        <f ca="1">IF(N(I175)&gt;0,VLOOKUP(I175,Hraci!$A$1:$I$1000,2,0),IF(TYPE(INDIRECT(ADDRESS(ROW() + $A$9-9 + (ROW()-11)*4,2,1,1,"Internet")))&gt;1,INDIRECT(ADDRESS(ROW() + $A$9-9 + (ROW()-11)*4,2,1,1,"Internet"))," "))</f>
        <v xml:space="preserve"> </v>
      </c>
      <c r="K175" s="149" t="str">
        <f ca="1">IF(N(I175)&gt;0,VLOOKUP(I175,Hraci!$A$1:$I$1000,3,0)," ")</f>
        <v xml:space="preserve"> </v>
      </c>
      <c r="L175" s="149" t="str">
        <f ca="1">IF(N(I175)&gt;0,VLOOKUP(I175,Hraci!$A$1:$I$1000,5,0),IF(TYPE(INDIRECT(ADDRESS(ROW() + $A$9-9 + (ROW()-11)*4,3,1,1,"Internet")))&gt;1,INDIRECT(ADDRESS(ROW() + $A$9-9 + (ROW()-11)*4,3,1,1,"Internet"))," "))</f>
        <v xml:space="preserve"> </v>
      </c>
      <c r="M175" s="149">
        <f ca="1">IF(N(I175)=0,9999,VLOOKUP(I175,Hraci!$A$1:$I$1000,8,0))</f>
        <v>9999</v>
      </c>
      <c r="N175" s="150">
        <f ca="1">IF(N(I175)=0,0,VLOOKUP(I175,Hraci!$A$1:$I$1000,9,0))</f>
        <v>0</v>
      </c>
      <c r="O175" s="147" t="str">
        <f t="shared" ca="1" si="84"/>
        <v/>
      </c>
      <c r="P175" s="148" t="str">
        <f ca="1">IF(N(O175)&gt;0,VLOOKUP(O175,Hraci!$A$1:$I$1000,2,0),IF(TYPE(INDIRECT(ADDRESS(ROW() + $A$9-8 + (ROW()-11)*4,2,1,1,"Internet")))&gt;1,INDIRECT(ADDRESS(ROW() + $A$9-8 + (ROW()-11)*4,2,1,1,"Internet"))," "))</f>
        <v xml:space="preserve"> </v>
      </c>
      <c r="Q175" s="149" t="str">
        <f ca="1">IF(N(O175)&gt;0,VLOOKUP(O175,Hraci!$A$1:$I$1000,3,0)," ")</f>
        <v xml:space="preserve"> </v>
      </c>
      <c r="R175" s="149" t="str">
        <f ca="1">IF(N(O175)&gt;0,VLOOKUP(O175,Hraci!$A$1:$I$1000,5,0),IF(TYPE(INDIRECT(ADDRESS(ROW() + $A$9-8 + (ROW()-11)*4,3,1,1,"Internet")))&gt;1,INDIRECT(ADDRESS(ROW() + $A$9-8 + (ROW()-11)*4,3,1,1,"Internet"))," "))</f>
        <v xml:space="preserve"> </v>
      </c>
      <c r="S175" s="149">
        <f ca="1">IF(N(O175)=0,9999,VLOOKUP(O175,Hraci!$A$1:$I$1000,8,0))</f>
        <v>9999</v>
      </c>
      <c r="T175" s="150">
        <f ca="1">IF(N(O175)=0,0,VLOOKUP(O175,Hraci!$A$1:$I$1000,9,0))</f>
        <v>0</v>
      </c>
      <c r="U175" s="147" t="str">
        <f t="shared" ca="1" si="85"/>
        <v/>
      </c>
      <c r="V175" s="148" t="str">
        <f ca="1">IF(N(U175)&gt;0,VLOOKUP(U175,Hraci!$A$1:$I$1000,2,0),IF(TYPE(INDIRECT(ADDRESS(ROW() + $A$9-7 + (ROW()-11)*4,2,1,1,"Internet")))&gt;1,INDIRECT(ADDRESS(ROW() + $A$9-7 + (ROW()-11)*4,2,1,1,"Internet"))," "))</f>
        <v xml:space="preserve"> </v>
      </c>
      <c r="W175" s="149" t="str">
        <f ca="1">IF(N(U175)&gt;0,VLOOKUP(U175,Hraci!$A$1:$I$1000,3,0)," ")</f>
        <v xml:space="preserve"> </v>
      </c>
      <c r="X175" s="149" t="str">
        <f ca="1">IF(N(U175)&gt;0,VLOOKUP(U175,Hraci!$A$1:$I$1000,5,0),IF(TYPE(INDIRECT(ADDRESS(ROW() + $A$9-7 + (ROW()-11)*4,3,1,1,"Internet")))&gt;1,INDIRECT(ADDRESS(ROW() + $A$9-7 + (ROW()-11)*4,3,1,1,"Internet"))," "))</f>
        <v xml:space="preserve"> </v>
      </c>
      <c r="Y175" s="149">
        <f ca="1">IF(N(U175)=0,9999,VLOOKUP(U175,Hraci!$A$1:$I$1000,8,0))</f>
        <v>9999</v>
      </c>
      <c r="Z175" s="150">
        <f ca="1">IF(N(U175)=0,0,VLOOKUP(U175,Hraci!$A$1:$I$1000,9,0))</f>
        <v>0</v>
      </c>
      <c r="AA175" s="147" t="str">
        <f t="shared" ca="1" si="86"/>
        <v/>
      </c>
      <c r="AB175" s="148" t="str">
        <f ca="1">IF(N(AA175)&gt;0,VLOOKUP(AA175,Hraci!$A$1:$I$1000,2,0)," ")</f>
        <v xml:space="preserve"> </v>
      </c>
      <c r="AC175" s="149" t="str">
        <f ca="1">IF(N(AA175)&gt;0,VLOOKUP(AA175,Hraci!$A$1:$I$1000,3,0)," ")</f>
        <v xml:space="preserve"> </v>
      </c>
      <c r="AD175" s="149" t="str">
        <f ca="1">IF(N(AA175)&gt;0,VLOOKUP(AA175,Hraci!$A$1:$I$1000,5,0)," ")</f>
        <v xml:space="preserve"> </v>
      </c>
      <c r="AE175" s="149">
        <f ca="1">IF(N(AA175)=0,9999,VLOOKUP(AA175,Hraci!$A$1:$I$1000,8,0))</f>
        <v>9999</v>
      </c>
      <c r="AF175" s="150">
        <f ca="1">IF(N(AA175)=0,0,VLOOKUP(AA175,Hraci!$A$1:$I$1000,9,0))</f>
        <v>0</v>
      </c>
      <c r="AG175" s="147"/>
      <c r="AH175" s="151">
        <f ca="1">IF(TYPE(VLOOKUP(H175,Nasazení!$A$3:$E$130,5,0))&lt;4,VLOOKUP(H175,Nasazení!$A$3:$E$130,5,0),0)</f>
        <v>0</v>
      </c>
      <c r="AI175" s="152" t="str">
        <f ca="1">IF(N($AH175)&gt;0,VLOOKUP($AH175,Body!$A$4:$F$259,5,0),"")</f>
        <v/>
      </c>
      <c r="AJ175" s="153" t="str">
        <f ca="1">IF(N($AH175)&gt;0,VLOOKUP($AH175,Body!$A$4:$F$259,6,0),"")</f>
        <v/>
      </c>
      <c r="AK175" s="152" t="str">
        <f ca="1">IF(N($AH175)&gt;0,VLOOKUP($AH175,Body!$A$4:$F$259,2,0),"")</f>
        <v/>
      </c>
      <c r="AL175" s="154" t="str">
        <f t="shared" ca="1" si="87"/>
        <v/>
      </c>
      <c r="AM175" s="155">
        <f t="shared" ca="1" si="88"/>
        <v>0</v>
      </c>
      <c r="AN175" s="72">
        <f ca="1">IF(OR(TYPE(I175)&gt;1,TYPE(MATCH(I175,I176:I$203,0))&gt;1),0,MATCH(I175,I176:I$203,0))+IF(OR(TYPE(I175)&gt;1,TYPE(MATCH(I175,O$11:O$203,0))&gt;1),0,MATCH(I175,O$11:O$203,0))+IF(OR(TYPE(I175)&gt;1,TYPE(MATCH(I175,U$11:U$203,0))&gt;1),0,MATCH(I175,U$11:U$203,0))+IF(OR(TYPE(I175)&gt;1,TYPE(MATCH(I175,AA$11:AA$203,0))&gt;1),0,MATCH(I175,AA$11:AA$203,0))</f>
        <v>0</v>
      </c>
      <c r="AO175" s="72">
        <f ca="1">IF(OR(TYPE(O175)&gt;1,TYPE(MATCH(O175,I$11:I$203,0))&gt;1),0,MATCH(O175,I$11:I$203,0))+IF(OR(TYPE(O175)&gt;1,TYPE(MATCH(O175,O176:O$203,0))&gt;1),0,MATCH(O175,O176:O$203,0))+IF(OR(TYPE(O175)&gt;1,TYPE(MATCH(O175,U$11:U$203,0))&gt;1),0,MATCH(O175,U$11:U$203,0))+IF(OR(TYPE(O175)&gt;1,TYPE(MATCH(O175,AA$11:AA$203,0))&gt;1),0,MATCH(O175,AA$11:AA$203,0))</f>
        <v>0</v>
      </c>
      <c r="AP175" s="72">
        <f ca="1">IF(OR(TYPE(U175)&gt;1,TYPE(MATCH(U175,I$11:I$203,0))&gt;1),0,MATCH(U175,I$11:I$203,0))+IF(OR(TYPE(U175)&gt;1,TYPE(MATCH(U175,O$11:O$203,0))&gt;1),0,MATCH(U175,O$11:O$203,0))+IF(OR(TYPE(U175)&gt;1,TYPE(MATCH(U175,U176:U$203,0))&gt;1),0,MATCH(U175,U176:U$203,0))+IF(OR(TYPE(U175)&gt;1,TYPE(MATCH(U175,AA$11:AA$203,0))&gt;1),0,MATCH(U175,AA$11:AA$203,0))</f>
        <v>0</v>
      </c>
      <c r="AQ175" s="72">
        <f ca="1">IF(OR(TYPE(AA175)&gt;1,TYPE(MATCH(AA175,I$11:I$203,0))&gt;1),0,MATCH(AA175,I$11:I$203,0))+IF(OR(TYPE(AA175)&gt;1,TYPE(MATCH(AA175,O$11:O$203,0))&gt;1),0,MATCH(AA175,O$11:O$203,0))+IF(OR(TYPE(AA175)&gt;1,TYPE(MATCH(AA175,U$11:U$203,0))&gt;1),0,MATCH(U175,U$11:U$203,0))+IF(OR(TYPE(AA175)&gt;1,TYPE(MATCH(AA175,AA176:AA$203,0))&gt;1),0,MATCH(AA175,AA176:AA$203,0))</f>
        <v>0</v>
      </c>
      <c r="AR175" s="72">
        <f t="shared" ca="1" si="89"/>
        <v>0</v>
      </c>
    </row>
    <row r="176" spans="1:44" ht="14.25">
      <c r="A176" s="103">
        <f t="shared" ca="1" si="75"/>
        <v>0</v>
      </c>
      <c r="B176" s="103">
        <f t="shared" ca="1" si="76"/>
        <v>0</v>
      </c>
      <c r="C176" s="156">
        <f t="shared" ca="1" si="77"/>
        <v>0</v>
      </c>
      <c r="D176" s="103">
        <f t="shared" ca="1" si="78"/>
        <v>99999</v>
      </c>
      <c r="E176" s="103">
        <f t="shared" ca="1" si="79"/>
        <v>9999</v>
      </c>
      <c r="F176" s="104" t="str">
        <f t="shared" ca="1" si="80"/>
        <v>00000000000000000000687875</v>
      </c>
      <c r="G176" s="145">
        <f t="shared" ca="1" si="81"/>
        <v>1</v>
      </c>
      <c r="H176" s="146">
        <f t="shared" si="82"/>
        <v>166</v>
      </c>
      <c r="I176" s="147" t="str">
        <f t="shared" ca="1" si="83"/>
        <v/>
      </c>
      <c r="J176" s="148" t="str">
        <f ca="1">IF(N(I176)&gt;0,VLOOKUP(I176,Hraci!$A$1:$I$1000,2,0),IF(TYPE(INDIRECT(ADDRESS(ROW() + $A$9-9 + (ROW()-11)*4,2,1,1,"Internet")))&gt;1,INDIRECT(ADDRESS(ROW() + $A$9-9 + (ROW()-11)*4,2,1,1,"Internet"))," "))</f>
        <v xml:space="preserve"> </v>
      </c>
      <c r="K176" s="149" t="str">
        <f ca="1">IF(N(I176)&gt;0,VLOOKUP(I176,Hraci!$A$1:$I$1000,3,0)," ")</f>
        <v xml:space="preserve"> </v>
      </c>
      <c r="L176" s="149" t="str">
        <f ca="1">IF(N(I176)&gt;0,VLOOKUP(I176,Hraci!$A$1:$I$1000,5,0),IF(TYPE(INDIRECT(ADDRESS(ROW() + $A$9-9 + (ROW()-11)*4,3,1,1,"Internet")))&gt;1,INDIRECT(ADDRESS(ROW() + $A$9-9 + (ROW()-11)*4,3,1,1,"Internet"))," "))</f>
        <v xml:space="preserve"> </v>
      </c>
      <c r="M176" s="149">
        <f ca="1">IF(N(I176)=0,9999,VLOOKUP(I176,Hraci!$A$1:$I$1000,8,0))</f>
        <v>9999</v>
      </c>
      <c r="N176" s="150">
        <f ca="1">IF(N(I176)=0,0,VLOOKUP(I176,Hraci!$A$1:$I$1000,9,0))</f>
        <v>0</v>
      </c>
      <c r="O176" s="147" t="str">
        <f t="shared" ca="1" si="84"/>
        <v/>
      </c>
      <c r="P176" s="148" t="str">
        <f ca="1">IF(N(O176)&gt;0,VLOOKUP(O176,Hraci!$A$1:$I$1000,2,0),IF(TYPE(INDIRECT(ADDRESS(ROW() + $A$9-8 + (ROW()-11)*4,2,1,1,"Internet")))&gt;1,INDIRECT(ADDRESS(ROW() + $A$9-8 + (ROW()-11)*4,2,1,1,"Internet"))," "))</f>
        <v xml:space="preserve"> </v>
      </c>
      <c r="Q176" s="149" t="str">
        <f ca="1">IF(N(O176)&gt;0,VLOOKUP(O176,Hraci!$A$1:$I$1000,3,0)," ")</f>
        <v xml:space="preserve"> </v>
      </c>
      <c r="R176" s="149" t="str">
        <f ca="1">IF(N(O176)&gt;0,VLOOKUP(O176,Hraci!$A$1:$I$1000,5,0),IF(TYPE(INDIRECT(ADDRESS(ROW() + $A$9-8 + (ROW()-11)*4,3,1,1,"Internet")))&gt;1,INDIRECT(ADDRESS(ROW() + $A$9-8 + (ROW()-11)*4,3,1,1,"Internet"))," "))</f>
        <v xml:space="preserve"> </v>
      </c>
      <c r="S176" s="149">
        <f ca="1">IF(N(O176)=0,9999,VLOOKUP(O176,Hraci!$A$1:$I$1000,8,0))</f>
        <v>9999</v>
      </c>
      <c r="T176" s="150">
        <f ca="1">IF(N(O176)=0,0,VLOOKUP(O176,Hraci!$A$1:$I$1000,9,0))</f>
        <v>0</v>
      </c>
      <c r="U176" s="147" t="str">
        <f t="shared" ca="1" si="85"/>
        <v/>
      </c>
      <c r="V176" s="148" t="str">
        <f ca="1">IF(N(U176)&gt;0,VLOOKUP(U176,Hraci!$A$1:$I$1000,2,0),IF(TYPE(INDIRECT(ADDRESS(ROW() + $A$9-7 + (ROW()-11)*4,2,1,1,"Internet")))&gt;1,INDIRECT(ADDRESS(ROW() + $A$9-7 + (ROW()-11)*4,2,1,1,"Internet"))," "))</f>
        <v xml:space="preserve"> </v>
      </c>
      <c r="W176" s="149" t="str">
        <f ca="1">IF(N(U176)&gt;0,VLOOKUP(U176,Hraci!$A$1:$I$1000,3,0)," ")</f>
        <v xml:space="preserve"> </v>
      </c>
      <c r="X176" s="149" t="str">
        <f ca="1">IF(N(U176)&gt;0,VLOOKUP(U176,Hraci!$A$1:$I$1000,5,0),IF(TYPE(INDIRECT(ADDRESS(ROW() + $A$9-7 + (ROW()-11)*4,3,1,1,"Internet")))&gt;1,INDIRECT(ADDRESS(ROW() + $A$9-7 + (ROW()-11)*4,3,1,1,"Internet"))," "))</f>
        <v xml:space="preserve"> </v>
      </c>
      <c r="Y176" s="149">
        <f ca="1">IF(N(U176)=0,9999,VLOOKUP(U176,Hraci!$A$1:$I$1000,8,0))</f>
        <v>9999</v>
      </c>
      <c r="Z176" s="150">
        <f ca="1">IF(N(U176)=0,0,VLOOKUP(U176,Hraci!$A$1:$I$1000,9,0))</f>
        <v>0</v>
      </c>
      <c r="AA176" s="147" t="str">
        <f t="shared" ca="1" si="86"/>
        <v/>
      </c>
      <c r="AB176" s="148" t="str">
        <f ca="1">IF(N(AA176)&gt;0,VLOOKUP(AA176,Hraci!$A$1:$I$1000,2,0)," ")</f>
        <v xml:space="preserve"> </v>
      </c>
      <c r="AC176" s="149" t="str">
        <f ca="1">IF(N(AA176)&gt;0,VLOOKUP(AA176,Hraci!$A$1:$I$1000,3,0)," ")</f>
        <v xml:space="preserve"> </v>
      </c>
      <c r="AD176" s="149" t="str">
        <f ca="1">IF(N(AA176)&gt;0,VLOOKUP(AA176,Hraci!$A$1:$I$1000,5,0)," ")</f>
        <v xml:space="preserve"> </v>
      </c>
      <c r="AE176" s="149">
        <f ca="1">IF(N(AA176)=0,9999,VLOOKUP(AA176,Hraci!$A$1:$I$1000,8,0))</f>
        <v>9999</v>
      </c>
      <c r="AF176" s="150">
        <f ca="1">IF(N(AA176)=0,0,VLOOKUP(AA176,Hraci!$A$1:$I$1000,9,0))</f>
        <v>0</v>
      </c>
      <c r="AG176" s="147"/>
      <c r="AH176" s="151">
        <f ca="1">IF(TYPE(VLOOKUP(H176,Nasazení!$A$3:$E$130,5,0))&lt;4,VLOOKUP(H176,Nasazení!$A$3:$E$130,5,0),0)</f>
        <v>0</v>
      </c>
      <c r="AI176" s="152" t="str">
        <f ca="1">IF(N($AH176)&gt;0,VLOOKUP($AH176,Body!$A$4:$F$259,5,0),"")</f>
        <v/>
      </c>
      <c r="AJ176" s="153" t="str">
        <f ca="1">IF(N($AH176)&gt;0,VLOOKUP($AH176,Body!$A$4:$F$259,6,0),"")</f>
        <v/>
      </c>
      <c r="AK176" s="152" t="str">
        <f ca="1">IF(N($AH176)&gt;0,VLOOKUP($AH176,Body!$A$4:$F$259,2,0),"")</f>
        <v/>
      </c>
      <c r="AL176" s="154" t="str">
        <f t="shared" ca="1" si="87"/>
        <v/>
      </c>
      <c r="AM176" s="155">
        <f t="shared" ca="1" si="88"/>
        <v>0</v>
      </c>
      <c r="AN176" s="72">
        <f ca="1">IF(OR(TYPE(I176)&gt;1,TYPE(MATCH(I176,I177:I$203,0))&gt;1),0,MATCH(I176,I177:I$203,0))+IF(OR(TYPE(I176)&gt;1,TYPE(MATCH(I176,O$11:O$203,0))&gt;1),0,MATCH(I176,O$11:O$203,0))+IF(OR(TYPE(I176)&gt;1,TYPE(MATCH(I176,U$11:U$203,0))&gt;1),0,MATCH(I176,U$11:U$203,0))+IF(OR(TYPE(I176)&gt;1,TYPE(MATCH(I176,AA$11:AA$203,0))&gt;1),0,MATCH(I176,AA$11:AA$203,0))</f>
        <v>0</v>
      </c>
      <c r="AO176" s="72">
        <f ca="1">IF(OR(TYPE(O176)&gt;1,TYPE(MATCH(O176,I$11:I$203,0))&gt;1),0,MATCH(O176,I$11:I$203,0))+IF(OR(TYPE(O176)&gt;1,TYPE(MATCH(O176,O177:O$203,0))&gt;1),0,MATCH(O176,O177:O$203,0))+IF(OR(TYPE(O176)&gt;1,TYPE(MATCH(O176,U$11:U$203,0))&gt;1),0,MATCH(O176,U$11:U$203,0))+IF(OR(TYPE(O176)&gt;1,TYPE(MATCH(O176,AA$11:AA$203,0))&gt;1),0,MATCH(O176,AA$11:AA$203,0))</f>
        <v>0</v>
      </c>
      <c r="AP176" s="72">
        <f ca="1">IF(OR(TYPE(U176)&gt;1,TYPE(MATCH(U176,I$11:I$203,0))&gt;1),0,MATCH(U176,I$11:I$203,0))+IF(OR(TYPE(U176)&gt;1,TYPE(MATCH(U176,O$11:O$203,0))&gt;1),0,MATCH(U176,O$11:O$203,0))+IF(OR(TYPE(U176)&gt;1,TYPE(MATCH(U176,U177:U$203,0))&gt;1),0,MATCH(U176,U177:U$203,0))+IF(OR(TYPE(U176)&gt;1,TYPE(MATCH(U176,AA$11:AA$203,0))&gt;1),0,MATCH(U176,AA$11:AA$203,0))</f>
        <v>0</v>
      </c>
      <c r="AQ176" s="72">
        <f ca="1">IF(OR(TYPE(AA176)&gt;1,TYPE(MATCH(AA176,I$11:I$203,0))&gt;1),0,MATCH(AA176,I$11:I$203,0))+IF(OR(TYPE(AA176)&gt;1,TYPE(MATCH(AA176,O$11:O$203,0))&gt;1),0,MATCH(AA176,O$11:O$203,0))+IF(OR(TYPE(AA176)&gt;1,TYPE(MATCH(AA176,U$11:U$203,0))&gt;1),0,MATCH(U176,U$11:U$203,0))+IF(OR(TYPE(AA176)&gt;1,TYPE(MATCH(AA176,AA177:AA$203,0))&gt;1),0,MATCH(AA176,AA177:AA$203,0))</f>
        <v>0</v>
      </c>
      <c r="AR176" s="72">
        <f t="shared" ca="1" si="89"/>
        <v>0</v>
      </c>
    </row>
    <row r="177" spans="1:44" ht="14.25">
      <c r="A177" s="103">
        <f t="shared" ca="1" si="75"/>
        <v>0</v>
      </c>
      <c r="B177" s="103">
        <f t="shared" ca="1" si="76"/>
        <v>0</v>
      </c>
      <c r="C177" s="156">
        <f t="shared" ca="1" si="77"/>
        <v>0</v>
      </c>
      <c r="D177" s="103">
        <f t="shared" ca="1" si="78"/>
        <v>99999</v>
      </c>
      <c r="E177" s="103">
        <f t="shared" ca="1" si="79"/>
        <v>9999</v>
      </c>
      <c r="F177" s="104" t="str">
        <f t="shared" ca="1" si="80"/>
        <v>00000000000000000000730651</v>
      </c>
      <c r="G177" s="145">
        <f t="shared" ca="1" si="81"/>
        <v>1</v>
      </c>
      <c r="H177" s="146">
        <f t="shared" si="82"/>
        <v>167</v>
      </c>
      <c r="I177" s="147" t="str">
        <f t="shared" ca="1" si="83"/>
        <v/>
      </c>
      <c r="J177" s="148" t="str">
        <f ca="1">IF(N(I177)&gt;0,VLOOKUP(I177,Hraci!$A$1:$I$1000,2,0),IF(TYPE(INDIRECT(ADDRESS(ROW() + $A$9-9 + (ROW()-11)*4,2,1,1,"Internet")))&gt;1,INDIRECT(ADDRESS(ROW() + $A$9-9 + (ROW()-11)*4,2,1,1,"Internet"))," "))</f>
        <v xml:space="preserve"> </v>
      </c>
      <c r="K177" s="149" t="str">
        <f ca="1">IF(N(I177)&gt;0,VLOOKUP(I177,Hraci!$A$1:$I$1000,3,0)," ")</f>
        <v xml:space="preserve"> </v>
      </c>
      <c r="L177" s="149" t="str">
        <f ca="1">IF(N(I177)&gt;0,VLOOKUP(I177,Hraci!$A$1:$I$1000,5,0),IF(TYPE(INDIRECT(ADDRESS(ROW() + $A$9-9 + (ROW()-11)*4,3,1,1,"Internet")))&gt;1,INDIRECT(ADDRESS(ROW() + $A$9-9 + (ROW()-11)*4,3,1,1,"Internet"))," "))</f>
        <v xml:space="preserve"> </v>
      </c>
      <c r="M177" s="149">
        <f ca="1">IF(N(I177)=0,9999,VLOOKUP(I177,Hraci!$A$1:$I$1000,8,0))</f>
        <v>9999</v>
      </c>
      <c r="N177" s="150">
        <f ca="1">IF(N(I177)=0,0,VLOOKUP(I177,Hraci!$A$1:$I$1000,9,0))</f>
        <v>0</v>
      </c>
      <c r="O177" s="147" t="str">
        <f t="shared" ca="1" si="84"/>
        <v/>
      </c>
      <c r="P177" s="148" t="str">
        <f ca="1">IF(N(O177)&gt;0,VLOOKUP(O177,Hraci!$A$1:$I$1000,2,0),IF(TYPE(INDIRECT(ADDRESS(ROW() + $A$9-8 + (ROW()-11)*4,2,1,1,"Internet")))&gt;1,INDIRECT(ADDRESS(ROW() + $A$9-8 + (ROW()-11)*4,2,1,1,"Internet"))," "))</f>
        <v xml:space="preserve"> </v>
      </c>
      <c r="Q177" s="149" t="str">
        <f ca="1">IF(N(O177)&gt;0,VLOOKUP(O177,Hraci!$A$1:$I$1000,3,0)," ")</f>
        <v xml:space="preserve"> </v>
      </c>
      <c r="R177" s="149" t="str">
        <f ca="1">IF(N(O177)&gt;0,VLOOKUP(O177,Hraci!$A$1:$I$1000,5,0),IF(TYPE(INDIRECT(ADDRESS(ROW() + $A$9-8 + (ROW()-11)*4,3,1,1,"Internet")))&gt;1,INDIRECT(ADDRESS(ROW() + $A$9-8 + (ROW()-11)*4,3,1,1,"Internet"))," "))</f>
        <v xml:space="preserve"> </v>
      </c>
      <c r="S177" s="149">
        <f ca="1">IF(N(O177)=0,9999,VLOOKUP(O177,Hraci!$A$1:$I$1000,8,0))</f>
        <v>9999</v>
      </c>
      <c r="T177" s="150">
        <f ca="1">IF(N(O177)=0,0,VLOOKUP(O177,Hraci!$A$1:$I$1000,9,0))</f>
        <v>0</v>
      </c>
      <c r="U177" s="147" t="str">
        <f t="shared" ca="1" si="85"/>
        <v/>
      </c>
      <c r="V177" s="148" t="str">
        <f ca="1">IF(N(U177)&gt;0,VLOOKUP(U177,Hraci!$A$1:$I$1000,2,0),IF(TYPE(INDIRECT(ADDRESS(ROW() + $A$9-7 + (ROW()-11)*4,2,1,1,"Internet")))&gt;1,INDIRECT(ADDRESS(ROW() + $A$9-7 + (ROW()-11)*4,2,1,1,"Internet"))," "))</f>
        <v xml:space="preserve"> </v>
      </c>
      <c r="W177" s="149" t="str">
        <f ca="1">IF(N(U177)&gt;0,VLOOKUP(U177,Hraci!$A$1:$I$1000,3,0)," ")</f>
        <v xml:space="preserve"> </v>
      </c>
      <c r="X177" s="149" t="str">
        <f ca="1">IF(N(U177)&gt;0,VLOOKUP(U177,Hraci!$A$1:$I$1000,5,0),IF(TYPE(INDIRECT(ADDRESS(ROW() + $A$9-7 + (ROW()-11)*4,3,1,1,"Internet")))&gt;1,INDIRECT(ADDRESS(ROW() + $A$9-7 + (ROW()-11)*4,3,1,1,"Internet"))," "))</f>
        <v xml:space="preserve"> </v>
      </c>
      <c r="Y177" s="149">
        <f ca="1">IF(N(U177)=0,9999,VLOOKUP(U177,Hraci!$A$1:$I$1000,8,0))</f>
        <v>9999</v>
      </c>
      <c r="Z177" s="150">
        <f ca="1">IF(N(U177)=0,0,VLOOKUP(U177,Hraci!$A$1:$I$1000,9,0))</f>
        <v>0</v>
      </c>
      <c r="AA177" s="147" t="str">
        <f t="shared" ca="1" si="86"/>
        <v/>
      </c>
      <c r="AB177" s="148" t="str">
        <f ca="1">IF(N(AA177)&gt;0,VLOOKUP(AA177,Hraci!$A$1:$I$1000,2,0)," ")</f>
        <v xml:space="preserve"> </v>
      </c>
      <c r="AC177" s="149" t="str">
        <f ca="1">IF(N(AA177)&gt;0,VLOOKUP(AA177,Hraci!$A$1:$I$1000,3,0)," ")</f>
        <v xml:space="preserve"> </v>
      </c>
      <c r="AD177" s="149" t="str">
        <f ca="1">IF(N(AA177)&gt;0,VLOOKUP(AA177,Hraci!$A$1:$I$1000,5,0)," ")</f>
        <v xml:space="preserve"> </v>
      </c>
      <c r="AE177" s="149">
        <f ca="1">IF(N(AA177)=0,9999,VLOOKUP(AA177,Hraci!$A$1:$I$1000,8,0))</f>
        <v>9999</v>
      </c>
      <c r="AF177" s="150">
        <f ca="1">IF(N(AA177)=0,0,VLOOKUP(AA177,Hraci!$A$1:$I$1000,9,0))</f>
        <v>0</v>
      </c>
      <c r="AG177" s="147"/>
      <c r="AH177" s="151">
        <f ca="1">IF(TYPE(VLOOKUP(H177,Nasazení!$A$3:$E$130,5,0))&lt;4,VLOOKUP(H177,Nasazení!$A$3:$E$130,5,0),0)</f>
        <v>0</v>
      </c>
      <c r="AI177" s="152" t="str">
        <f ca="1">IF(N($AH177)&gt;0,VLOOKUP($AH177,Body!$A$4:$F$259,5,0),"")</f>
        <v/>
      </c>
      <c r="AJ177" s="153" t="str">
        <f ca="1">IF(N($AH177)&gt;0,VLOOKUP($AH177,Body!$A$4:$F$259,6,0),"")</f>
        <v/>
      </c>
      <c r="AK177" s="152" t="str">
        <f ca="1">IF(N($AH177)&gt;0,VLOOKUP($AH177,Body!$A$4:$F$259,2,0),"")</f>
        <v/>
      </c>
      <c r="AL177" s="154" t="str">
        <f t="shared" ca="1" si="87"/>
        <v/>
      </c>
      <c r="AM177" s="155">
        <f t="shared" ca="1" si="88"/>
        <v>0</v>
      </c>
      <c r="AN177" s="72">
        <f ca="1">IF(OR(TYPE(I177)&gt;1,TYPE(MATCH(I177,I178:I$203,0))&gt;1),0,MATCH(I177,I178:I$203,0))+IF(OR(TYPE(I177)&gt;1,TYPE(MATCH(I177,O$11:O$203,0))&gt;1),0,MATCH(I177,O$11:O$203,0))+IF(OR(TYPE(I177)&gt;1,TYPE(MATCH(I177,U$11:U$203,0))&gt;1),0,MATCH(I177,U$11:U$203,0))+IF(OR(TYPE(I177)&gt;1,TYPE(MATCH(I177,AA$11:AA$203,0))&gt;1),0,MATCH(I177,AA$11:AA$203,0))</f>
        <v>0</v>
      </c>
      <c r="AO177" s="72">
        <f ca="1">IF(OR(TYPE(O177)&gt;1,TYPE(MATCH(O177,I$11:I$203,0))&gt;1),0,MATCH(O177,I$11:I$203,0))+IF(OR(TYPE(O177)&gt;1,TYPE(MATCH(O177,O178:O$203,0))&gt;1),0,MATCH(O177,O178:O$203,0))+IF(OR(TYPE(O177)&gt;1,TYPE(MATCH(O177,U$11:U$203,0))&gt;1),0,MATCH(O177,U$11:U$203,0))+IF(OR(TYPE(O177)&gt;1,TYPE(MATCH(O177,AA$11:AA$203,0))&gt;1),0,MATCH(O177,AA$11:AA$203,0))</f>
        <v>0</v>
      </c>
      <c r="AP177" s="72">
        <f ca="1">IF(OR(TYPE(U177)&gt;1,TYPE(MATCH(U177,I$11:I$203,0))&gt;1),0,MATCH(U177,I$11:I$203,0))+IF(OR(TYPE(U177)&gt;1,TYPE(MATCH(U177,O$11:O$203,0))&gt;1),0,MATCH(U177,O$11:O$203,0))+IF(OR(TYPE(U177)&gt;1,TYPE(MATCH(U177,U178:U$203,0))&gt;1),0,MATCH(U177,U178:U$203,0))+IF(OR(TYPE(U177)&gt;1,TYPE(MATCH(U177,AA$11:AA$203,0))&gt;1),0,MATCH(U177,AA$11:AA$203,0))</f>
        <v>0</v>
      </c>
      <c r="AQ177" s="72">
        <f ca="1">IF(OR(TYPE(AA177)&gt;1,TYPE(MATCH(AA177,I$11:I$203,0))&gt;1),0,MATCH(AA177,I$11:I$203,0))+IF(OR(TYPE(AA177)&gt;1,TYPE(MATCH(AA177,O$11:O$203,0))&gt;1),0,MATCH(AA177,O$11:O$203,0))+IF(OR(TYPE(AA177)&gt;1,TYPE(MATCH(AA177,U$11:U$203,0))&gt;1),0,MATCH(U177,U$11:U$203,0))+IF(OR(TYPE(AA177)&gt;1,TYPE(MATCH(AA177,AA178:AA$203,0))&gt;1),0,MATCH(AA177,AA178:AA$203,0))</f>
        <v>0</v>
      </c>
      <c r="AR177" s="72">
        <f t="shared" ca="1" si="89"/>
        <v>0</v>
      </c>
    </row>
    <row r="178" spans="1:44" ht="14.25">
      <c r="A178" s="103">
        <f t="shared" ca="1" si="75"/>
        <v>0</v>
      </c>
      <c r="B178" s="103">
        <f t="shared" ca="1" si="76"/>
        <v>0</v>
      </c>
      <c r="C178" s="156">
        <f t="shared" ca="1" si="77"/>
        <v>0</v>
      </c>
      <c r="D178" s="103">
        <f t="shared" ca="1" si="78"/>
        <v>99999</v>
      </c>
      <c r="E178" s="103">
        <f t="shared" ca="1" si="79"/>
        <v>9999</v>
      </c>
      <c r="F178" s="104" t="str">
        <f t="shared" ca="1" si="80"/>
        <v>00000000000000000000375077</v>
      </c>
      <c r="G178" s="145">
        <f t="shared" ca="1" si="81"/>
        <v>1</v>
      </c>
      <c r="H178" s="146">
        <f t="shared" si="82"/>
        <v>168</v>
      </c>
      <c r="I178" s="147" t="str">
        <f t="shared" ca="1" si="83"/>
        <v/>
      </c>
      <c r="J178" s="148" t="str">
        <f ca="1">IF(N(I178)&gt;0,VLOOKUP(I178,Hraci!$A$1:$I$1000,2,0),IF(TYPE(INDIRECT(ADDRESS(ROW() + $A$9-9 + (ROW()-11)*4,2,1,1,"Internet")))&gt;1,INDIRECT(ADDRESS(ROW() + $A$9-9 + (ROW()-11)*4,2,1,1,"Internet"))," "))</f>
        <v xml:space="preserve"> </v>
      </c>
      <c r="K178" s="149" t="str">
        <f ca="1">IF(N(I178)&gt;0,VLOOKUP(I178,Hraci!$A$1:$I$1000,3,0)," ")</f>
        <v xml:space="preserve"> </v>
      </c>
      <c r="L178" s="149" t="str">
        <f ca="1">IF(N(I178)&gt;0,VLOOKUP(I178,Hraci!$A$1:$I$1000,5,0),IF(TYPE(INDIRECT(ADDRESS(ROW() + $A$9-9 + (ROW()-11)*4,3,1,1,"Internet")))&gt;1,INDIRECT(ADDRESS(ROW() + $A$9-9 + (ROW()-11)*4,3,1,1,"Internet"))," "))</f>
        <v xml:space="preserve"> </v>
      </c>
      <c r="M178" s="149">
        <f ca="1">IF(N(I178)=0,9999,VLOOKUP(I178,Hraci!$A$1:$I$1000,8,0))</f>
        <v>9999</v>
      </c>
      <c r="N178" s="150">
        <f ca="1">IF(N(I178)=0,0,VLOOKUP(I178,Hraci!$A$1:$I$1000,9,0))</f>
        <v>0</v>
      </c>
      <c r="O178" s="147" t="str">
        <f t="shared" ca="1" si="84"/>
        <v/>
      </c>
      <c r="P178" s="148" t="str">
        <f ca="1">IF(N(O178)&gt;0,VLOOKUP(O178,Hraci!$A$1:$I$1000,2,0),IF(TYPE(INDIRECT(ADDRESS(ROW() + $A$9-8 + (ROW()-11)*4,2,1,1,"Internet")))&gt;1,INDIRECT(ADDRESS(ROW() + $A$9-8 + (ROW()-11)*4,2,1,1,"Internet"))," "))</f>
        <v xml:space="preserve"> </v>
      </c>
      <c r="Q178" s="149" t="str">
        <f ca="1">IF(N(O178)&gt;0,VLOOKUP(O178,Hraci!$A$1:$I$1000,3,0)," ")</f>
        <v xml:space="preserve"> </v>
      </c>
      <c r="R178" s="149" t="str">
        <f ca="1">IF(N(O178)&gt;0,VLOOKUP(O178,Hraci!$A$1:$I$1000,5,0),IF(TYPE(INDIRECT(ADDRESS(ROW() + $A$9-8 + (ROW()-11)*4,3,1,1,"Internet")))&gt;1,INDIRECT(ADDRESS(ROW() + $A$9-8 + (ROW()-11)*4,3,1,1,"Internet"))," "))</f>
        <v xml:space="preserve"> </v>
      </c>
      <c r="S178" s="149">
        <f ca="1">IF(N(O178)=0,9999,VLOOKUP(O178,Hraci!$A$1:$I$1000,8,0))</f>
        <v>9999</v>
      </c>
      <c r="T178" s="150">
        <f ca="1">IF(N(O178)=0,0,VLOOKUP(O178,Hraci!$A$1:$I$1000,9,0))</f>
        <v>0</v>
      </c>
      <c r="U178" s="147" t="str">
        <f t="shared" ca="1" si="85"/>
        <v/>
      </c>
      <c r="V178" s="148" t="str">
        <f ca="1">IF(N(U178)&gt;0,VLOOKUP(U178,Hraci!$A$1:$I$1000,2,0),IF(TYPE(INDIRECT(ADDRESS(ROW() + $A$9-7 + (ROW()-11)*4,2,1,1,"Internet")))&gt;1,INDIRECT(ADDRESS(ROW() + $A$9-7 + (ROW()-11)*4,2,1,1,"Internet"))," "))</f>
        <v xml:space="preserve"> </v>
      </c>
      <c r="W178" s="149" t="str">
        <f ca="1">IF(N(U178)&gt;0,VLOOKUP(U178,Hraci!$A$1:$I$1000,3,0)," ")</f>
        <v xml:space="preserve"> </v>
      </c>
      <c r="X178" s="149" t="str">
        <f ca="1">IF(N(U178)&gt;0,VLOOKUP(U178,Hraci!$A$1:$I$1000,5,0),IF(TYPE(INDIRECT(ADDRESS(ROW() + $A$9-7 + (ROW()-11)*4,3,1,1,"Internet")))&gt;1,INDIRECT(ADDRESS(ROW() + $A$9-7 + (ROW()-11)*4,3,1,1,"Internet"))," "))</f>
        <v xml:space="preserve"> </v>
      </c>
      <c r="Y178" s="149">
        <f ca="1">IF(N(U178)=0,9999,VLOOKUP(U178,Hraci!$A$1:$I$1000,8,0))</f>
        <v>9999</v>
      </c>
      <c r="Z178" s="150">
        <f ca="1">IF(N(U178)=0,0,VLOOKUP(U178,Hraci!$A$1:$I$1000,9,0))</f>
        <v>0</v>
      </c>
      <c r="AA178" s="147" t="str">
        <f t="shared" ca="1" si="86"/>
        <v/>
      </c>
      <c r="AB178" s="148" t="str">
        <f ca="1">IF(N(AA178)&gt;0,VLOOKUP(AA178,Hraci!$A$1:$I$1000,2,0)," ")</f>
        <v xml:space="preserve"> </v>
      </c>
      <c r="AC178" s="149" t="str">
        <f ca="1">IF(N(AA178)&gt;0,VLOOKUP(AA178,Hraci!$A$1:$I$1000,3,0)," ")</f>
        <v xml:space="preserve"> </v>
      </c>
      <c r="AD178" s="149" t="str">
        <f ca="1">IF(N(AA178)&gt;0,VLOOKUP(AA178,Hraci!$A$1:$I$1000,5,0)," ")</f>
        <v xml:space="preserve"> </v>
      </c>
      <c r="AE178" s="149">
        <f ca="1">IF(N(AA178)=0,9999,VLOOKUP(AA178,Hraci!$A$1:$I$1000,8,0))</f>
        <v>9999</v>
      </c>
      <c r="AF178" s="150">
        <f ca="1">IF(N(AA178)=0,0,VLOOKUP(AA178,Hraci!$A$1:$I$1000,9,0))</f>
        <v>0</v>
      </c>
      <c r="AG178" s="147"/>
      <c r="AH178" s="151">
        <f ca="1">IF(TYPE(VLOOKUP(H178,Nasazení!$A$3:$E$130,5,0))&lt;4,VLOOKUP(H178,Nasazení!$A$3:$E$130,5,0),0)</f>
        <v>0</v>
      </c>
      <c r="AI178" s="152" t="str">
        <f ca="1">IF(N($AH178)&gt;0,VLOOKUP($AH178,Body!$A$4:$F$259,5,0),"")</f>
        <v/>
      </c>
      <c r="AJ178" s="153" t="str">
        <f ca="1">IF(N($AH178)&gt;0,VLOOKUP($AH178,Body!$A$4:$F$259,6,0),"")</f>
        <v/>
      </c>
      <c r="AK178" s="152" t="str">
        <f ca="1">IF(N($AH178)&gt;0,VLOOKUP($AH178,Body!$A$4:$F$259,2,0),"")</f>
        <v/>
      </c>
      <c r="AL178" s="154" t="str">
        <f t="shared" ca="1" si="87"/>
        <v/>
      </c>
      <c r="AM178" s="155">
        <f t="shared" ca="1" si="88"/>
        <v>0</v>
      </c>
      <c r="AN178" s="72">
        <f ca="1">IF(OR(TYPE(I178)&gt;1,TYPE(MATCH(I178,I179:I$203,0))&gt;1),0,MATCH(I178,I179:I$203,0))+IF(OR(TYPE(I178)&gt;1,TYPE(MATCH(I178,O$11:O$203,0))&gt;1),0,MATCH(I178,O$11:O$203,0))+IF(OR(TYPE(I178)&gt;1,TYPE(MATCH(I178,U$11:U$203,0))&gt;1),0,MATCH(I178,U$11:U$203,0))+IF(OR(TYPE(I178)&gt;1,TYPE(MATCH(I178,AA$11:AA$203,0))&gt;1),0,MATCH(I178,AA$11:AA$203,0))</f>
        <v>0</v>
      </c>
      <c r="AO178" s="72">
        <f ca="1">IF(OR(TYPE(O178)&gt;1,TYPE(MATCH(O178,I$11:I$203,0))&gt;1),0,MATCH(O178,I$11:I$203,0))+IF(OR(TYPE(O178)&gt;1,TYPE(MATCH(O178,O179:O$203,0))&gt;1),0,MATCH(O178,O179:O$203,0))+IF(OR(TYPE(O178)&gt;1,TYPE(MATCH(O178,U$11:U$203,0))&gt;1),0,MATCH(O178,U$11:U$203,0))+IF(OR(TYPE(O178)&gt;1,TYPE(MATCH(O178,AA$11:AA$203,0))&gt;1),0,MATCH(O178,AA$11:AA$203,0))</f>
        <v>0</v>
      </c>
      <c r="AP178" s="72">
        <f ca="1">IF(OR(TYPE(U178)&gt;1,TYPE(MATCH(U178,I$11:I$203,0))&gt;1),0,MATCH(U178,I$11:I$203,0))+IF(OR(TYPE(U178)&gt;1,TYPE(MATCH(U178,O$11:O$203,0))&gt;1),0,MATCH(U178,O$11:O$203,0))+IF(OR(TYPE(U178)&gt;1,TYPE(MATCH(U178,U179:U$203,0))&gt;1),0,MATCH(U178,U179:U$203,0))+IF(OR(TYPE(U178)&gt;1,TYPE(MATCH(U178,AA$11:AA$203,0))&gt;1),0,MATCH(U178,AA$11:AA$203,0))</f>
        <v>0</v>
      </c>
      <c r="AQ178" s="72">
        <f ca="1">IF(OR(TYPE(AA178)&gt;1,TYPE(MATCH(AA178,I$11:I$203,0))&gt;1),0,MATCH(AA178,I$11:I$203,0))+IF(OR(TYPE(AA178)&gt;1,TYPE(MATCH(AA178,O$11:O$203,0))&gt;1),0,MATCH(AA178,O$11:O$203,0))+IF(OR(TYPE(AA178)&gt;1,TYPE(MATCH(AA178,U$11:U$203,0))&gt;1),0,MATCH(U178,U$11:U$203,0))+IF(OR(TYPE(AA178)&gt;1,TYPE(MATCH(AA178,AA179:AA$203,0))&gt;1),0,MATCH(AA178,AA179:AA$203,0))</f>
        <v>0</v>
      </c>
      <c r="AR178" s="72">
        <f t="shared" ca="1" si="89"/>
        <v>0</v>
      </c>
    </row>
    <row r="179" spans="1:44" ht="14.25">
      <c r="A179" s="103">
        <f t="shared" ca="1" si="75"/>
        <v>0</v>
      </c>
      <c r="B179" s="103">
        <f t="shared" ca="1" si="76"/>
        <v>0</v>
      </c>
      <c r="C179" s="156">
        <f t="shared" ca="1" si="77"/>
        <v>0</v>
      </c>
      <c r="D179" s="103">
        <f t="shared" ca="1" si="78"/>
        <v>99999</v>
      </c>
      <c r="E179" s="103">
        <f t="shared" ca="1" si="79"/>
        <v>9999</v>
      </c>
      <c r="F179" s="104" t="str">
        <f t="shared" ca="1" si="80"/>
        <v>00000000000000000000862964</v>
      </c>
      <c r="G179" s="145">
        <f t="shared" ca="1" si="81"/>
        <v>1</v>
      </c>
      <c r="H179" s="146">
        <f t="shared" si="82"/>
        <v>169</v>
      </c>
      <c r="I179" s="147" t="str">
        <f t="shared" ca="1" si="83"/>
        <v/>
      </c>
      <c r="J179" s="148" t="str">
        <f ca="1">IF(N(I179)&gt;0,VLOOKUP(I179,Hraci!$A$1:$I$1000,2,0),IF(TYPE(INDIRECT(ADDRESS(ROW() + $A$9-9 + (ROW()-11)*4,2,1,1,"Internet")))&gt;1,INDIRECT(ADDRESS(ROW() + $A$9-9 + (ROW()-11)*4,2,1,1,"Internet"))," "))</f>
        <v xml:space="preserve"> </v>
      </c>
      <c r="K179" s="149" t="str">
        <f ca="1">IF(N(I179)&gt;0,VLOOKUP(I179,Hraci!$A$1:$I$1000,3,0)," ")</f>
        <v xml:space="preserve"> </v>
      </c>
      <c r="L179" s="149" t="str">
        <f ca="1">IF(N(I179)&gt;0,VLOOKUP(I179,Hraci!$A$1:$I$1000,5,0),IF(TYPE(INDIRECT(ADDRESS(ROW() + $A$9-9 + (ROW()-11)*4,3,1,1,"Internet")))&gt;1,INDIRECT(ADDRESS(ROW() + $A$9-9 + (ROW()-11)*4,3,1,1,"Internet"))," "))</f>
        <v xml:space="preserve"> </v>
      </c>
      <c r="M179" s="149">
        <f ca="1">IF(N(I179)=0,9999,VLOOKUP(I179,Hraci!$A$1:$I$1000,8,0))</f>
        <v>9999</v>
      </c>
      <c r="N179" s="150">
        <f ca="1">IF(N(I179)=0,0,VLOOKUP(I179,Hraci!$A$1:$I$1000,9,0))</f>
        <v>0</v>
      </c>
      <c r="O179" s="147" t="str">
        <f t="shared" ca="1" si="84"/>
        <v/>
      </c>
      <c r="P179" s="148" t="str">
        <f ca="1">IF(N(O179)&gt;0,VLOOKUP(O179,Hraci!$A$1:$I$1000,2,0),IF(TYPE(INDIRECT(ADDRESS(ROW() + $A$9-8 + (ROW()-11)*4,2,1,1,"Internet")))&gt;1,INDIRECT(ADDRESS(ROW() + $A$9-8 + (ROW()-11)*4,2,1,1,"Internet"))," "))</f>
        <v xml:space="preserve"> </v>
      </c>
      <c r="Q179" s="149" t="str">
        <f ca="1">IF(N(O179)&gt;0,VLOOKUP(O179,Hraci!$A$1:$I$1000,3,0)," ")</f>
        <v xml:space="preserve"> </v>
      </c>
      <c r="R179" s="149" t="str">
        <f ca="1">IF(N(O179)&gt;0,VLOOKUP(O179,Hraci!$A$1:$I$1000,5,0),IF(TYPE(INDIRECT(ADDRESS(ROW() + $A$9-8 + (ROW()-11)*4,3,1,1,"Internet")))&gt;1,INDIRECT(ADDRESS(ROW() + $A$9-8 + (ROW()-11)*4,3,1,1,"Internet"))," "))</f>
        <v xml:space="preserve"> </v>
      </c>
      <c r="S179" s="149">
        <f ca="1">IF(N(O179)=0,9999,VLOOKUP(O179,Hraci!$A$1:$I$1000,8,0))</f>
        <v>9999</v>
      </c>
      <c r="T179" s="150">
        <f ca="1">IF(N(O179)=0,0,VLOOKUP(O179,Hraci!$A$1:$I$1000,9,0))</f>
        <v>0</v>
      </c>
      <c r="U179" s="147" t="str">
        <f t="shared" ca="1" si="85"/>
        <v/>
      </c>
      <c r="V179" s="148" t="str">
        <f ca="1">IF(N(U179)&gt;0,VLOOKUP(U179,Hraci!$A$1:$I$1000,2,0),IF(TYPE(INDIRECT(ADDRESS(ROW() + $A$9-7 + (ROW()-11)*4,2,1,1,"Internet")))&gt;1,INDIRECT(ADDRESS(ROW() + $A$9-7 + (ROW()-11)*4,2,1,1,"Internet"))," "))</f>
        <v xml:space="preserve"> </v>
      </c>
      <c r="W179" s="149" t="str">
        <f ca="1">IF(N(U179)&gt;0,VLOOKUP(U179,Hraci!$A$1:$I$1000,3,0)," ")</f>
        <v xml:space="preserve"> </v>
      </c>
      <c r="X179" s="149" t="str">
        <f ca="1">IF(N(U179)&gt;0,VLOOKUP(U179,Hraci!$A$1:$I$1000,5,0),IF(TYPE(INDIRECT(ADDRESS(ROW() + $A$9-7 + (ROW()-11)*4,3,1,1,"Internet")))&gt;1,INDIRECT(ADDRESS(ROW() + $A$9-7 + (ROW()-11)*4,3,1,1,"Internet"))," "))</f>
        <v xml:space="preserve"> </v>
      </c>
      <c r="Y179" s="149">
        <f ca="1">IF(N(U179)=0,9999,VLOOKUP(U179,Hraci!$A$1:$I$1000,8,0))</f>
        <v>9999</v>
      </c>
      <c r="Z179" s="150">
        <f ca="1">IF(N(U179)=0,0,VLOOKUP(U179,Hraci!$A$1:$I$1000,9,0))</f>
        <v>0</v>
      </c>
      <c r="AA179" s="147" t="str">
        <f t="shared" ca="1" si="86"/>
        <v/>
      </c>
      <c r="AB179" s="148" t="str">
        <f ca="1">IF(N(AA179)&gt;0,VLOOKUP(AA179,Hraci!$A$1:$I$1000,2,0)," ")</f>
        <v xml:space="preserve"> </v>
      </c>
      <c r="AC179" s="149" t="str">
        <f ca="1">IF(N(AA179)&gt;0,VLOOKUP(AA179,Hraci!$A$1:$I$1000,3,0)," ")</f>
        <v xml:space="preserve"> </v>
      </c>
      <c r="AD179" s="149" t="str">
        <f ca="1">IF(N(AA179)&gt;0,VLOOKUP(AA179,Hraci!$A$1:$I$1000,5,0)," ")</f>
        <v xml:space="preserve"> </v>
      </c>
      <c r="AE179" s="149">
        <f ca="1">IF(N(AA179)=0,9999,VLOOKUP(AA179,Hraci!$A$1:$I$1000,8,0))</f>
        <v>9999</v>
      </c>
      <c r="AF179" s="150">
        <f ca="1">IF(N(AA179)=0,0,VLOOKUP(AA179,Hraci!$A$1:$I$1000,9,0))</f>
        <v>0</v>
      </c>
      <c r="AG179" s="147"/>
      <c r="AH179" s="151">
        <f ca="1">IF(TYPE(VLOOKUP(H179,Nasazení!$A$3:$E$130,5,0))&lt;4,VLOOKUP(H179,Nasazení!$A$3:$E$130,5,0),0)</f>
        <v>0</v>
      </c>
      <c r="AI179" s="152" t="str">
        <f ca="1">IF(N($AH179)&gt;0,VLOOKUP($AH179,Body!$A$4:$F$259,5,0),"")</f>
        <v/>
      </c>
      <c r="AJ179" s="153" t="str">
        <f ca="1">IF(N($AH179)&gt;0,VLOOKUP($AH179,Body!$A$4:$F$259,6,0),"")</f>
        <v/>
      </c>
      <c r="AK179" s="152" t="str">
        <f ca="1">IF(N($AH179)&gt;0,VLOOKUP($AH179,Body!$A$4:$F$259,2,0),"")</f>
        <v/>
      </c>
      <c r="AL179" s="154" t="str">
        <f t="shared" ca="1" si="87"/>
        <v/>
      </c>
      <c r="AM179" s="155">
        <f t="shared" ca="1" si="88"/>
        <v>0</v>
      </c>
      <c r="AN179" s="72">
        <f ca="1">IF(OR(TYPE(I179)&gt;1,TYPE(MATCH(I179,I180:I$203,0))&gt;1),0,MATCH(I179,I180:I$203,0))+IF(OR(TYPE(I179)&gt;1,TYPE(MATCH(I179,O$11:O$203,0))&gt;1),0,MATCH(I179,O$11:O$203,0))+IF(OR(TYPE(I179)&gt;1,TYPE(MATCH(I179,U$11:U$203,0))&gt;1),0,MATCH(I179,U$11:U$203,0))+IF(OR(TYPE(I179)&gt;1,TYPE(MATCH(I179,AA$11:AA$203,0))&gt;1),0,MATCH(I179,AA$11:AA$203,0))</f>
        <v>0</v>
      </c>
      <c r="AO179" s="72">
        <f ca="1">IF(OR(TYPE(O179)&gt;1,TYPE(MATCH(O179,I$11:I$203,0))&gt;1),0,MATCH(O179,I$11:I$203,0))+IF(OR(TYPE(O179)&gt;1,TYPE(MATCH(O179,O180:O$203,0))&gt;1),0,MATCH(O179,O180:O$203,0))+IF(OR(TYPE(O179)&gt;1,TYPE(MATCH(O179,U$11:U$203,0))&gt;1),0,MATCH(O179,U$11:U$203,0))+IF(OR(TYPE(O179)&gt;1,TYPE(MATCH(O179,AA$11:AA$203,0))&gt;1),0,MATCH(O179,AA$11:AA$203,0))</f>
        <v>0</v>
      </c>
      <c r="AP179" s="72">
        <f ca="1">IF(OR(TYPE(U179)&gt;1,TYPE(MATCH(U179,I$11:I$203,0))&gt;1),0,MATCH(U179,I$11:I$203,0))+IF(OR(TYPE(U179)&gt;1,TYPE(MATCH(U179,O$11:O$203,0))&gt;1),0,MATCH(U179,O$11:O$203,0))+IF(OR(TYPE(U179)&gt;1,TYPE(MATCH(U179,U180:U$203,0))&gt;1),0,MATCH(U179,U180:U$203,0))+IF(OR(TYPE(U179)&gt;1,TYPE(MATCH(U179,AA$11:AA$203,0))&gt;1),0,MATCH(U179,AA$11:AA$203,0))</f>
        <v>0</v>
      </c>
      <c r="AQ179" s="72">
        <f ca="1">IF(OR(TYPE(AA179)&gt;1,TYPE(MATCH(AA179,I$11:I$203,0))&gt;1),0,MATCH(AA179,I$11:I$203,0))+IF(OR(TYPE(AA179)&gt;1,TYPE(MATCH(AA179,O$11:O$203,0))&gt;1),0,MATCH(AA179,O$11:O$203,0))+IF(OR(TYPE(AA179)&gt;1,TYPE(MATCH(AA179,U$11:U$203,0))&gt;1),0,MATCH(U179,U$11:U$203,0))+IF(OR(TYPE(AA179)&gt;1,TYPE(MATCH(AA179,AA180:AA$203,0))&gt;1),0,MATCH(AA179,AA180:AA$203,0))</f>
        <v>0</v>
      </c>
      <c r="AR179" s="72">
        <f t="shared" ca="1" si="89"/>
        <v>0</v>
      </c>
    </row>
    <row r="180" spans="1:44" ht="14.25">
      <c r="A180" s="103">
        <f t="shared" ca="1" si="75"/>
        <v>0</v>
      </c>
      <c r="B180" s="103">
        <f t="shared" ca="1" si="76"/>
        <v>0</v>
      </c>
      <c r="C180" s="156">
        <f t="shared" ca="1" si="77"/>
        <v>0</v>
      </c>
      <c r="D180" s="103">
        <f t="shared" ca="1" si="78"/>
        <v>99999</v>
      </c>
      <c r="E180" s="103">
        <f t="shared" ca="1" si="79"/>
        <v>9999</v>
      </c>
      <c r="F180" s="104" t="str">
        <f t="shared" ca="1" si="80"/>
        <v>00000000000000000000502892</v>
      </c>
      <c r="G180" s="145">
        <f t="shared" ca="1" si="81"/>
        <v>1</v>
      </c>
      <c r="H180" s="146">
        <f t="shared" si="82"/>
        <v>170</v>
      </c>
      <c r="I180" s="147" t="str">
        <f t="shared" ca="1" si="83"/>
        <v/>
      </c>
      <c r="J180" s="148" t="str">
        <f ca="1">IF(N(I180)&gt;0,VLOOKUP(I180,Hraci!$A$1:$I$1000,2,0),IF(TYPE(INDIRECT(ADDRESS(ROW() + $A$9-9 + (ROW()-11)*4,2,1,1,"Internet")))&gt;1,INDIRECT(ADDRESS(ROW() + $A$9-9 + (ROW()-11)*4,2,1,1,"Internet"))," "))</f>
        <v xml:space="preserve"> </v>
      </c>
      <c r="K180" s="149" t="str">
        <f ca="1">IF(N(I180)&gt;0,VLOOKUP(I180,Hraci!$A$1:$I$1000,3,0)," ")</f>
        <v xml:space="preserve"> </v>
      </c>
      <c r="L180" s="149" t="str">
        <f ca="1">IF(N(I180)&gt;0,VLOOKUP(I180,Hraci!$A$1:$I$1000,5,0),IF(TYPE(INDIRECT(ADDRESS(ROW() + $A$9-9 + (ROW()-11)*4,3,1,1,"Internet")))&gt;1,INDIRECT(ADDRESS(ROW() + $A$9-9 + (ROW()-11)*4,3,1,1,"Internet"))," "))</f>
        <v xml:space="preserve"> </v>
      </c>
      <c r="M180" s="149">
        <f ca="1">IF(N(I180)=0,9999,VLOOKUP(I180,Hraci!$A$1:$I$1000,8,0))</f>
        <v>9999</v>
      </c>
      <c r="N180" s="150">
        <f ca="1">IF(N(I180)=0,0,VLOOKUP(I180,Hraci!$A$1:$I$1000,9,0))</f>
        <v>0</v>
      </c>
      <c r="O180" s="147" t="str">
        <f t="shared" ca="1" si="84"/>
        <v/>
      </c>
      <c r="P180" s="148" t="str">
        <f ca="1">IF(N(O180)&gt;0,VLOOKUP(O180,Hraci!$A$1:$I$1000,2,0),IF(TYPE(INDIRECT(ADDRESS(ROW() + $A$9-8 + (ROW()-11)*4,2,1,1,"Internet")))&gt;1,INDIRECT(ADDRESS(ROW() + $A$9-8 + (ROW()-11)*4,2,1,1,"Internet"))," "))</f>
        <v xml:space="preserve"> </v>
      </c>
      <c r="Q180" s="149" t="str">
        <f ca="1">IF(N(O180)&gt;0,VLOOKUP(O180,Hraci!$A$1:$I$1000,3,0)," ")</f>
        <v xml:space="preserve"> </v>
      </c>
      <c r="R180" s="149" t="str">
        <f ca="1">IF(N(O180)&gt;0,VLOOKUP(O180,Hraci!$A$1:$I$1000,5,0),IF(TYPE(INDIRECT(ADDRESS(ROW() + $A$9-8 + (ROW()-11)*4,3,1,1,"Internet")))&gt;1,INDIRECT(ADDRESS(ROW() + $A$9-8 + (ROW()-11)*4,3,1,1,"Internet"))," "))</f>
        <v xml:space="preserve"> </v>
      </c>
      <c r="S180" s="149">
        <f ca="1">IF(N(O180)=0,9999,VLOOKUP(O180,Hraci!$A$1:$I$1000,8,0))</f>
        <v>9999</v>
      </c>
      <c r="T180" s="150">
        <f ca="1">IF(N(O180)=0,0,VLOOKUP(O180,Hraci!$A$1:$I$1000,9,0))</f>
        <v>0</v>
      </c>
      <c r="U180" s="147" t="str">
        <f t="shared" ca="1" si="85"/>
        <v/>
      </c>
      <c r="V180" s="148" t="str">
        <f ca="1">IF(N(U180)&gt;0,VLOOKUP(U180,Hraci!$A$1:$I$1000,2,0),IF(TYPE(INDIRECT(ADDRESS(ROW() + $A$9-7 + (ROW()-11)*4,2,1,1,"Internet")))&gt;1,INDIRECT(ADDRESS(ROW() + $A$9-7 + (ROW()-11)*4,2,1,1,"Internet"))," "))</f>
        <v xml:space="preserve"> </v>
      </c>
      <c r="W180" s="149" t="str">
        <f ca="1">IF(N(U180)&gt;0,VLOOKUP(U180,Hraci!$A$1:$I$1000,3,0)," ")</f>
        <v xml:space="preserve"> </v>
      </c>
      <c r="X180" s="149" t="str">
        <f ca="1">IF(N(U180)&gt;0,VLOOKUP(U180,Hraci!$A$1:$I$1000,5,0),IF(TYPE(INDIRECT(ADDRESS(ROW() + $A$9-7 + (ROW()-11)*4,3,1,1,"Internet")))&gt;1,INDIRECT(ADDRESS(ROW() + $A$9-7 + (ROW()-11)*4,3,1,1,"Internet"))," "))</f>
        <v xml:space="preserve"> </v>
      </c>
      <c r="Y180" s="149">
        <f ca="1">IF(N(U180)=0,9999,VLOOKUP(U180,Hraci!$A$1:$I$1000,8,0))</f>
        <v>9999</v>
      </c>
      <c r="Z180" s="150">
        <f ca="1">IF(N(U180)=0,0,VLOOKUP(U180,Hraci!$A$1:$I$1000,9,0))</f>
        <v>0</v>
      </c>
      <c r="AA180" s="147" t="str">
        <f t="shared" ca="1" si="86"/>
        <v/>
      </c>
      <c r="AB180" s="148" t="str">
        <f ca="1">IF(N(AA180)&gt;0,VLOOKUP(AA180,Hraci!$A$1:$I$1000,2,0)," ")</f>
        <v xml:space="preserve"> </v>
      </c>
      <c r="AC180" s="149" t="str">
        <f ca="1">IF(N(AA180)&gt;0,VLOOKUP(AA180,Hraci!$A$1:$I$1000,3,0)," ")</f>
        <v xml:space="preserve"> </v>
      </c>
      <c r="AD180" s="149" t="str">
        <f ca="1">IF(N(AA180)&gt;0,VLOOKUP(AA180,Hraci!$A$1:$I$1000,5,0)," ")</f>
        <v xml:space="preserve"> </v>
      </c>
      <c r="AE180" s="149">
        <f ca="1">IF(N(AA180)=0,9999,VLOOKUP(AA180,Hraci!$A$1:$I$1000,8,0))</f>
        <v>9999</v>
      </c>
      <c r="AF180" s="150">
        <f ca="1">IF(N(AA180)=0,0,VLOOKUP(AA180,Hraci!$A$1:$I$1000,9,0))</f>
        <v>0</v>
      </c>
      <c r="AG180" s="147"/>
      <c r="AH180" s="151">
        <f ca="1">IF(TYPE(VLOOKUP(H180,Nasazení!$A$3:$E$130,5,0))&lt;4,VLOOKUP(H180,Nasazení!$A$3:$E$130,5,0),0)</f>
        <v>0</v>
      </c>
      <c r="AI180" s="152" t="str">
        <f ca="1">IF(N($AH180)&gt;0,VLOOKUP($AH180,Body!$A$4:$F$259,5,0),"")</f>
        <v/>
      </c>
      <c r="AJ180" s="153" t="str">
        <f ca="1">IF(N($AH180)&gt;0,VLOOKUP($AH180,Body!$A$4:$F$259,6,0),"")</f>
        <v/>
      </c>
      <c r="AK180" s="152" t="str">
        <f ca="1">IF(N($AH180)&gt;0,VLOOKUP($AH180,Body!$A$4:$F$259,2,0),"")</f>
        <v/>
      </c>
      <c r="AL180" s="154" t="str">
        <f t="shared" ca="1" si="87"/>
        <v/>
      </c>
      <c r="AM180" s="155">
        <f t="shared" ca="1" si="88"/>
        <v>0</v>
      </c>
      <c r="AN180" s="72">
        <f ca="1">IF(OR(TYPE(I180)&gt;1,TYPE(MATCH(I180,I181:I$203,0))&gt;1),0,MATCH(I180,I181:I$203,0))+IF(OR(TYPE(I180)&gt;1,TYPE(MATCH(I180,O$11:O$203,0))&gt;1),0,MATCH(I180,O$11:O$203,0))+IF(OR(TYPE(I180)&gt;1,TYPE(MATCH(I180,U$11:U$203,0))&gt;1),0,MATCH(I180,U$11:U$203,0))+IF(OR(TYPE(I180)&gt;1,TYPE(MATCH(I180,AA$11:AA$203,0))&gt;1),0,MATCH(I180,AA$11:AA$203,0))</f>
        <v>0</v>
      </c>
      <c r="AO180" s="72">
        <f ca="1">IF(OR(TYPE(O180)&gt;1,TYPE(MATCH(O180,I$11:I$203,0))&gt;1),0,MATCH(O180,I$11:I$203,0))+IF(OR(TYPE(O180)&gt;1,TYPE(MATCH(O180,O181:O$203,0))&gt;1),0,MATCH(O180,O181:O$203,0))+IF(OR(TYPE(O180)&gt;1,TYPE(MATCH(O180,U$11:U$203,0))&gt;1),0,MATCH(O180,U$11:U$203,0))+IF(OR(TYPE(O180)&gt;1,TYPE(MATCH(O180,AA$11:AA$203,0))&gt;1),0,MATCH(O180,AA$11:AA$203,0))</f>
        <v>0</v>
      </c>
      <c r="AP180" s="72">
        <f ca="1">IF(OR(TYPE(U180)&gt;1,TYPE(MATCH(U180,I$11:I$203,0))&gt;1),0,MATCH(U180,I$11:I$203,0))+IF(OR(TYPE(U180)&gt;1,TYPE(MATCH(U180,O$11:O$203,0))&gt;1),0,MATCH(U180,O$11:O$203,0))+IF(OR(TYPE(U180)&gt;1,TYPE(MATCH(U180,U181:U$203,0))&gt;1),0,MATCH(U180,U181:U$203,0))+IF(OR(TYPE(U180)&gt;1,TYPE(MATCH(U180,AA$11:AA$203,0))&gt;1),0,MATCH(U180,AA$11:AA$203,0))</f>
        <v>0</v>
      </c>
      <c r="AQ180" s="72">
        <f ca="1">IF(OR(TYPE(AA180)&gt;1,TYPE(MATCH(AA180,I$11:I$203,0))&gt;1),0,MATCH(AA180,I$11:I$203,0))+IF(OR(TYPE(AA180)&gt;1,TYPE(MATCH(AA180,O$11:O$203,0))&gt;1),0,MATCH(AA180,O$11:O$203,0))+IF(OR(TYPE(AA180)&gt;1,TYPE(MATCH(AA180,U$11:U$203,0))&gt;1),0,MATCH(U180,U$11:U$203,0))+IF(OR(TYPE(AA180)&gt;1,TYPE(MATCH(AA180,AA181:AA$203,0))&gt;1),0,MATCH(AA180,AA181:AA$203,0))</f>
        <v>0</v>
      </c>
      <c r="AR180" s="72">
        <f t="shared" ca="1" si="89"/>
        <v>0</v>
      </c>
    </row>
    <row r="181" spans="1:44" ht="14.25">
      <c r="A181" s="103">
        <f t="shared" ca="1" si="75"/>
        <v>0</v>
      </c>
      <c r="B181" s="103">
        <f t="shared" ca="1" si="76"/>
        <v>0</v>
      </c>
      <c r="C181" s="156">
        <f t="shared" ca="1" si="77"/>
        <v>0</v>
      </c>
      <c r="D181" s="103">
        <f t="shared" ca="1" si="78"/>
        <v>99999</v>
      </c>
      <c r="E181" s="103">
        <f t="shared" ca="1" si="79"/>
        <v>9999</v>
      </c>
      <c r="F181" s="104" t="str">
        <f t="shared" ca="1" si="80"/>
        <v>00000000000000000000426614</v>
      </c>
      <c r="G181" s="145">
        <f t="shared" ca="1" si="81"/>
        <v>1</v>
      </c>
      <c r="H181" s="146">
        <f t="shared" si="82"/>
        <v>171</v>
      </c>
      <c r="I181" s="147" t="str">
        <f t="shared" ca="1" si="83"/>
        <v/>
      </c>
      <c r="J181" s="148" t="str">
        <f ca="1">IF(N(I181)&gt;0,VLOOKUP(I181,Hraci!$A$1:$I$1000,2,0),IF(TYPE(INDIRECT(ADDRESS(ROW() + $A$9-9 + (ROW()-11)*4,2,1,1,"Internet")))&gt;1,INDIRECT(ADDRESS(ROW() + $A$9-9 + (ROW()-11)*4,2,1,1,"Internet"))," "))</f>
        <v xml:space="preserve"> </v>
      </c>
      <c r="K181" s="149" t="str">
        <f ca="1">IF(N(I181)&gt;0,VLOOKUP(I181,Hraci!$A$1:$I$1000,3,0)," ")</f>
        <v xml:space="preserve"> </v>
      </c>
      <c r="L181" s="149" t="str">
        <f ca="1">IF(N(I181)&gt;0,VLOOKUP(I181,Hraci!$A$1:$I$1000,5,0),IF(TYPE(INDIRECT(ADDRESS(ROW() + $A$9-9 + (ROW()-11)*4,3,1,1,"Internet")))&gt;1,INDIRECT(ADDRESS(ROW() + $A$9-9 + (ROW()-11)*4,3,1,1,"Internet"))," "))</f>
        <v xml:space="preserve"> </v>
      </c>
      <c r="M181" s="149">
        <f ca="1">IF(N(I181)=0,9999,VLOOKUP(I181,Hraci!$A$1:$I$1000,8,0))</f>
        <v>9999</v>
      </c>
      <c r="N181" s="150">
        <f ca="1">IF(N(I181)=0,0,VLOOKUP(I181,Hraci!$A$1:$I$1000,9,0))</f>
        <v>0</v>
      </c>
      <c r="O181" s="147" t="str">
        <f t="shared" ca="1" si="84"/>
        <v/>
      </c>
      <c r="P181" s="148" t="str">
        <f ca="1">IF(N(O181)&gt;0,VLOOKUP(O181,Hraci!$A$1:$I$1000,2,0),IF(TYPE(INDIRECT(ADDRESS(ROW() + $A$9-8 + (ROW()-11)*4,2,1,1,"Internet")))&gt;1,INDIRECT(ADDRESS(ROW() + $A$9-8 + (ROW()-11)*4,2,1,1,"Internet"))," "))</f>
        <v xml:space="preserve"> </v>
      </c>
      <c r="Q181" s="149" t="str">
        <f ca="1">IF(N(O181)&gt;0,VLOOKUP(O181,Hraci!$A$1:$I$1000,3,0)," ")</f>
        <v xml:space="preserve"> </v>
      </c>
      <c r="R181" s="149" t="str">
        <f ca="1">IF(N(O181)&gt;0,VLOOKUP(O181,Hraci!$A$1:$I$1000,5,0),IF(TYPE(INDIRECT(ADDRESS(ROW() + $A$9-8 + (ROW()-11)*4,3,1,1,"Internet")))&gt;1,INDIRECT(ADDRESS(ROW() + $A$9-8 + (ROW()-11)*4,3,1,1,"Internet"))," "))</f>
        <v xml:space="preserve"> </v>
      </c>
      <c r="S181" s="149">
        <f ca="1">IF(N(O181)=0,9999,VLOOKUP(O181,Hraci!$A$1:$I$1000,8,0))</f>
        <v>9999</v>
      </c>
      <c r="T181" s="150">
        <f ca="1">IF(N(O181)=0,0,VLOOKUP(O181,Hraci!$A$1:$I$1000,9,0))</f>
        <v>0</v>
      </c>
      <c r="U181" s="147" t="str">
        <f t="shared" ca="1" si="85"/>
        <v/>
      </c>
      <c r="V181" s="148" t="str">
        <f ca="1">IF(N(U181)&gt;0,VLOOKUP(U181,Hraci!$A$1:$I$1000,2,0),IF(TYPE(INDIRECT(ADDRESS(ROW() + $A$9-7 + (ROW()-11)*4,2,1,1,"Internet")))&gt;1,INDIRECT(ADDRESS(ROW() + $A$9-7 + (ROW()-11)*4,2,1,1,"Internet"))," "))</f>
        <v xml:space="preserve"> </v>
      </c>
      <c r="W181" s="149" t="str">
        <f ca="1">IF(N(U181)&gt;0,VLOOKUP(U181,Hraci!$A$1:$I$1000,3,0)," ")</f>
        <v xml:space="preserve"> </v>
      </c>
      <c r="X181" s="149" t="str">
        <f ca="1">IF(N(U181)&gt;0,VLOOKUP(U181,Hraci!$A$1:$I$1000,5,0),IF(TYPE(INDIRECT(ADDRESS(ROW() + $A$9-7 + (ROW()-11)*4,3,1,1,"Internet")))&gt;1,INDIRECT(ADDRESS(ROW() + $A$9-7 + (ROW()-11)*4,3,1,1,"Internet"))," "))</f>
        <v xml:space="preserve"> </v>
      </c>
      <c r="Y181" s="149">
        <f ca="1">IF(N(U181)=0,9999,VLOOKUP(U181,Hraci!$A$1:$I$1000,8,0))</f>
        <v>9999</v>
      </c>
      <c r="Z181" s="150">
        <f ca="1">IF(N(U181)=0,0,VLOOKUP(U181,Hraci!$A$1:$I$1000,9,0))</f>
        <v>0</v>
      </c>
      <c r="AA181" s="147" t="str">
        <f t="shared" ca="1" si="86"/>
        <v/>
      </c>
      <c r="AB181" s="148" t="str">
        <f ca="1">IF(N(AA181)&gt;0,VLOOKUP(AA181,Hraci!$A$1:$I$1000,2,0)," ")</f>
        <v xml:space="preserve"> </v>
      </c>
      <c r="AC181" s="149" t="str">
        <f ca="1">IF(N(AA181)&gt;0,VLOOKUP(AA181,Hraci!$A$1:$I$1000,3,0)," ")</f>
        <v xml:space="preserve"> </v>
      </c>
      <c r="AD181" s="149" t="str">
        <f ca="1">IF(N(AA181)&gt;0,VLOOKUP(AA181,Hraci!$A$1:$I$1000,5,0)," ")</f>
        <v xml:space="preserve"> </v>
      </c>
      <c r="AE181" s="149">
        <f ca="1">IF(N(AA181)=0,9999,VLOOKUP(AA181,Hraci!$A$1:$I$1000,8,0))</f>
        <v>9999</v>
      </c>
      <c r="AF181" s="150">
        <f ca="1">IF(N(AA181)=0,0,VLOOKUP(AA181,Hraci!$A$1:$I$1000,9,0))</f>
        <v>0</v>
      </c>
      <c r="AG181" s="147"/>
      <c r="AH181" s="151">
        <f ca="1">IF(TYPE(VLOOKUP(H181,Nasazení!$A$3:$E$130,5,0))&lt;4,VLOOKUP(H181,Nasazení!$A$3:$E$130,5,0),0)</f>
        <v>0</v>
      </c>
      <c r="AI181" s="152" t="str">
        <f ca="1">IF(N($AH181)&gt;0,VLOOKUP($AH181,Body!$A$4:$F$259,5,0),"")</f>
        <v/>
      </c>
      <c r="AJ181" s="153" t="str">
        <f ca="1">IF(N($AH181)&gt;0,VLOOKUP($AH181,Body!$A$4:$F$259,6,0),"")</f>
        <v/>
      </c>
      <c r="AK181" s="152" t="str">
        <f ca="1">IF(N($AH181)&gt;0,VLOOKUP($AH181,Body!$A$4:$F$259,2,0),"")</f>
        <v/>
      </c>
      <c r="AL181" s="154" t="str">
        <f t="shared" ca="1" si="87"/>
        <v/>
      </c>
      <c r="AM181" s="155">
        <f t="shared" ca="1" si="88"/>
        <v>0</v>
      </c>
      <c r="AN181" s="72">
        <f ca="1">IF(OR(TYPE(I181)&gt;1,TYPE(MATCH(I181,I182:I$203,0))&gt;1),0,MATCH(I181,I182:I$203,0))+IF(OR(TYPE(I181)&gt;1,TYPE(MATCH(I181,O$11:O$203,0))&gt;1),0,MATCH(I181,O$11:O$203,0))+IF(OR(TYPE(I181)&gt;1,TYPE(MATCH(I181,U$11:U$203,0))&gt;1),0,MATCH(I181,U$11:U$203,0))+IF(OR(TYPE(I181)&gt;1,TYPE(MATCH(I181,AA$11:AA$203,0))&gt;1),0,MATCH(I181,AA$11:AA$203,0))</f>
        <v>0</v>
      </c>
      <c r="AO181" s="72">
        <f ca="1">IF(OR(TYPE(O181)&gt;1,TYPE(MATCH(O181,I$11:I$203,0))&gt;1),0,MATCH(O181,I$11:I$203,0))+IF(OR(TYPE(O181)&gt;1,TYPE(MATCH(O181,O182:O$203,0))&gt;1),0,MATCH(O181,O182:O$203,0))+IF(OR(TYPE(O181)&gt;1,TYPE(MATCH(O181,U$11:U$203,0))&gt;1),0,MATCH(O181,U$11:U$203,0))+IF(OR(TYPE(O181)&gt;1,TYPE(MATCH(O181,AA$11:AA$203,0))&gt;1),0,MATCH(O181,AA$11:AA$203,0))</f>
        <v>0</v>
      </c>
      <c r="AP181" s="72">
        <f ca="1">IF(OR(TYPE(U181)&gt;1,TYPE(MATCH(U181,I$11:I$203,0))&gt;1),0,MATCH(U181,I$11:I$203,0))+IF(OR(TYPE(U181)&gt;1,TYPE(MATCH(U181,O$11:O$203,0))&gt;1),0,MATCH(U181,O$11:O$203,0))+IF(OR(TYPE(U181)&gt;1,TYPE(MATCH(U181,U182:U$203,0))&gt;1),0,MATCH(U181,U182:U$203,0))+IF(OR(TYPE(U181)&gt;1,TYPE(MATCH(U181,AA$11:AA$203,0))&gt;1),0,MATCH(U181,AA$11:AA$203,0))</f>
        <v>0</v>
      </c>
      <c r="AQ181" s="72">
        <f ca="1">IF(OR(TYPE(AA181)&gt;1,TYPE(MATCH(AA181,I$11:I$203,0))&gt;1),0,MATCH(AA181,I$11:I$203,0))+IF(OR(TYPE(AA181)&gt;1,TYPE(MATCH(AA181,O$11:O$203,0))&gt;1),0,MATCH(AA181,O$11:O$203,0))+IF(OR(TYPE(AA181)&gt;1,TYPE(MATCH(AA181,U$11:U$203,0))&gt;1),0,MATCH(U181,U$11:U$203,0))+IF(OR(TYPE(AA181)&gt;1,TYPE(MATCH(AA181,AA182:AA$203,0))&gt;1),0,MATCH(AA181,AA182:AA$203,0))</f>
        <v>0</v>
      </c>
      <c r="AR181" s="72">
        <f t="shared" ca="1" si="89"/>
        <v>0</v>
      </c>
    </row>
    <row r="182" spans="1:44" ht="14.25">
      <c r="A182" s="103">
        <f t="shared" ca="1" si="75"/>
        <v>0</v>
      </c>
      <c r="B182" s="103">
        <f t="shared" ca="1" si="76"/>
        <v>0</v>
      </c>
      <c r="C182" s="156">
        <f t="shared" ca="1" si="77"/>
        <v>0</v>
      </c>
      <c r="D182" s="103">
        <f t="shared" ca="1" si="78"/>
        <v>99999</v>
      </c>
      <c r="E182" s="103">
        <f t="shared" ca="1" si="79"/>
        <v>9999</v>
      </c>
      <c r="F182" s="104" t="str">
        <f t="shared" ca="1" si="80"/>
        <v>00000000000000000000993695</v>
      </c>
      <c r="G182" s="145">
        <f t="shared" ca="1" si="81"/>
        <v>1</v>
      </c>
      <c r="H182" s="146">
        <f t="shared" si="82"/>
        <v>172</v>
      </c>
      <c r="I182" s="147" t="str">
        <f t="shared" ca="1" si="83"/>
        <v/>
      </c>
      <c r="J182" s="148" t="str">
        <f ca="1">IF(N(I182)&gt;0,VLOOKUP(I182,Hraci!$A$1:$I$1000,2,0),IF(TYPE(INDIRECT(ADDRESS(ROW() + $A$9-9 + (ROW()-11)*4,2,1,1,"Internet")))&gt;1,INDIRECT(ADDRESS(ROW() + $A$9-9 + (ROW()-11)*4,2,1,1,"Internet"))," "))</f>
        <v xml:space="preserve"> </v>
      </c>
      <c r="K182" s="149" t="str">
        <f ca="1">IF(N(I182)&gt;0,VLOOKUP(I182,Hraci!$A$1:$I$1000,3,0)," ")</f>
        <v xml:space="preserve"> </v>
      </c>
      <c r="L182" s="149" t="str">
        <f ca="1">IF(N(I182)&gt;0,VLOOKUP(I182,Hraci!$A$1:$I$1000,5,0),IF(TYPE(INDIRECT(ADDRESS(ROW() + $A$9-9 + (ROW()-11)*4,3,1,1,"Internet")))&gt;1,INDIRECT(ADDRESS(ROW() + $A$9-9 + (ROW()-11)*4,3,1,1,"Internet"))," "))</f>
        <v xml:space="preserve"> </v>
      </c>
      <c r="M182" s="149">
        <f ca="1">IF(N(I182)=0,9999,VLOOKUP(I182,Hraci!$A$1:$I$1000,8,0))</f>
        <v>9999</v>
      </c>
      <c r="N182" s="150">
        <f ca="1">IF(N(I182)=0,0,VLOOKUP(I182,Hraci!$A$1:$I$1000,9,0))</f>
        <v>0</v>
      </c>
      <c r="O182" s="147" t="str">
        <f t="shared" ca="1" si="84"/>
        <v/>
      </c>
      <c r="P182" s="148" t="str">
        <f ca="1">IF(N(O182)&gt;0,VLOOKUP(O182,Hraci!$A$1:$I$1000,2,0),IF(TYPE(INDIRECT(ADDRESS(ROW() + $A$9-8 + (ROW()-11)*4,2,1,1,"Internet")))&gt;1,INDIRECT(ADDRESS(ROW() + $A$9-8 + (ROW()-11)*4,2,1,1,"Internet"))," "))</f>
        <v xml:space="preserve"> </v>
      </c>
      <c r="Q182" s="149" t="str">
        <f ca="1">IF(N(O182)&gt;0,VLOOKUP(O182,Hraci!$A$1:$I$1000,3,0)," ")</f>
        <v xml:space="preserve"> </v>
      </c>
      <c r="R182" s="149" t="str">
        <f ca="1">IF(N(O182)&gt;0,VLOOKUP(O182,Hraci!$A$1:$I$1000,5,0),IF(TYPE(INDIRECT(ADDRESS(ROW() + $A$9-8 + (ROW()-11)*4,3,1,1,"Internet")))&gt;1,INDIRECT(ADDRESS(ROW() + $A$9-8 + (ROW()-11)*4,3,1,1,"Internet"))," "))</f>
        <v xml:space="preserve"> </v>
      </c>
      <c r="S182" s="149">
        <f ca="1">IF(N(O182)=0,9999,VLOOKUP(O182,Hraci!$A$1:$I$1000,8,0))</f>
        <v>9999</v>
      </c>
      <c r="T182" s="150">
        <f ca="1">IF(N(O182)=0,0,VLOOKUP(O182,Hraci!$A$1:$I$1000,9,0))</f>
        <v>0</v>
      </c>
      <c r="U182" s="147" t="str">
        <f t="shared" ca="1" si="85"/>
        <v/>
      </c>
      <c r="V182" s="148" t="str">
        <f ca="1">IF(N(U182)&gt;0,VLOOKUP(U182,Hraci!$A$1:$I$1000,2,0),IF(TYPE(INDIRECT(ADDRESS(ROW() + $A$9-7 + (ROW()-11)*4,2,1,1,"Internet")))&gt;1,INDIRECT(ADDRESS(ROW() + $A$9-7 + (ROW()-11)*4,2,1,1,"Internet"))," "))</f>
        <v xml:space="preserve"> </v>
      </c>
      <c r="W182" s="149" t="str">
        <f ca="1">IF(N(U182)&gt;0,VLOOKUP(U182,Hraci!$A$1:$I$1000,3,0)," ")</f>
        <v xml:space="preserve"> </v>
      </c>
      <c r="X182" s="149" t="str">
        <f ca="1">IF(N(U182)&gt;0,VLOOKUP(U182,Hraci!$A$1:$I$1000,5,0),IF(TYPE(INDIRECT(ADDRESS(ROW() + $A$9-7 + (ROW()-11)*4,3,1,1,"Internet")))&gt;1,INDIRECT(ADDRESS(ROW() + $A$9-7 + (ROW()-11)*4,3,1,1,"Internet"))," "))</f>
        <v xml:space="preserve"> </v>
      </c>
      <c r="Y182" s="149">
        <f ca="1">IF(N(U182)=0,9999,VLOOKUP(U182,Hraci!$A$1:$I$1000,8,0))</f>
        <v>9999</v>
      </c>
      <c r="Z182" s="150">
        <f ca="1">IF(N(U182)=0,0,VLOOKUP(U182,Hraci!$A$1:$I$1000,9,0))</f>
        <v>0</v>
      </c>
      <c r="AA182" s="147" t="str">
        <f t="shared" ca="1" si="86"/>
        <v/>
      </c>
      <c r="AB182" s="148" t="str">
        <f ca="1">IF(N(AA182)&gt;0,VLOOKUP(AA182,Hraci!$A$1:$I$1000,2,0)," ")</f>
        <v xml:space="preserve"> </v>
      </c>
      <c r="AC182" s="149" t="str">
        <f ca="1">IF(N(AA182)&gt;0,VLOOKUP(AA182,Hraci!$A$1:$I$1000,3,0)," ")</f>
        <v xml:space="preserve"> </v>
      </c>
      <c r="AD182" s="149" t="str">
        <f ca="1">IF(N(AA182)&gt;0,VLOOKUP(AA182,Hraci!$A$1:$I$1000,5,0)," ")</f>
        <v xml:space="preserve"> </v>
      </c>
      <c r="AE182" s="149">
        <f ca="1">IF(N(AA182)=0,9999,VLOOKUP(AA182,Hraci!$A$1:$I$1000,8,0))</f>
        <v>9999</v>
      </c>
      <c r="AF182" s="150">
        <f ca="1">IF(N(AA182)=0,0,VLOOKUP(AA182,Hraci!$A$1:$I$1000,9,0))</f>
        <v>0</v>
      </c>
      <c r="AG182" s="147"/>
      <c r="AH182" s="151">
        <f ca="1">IF(TYPE(VLOOKUP(H182,Nasazení!$A$3:$E$130,5,0))&lt;4,VLOOKUP(H182,Nasazení!$A$3:$E$130,5,0),0)</f>
        <v>0</v>
      </c>
      <c r="AI182" s="152" t="str">
        <f ca="1">IF(N($AH182)&gt;0,VLOOKUP($AH182,Body!$A$4:$F$259,5,0),"")</f>
        <v/>
      </c>
      <c r="AJ182" s="153" t="str">
        <f ca="1">IF(N($AH182)&gt;0,VLOOKUP($AH182,Body!$A$4:$F$259,6,0),"")</f>
        <v/>
      </c>
      <c r="AK182" s="152" t="str">
        <f ca="1">IF(N($AH182)&gt;0,VLOOKUP($AH182,Body!$A$4:$F$259,2,0),"")</f>
        <v/>
      </c>
      <c r="AL182" s="154" t="str">
        <f t="shared" ca="1" si="87"/>
        <v/>
      </c>
      <c r="AM182" s="155">
        <f t="shared" ca="1" si="88"/>
        <v>0</v>
      </c>
      <c r="AN182" s="72">
        <f ca="1">IF(OR(TYPE(I182)&gt;1,TYPE(MATCH(I182,I183:I$203,0))&gt;1),0,MATCH(I182,I183:I$203,0))+IF(OR(TYPE(I182)&gt;1,TYPE(MATCH(I182,O$11:O$203,0))&gt;1),0,MATCH(I182,O$11:O$203,0))+IF(OR(TYPE(I182)&gt;1,TYPE(MATCH(I182,U$11:U$203,0))&gt;1),0,MATCH(I182,U$11:U$203,0))+IF(OR(TYPE(I182)&gt;1,TYPE(MATCH(I182,AA$11:AA$203,0))&gt;1),0,MATCH(I182,AA$11:AA$203,0))</f>
        <v>0</v>
      </c>
      <c r="AO182" s="72">
        <f ca="1">IF(OR(TYPE(O182)&gt;1,TYPE(MATCH(O182,I$11:I$203,0))&gt;1),0,MATCH(O182,I$11:I$203,0))+IF(OR(TYPE(O182)&gt;1,TYPE(MATCH(O182,O183:O$203,0))&gt;1),0,MATCH(O182,O183:O$203,0))+IF(OR(TYPE(O182)&gt;1,TYPE(MATCH(O182,U$11:U$203,0))&gt;1),0,MATCH(O182,U$11:U$203,0))+IF(OR(TYPE(O182)&gt;1,TYPE(MATCH(O182,AA$11:AA$203,0))&gt;1),0,MATCH(O182,AA$11:AA$203,0))</f>
        <v>0</v>
      </c>
      <c r="AP182" s="72">
        <f ca="1">IF(OR(TYPE(U182)&gt;1,TYPE(MATCH(U182,I$11:I$203,0))&gt;1),0,MATCH(U182,I$11:I$203,0))+IF(OR(TYPE(U182)&gt;1,TYPE(MATCH(U182,O$11:O$203,0))&gt;1),0,MATCH(U182,O$11:O$203,0))+IF(OR(TYPE(U182)&gt;1,TYPE(MATCH(U182,U183:U$203,0))&gt;1),0,MATCH(U182,U183:U$203,0))+IF(OR(TYPE(U182)&gt;1,TYPE(MATCH(U182,AA$11:AA$203,0))&gt;1),0,MATCH(U182,AA$11:AA$203,0))</f>
        <v>0</v>
      </c>
      <c r="AQ182" s="72">
        <f ca="1">IF(OR(TYPE(AA182)&gt;1,TYPE(MATCH(AA182,I$11:I$203,0))&gt;1),0,MATCH(AA182,I$11:I$203,0))+IF(OR(TYPE(AA182)&gt;1,TYPE(MATCH(AA182,O$11:O$203,0))&gt;1),0,MATCH(AA182,O$11:O$203,0))+IF(OR(TYPE(AA182)&gt;1,TYPE(MATCH(AA182,U$11:U$203,0))&gt;1),0,MATCH(U182,U$11:U$203,0))+IF(OR(TYPE(AA182)&gt;1,TYPE(MATCH(AA182,AA183:AA$203,0))&gt;1),0,MATCH(AA182,AA183:AA$203,0))</f>
        <v>0</v>
      </c>
      <c r="AR182" s="72">
        <f t="shared" ca="1" si="89"/>
        <v>0</v>
      </c>
    </row>
    <row r="183" spans="1:44" ht="14.25">
      <c r="A183" s="103">
        <f t="shared" ca="1" si="75"/>
        <v>0</v>
      </c>
      <c r="B183" s="103">
        <f t="shared" ca="1" si="76"/>
        <v>0</v>
      </c>
      <c r="C183" s="156">
        <f t="shared" ca="1" si="77"/>
        <v>0</v>
      </c>
      <c r="D183" s="103">
        <f t="shared" ca="1" si="78"/>
        <v>99999</v>
      </c>
      <c r="E183" s="103">
        <f t="shared" ca="1" si="79"/>
        <v>9999</v>
      </c>
      <c r="F183" s="104" t="str">
        <f t="shared" ca="1" si="80"/>
        <v>00000000000000000000410995</v>
      </c>
      <c r="G183" s="145">
        <f t="shared" ca="1" si="81"/>
        <v>1</v>
      </c>
      <c r="H183" s="146">
        <f t="shared" si="82"/>
        <v>173</v>
      </c>
      <c r="I183" s="147" t="str">
        <f t="shared" ca="1" si="83"/>
        <v/>
      </c>
      <c r="J183" s="148" t="str">
        <f ca="1">IF(N(I183)&gt;0,VLOOKUP(I183,Hraci!$A$1:$I$1000,2,0),IF(TYPE(INDIRECT(ADDRESS(ROW() + $A$9-9 + (ROW()-11)*4,2,1,1,"Internet")))&gt;1,INDIRECT(ADDRESS(ROW() + $A$9-9 + (ROW()-11)*4,2,1,1,"Internet"))," "))</f>
        <v xml:space="preserve"> </v>
      </c>
      <c r="K183" s="149" t="str">
        <f ca="1">IF(N(I183)&gt;0,VLOOKUP(I183,Hraci!$A$1:$I$1000,3,0)," ")</f>
        <v xml:space="preserve"> </v>
      </c>
      <c r="L183" s="149" t="str">
        <f ca="1">IF(N(I183)&gt;0,VLOOKUP(I183,Hraci!$A$1:$I$1000,5,0),IF(TYPE(INDIRECT(ADDRESS(ROW() + $A$9-9 + (ROW()-11)*4,3,1,1,"Internet")))&gt;1,INDIRECT(ADDRESS(ROW() + $A$9-9 + (ROW()-11)*4,3,1,1,"Internet"))," "))</f>
        <v xml:space="preserve"> </v>
      </c>
      <c r="M183" s="149">
        <f ca="1">IF(N(I183)=0,9999,VLOOKUP(I183,Hraci!$A$1:$I$1000,8,0))</f>
        <v>9999</v>
      </c>
      <c r="N183" s="150">
        <f ca="1">IF(N(I183)=0,0,VLOOKUP(I183,Hraci!$A$1:$I$1000,9,0))</f>
        <v>0</v>
      </c>
      <c r="O183" s="147" t="str">
        <f t="shared" ca="1" si="84"/>
        <v/>
      </c>
      <c r="P183" s="148" t="str">
        <f ca="1">IF(N(O183)&gt;0,VLOOKUP(O183,Hraci!$A$1:$I$1000,2,0),IF(TYPE(INDIRECT(ADDRESS(ROW() + $A$9-8 + (ROW()-11)*4,2,1,1,"Internet")))&gt;1,INDIRECT(ADDRESS(ROW() + $A$9-8 + (ROW()-11)*4,2,1,1,"Internet"))," "))</f>
        <v xml:space="preserve"> </v>
      </c>
      <c r="Q183" s="149" t="str">
        <f ca="1">IF(N(O183)&gt;0,VLOOKUP(O183,Hraci!$A$1:$I$1000,3,0)," ")</f>
        <v xml:space="preserve"> </v>
      </c>
      <c r="R183" s="149" t="str">
        <f ca="1">IF(N(O183)&gt;0,VLOOKUP(O183,Hraci!$A$1:$I$1000,5,0),IF(TYPE(INDIRECT(ADDRESS(ROW() + $A$9-8 + (ROW()-11)*4,3,1,1,"Internet")))&gt;1,INDIRECT(ADDRESS(ROW() + $A$9-8 + (ROW()-11)*4,3,1,1,"Internet"))," "))</f>
        <v xml:space="preserve"> </v>
      </c>
      <c r="S183" s="149">
        <f ca="1">IF(N(O183)=0,9999,VLOOKUP(O183,Hraci!$A$1:$I$1000,8,0))</f>
        <v>9999</v>
      </c>
      <c r="T183" s="150">
        <f ca="1">IF(N(O183)=0,0,VLOOKUP(O183,Hraci!$A$1:$I$1000,9,0))</f>
        <v>0</v>
      </c>
      <c r="U183" s="147" t="str">
        <f t="shared" ca="1" si="85"/>
        <v/>
      </c>
      <c r="V183" s="148" t="str">
        <f ca="1">IF(N(U183)&gt;0,VLOOKUP(U183,Hraci!$A$1:$I$1000,2,0),IF(TYPE(INDIRECT(ADDRESS(ROW() + $A$9-7 + (ROW()-11)*4,2,1,1,"Internet")))&gt;1,INDIRECT(ADDRESS(ROW() + $A$9-7 + (ROW()-11)*4,2,1,1,"Internet"))," "))</f>
        <v xml:space="preserve"> </v>
      </c>
      <c r="W183" s="149" t="str">
        <f ca="1">IF(N(U183)&gt;0,VLOOKUP(U183,Hraci!$A$1:$I$1000,3,0)," ")</f>
        <v xml:space="preserve"> </v>
      </c>
      <c r="X183" s="149" t="str">
        <f ca="1">IF(N(U183)&gt;0,VLOOKUP(U183,Hraci!$A$1:$I$1000,5,0),IF(TYPE(INDIRECT(ADDRESS(ROW() + $A$9-7 + (ROW()-11)*4,3,1,1,"Internet")))&gt;1,INDIRECT(ADDRESS(ROW() + $A$9-7 + (ROW()-11)*4,3,1,1,"Internet"))," "))</f>
        <v xml:space="preserve"> </v>
      </c>
      <c r="Y183" s="149">
        <f ca="1">IF(N(U183)=0,9999,VLOOKUP(U183,Hraci!$A$1:$I$1000,8,0))</f>
        <v>9999</v>
      </c>
      <c r="Z183" s="150">
        <f ca="1">IF(N(U183)=0,0,VLOOKUP(U183,Hraci!$A$1:$I$1000,9,0))</f>
        <v>0</v>
      </c>
      <c r="AA183" s="147" t="str">
        <f t="shared" ca="1" si="86"/>
        <v/>
      </c>
      <c r="AB183" s="148" t="str">
        <f ca="1">IF(N(AA183)&gt;0,VLOOKUP(AA183,Hraci!$A$1:$I$1000,2,0)," ")</f>
        <v xml:space="preserve"> </v>
      </c>
      <c r="AC183" s="149" t="str">
        <f ca="1">IF(N(AA183)&gt;0,VLOOKUP(AA183,Hraci!$A$1:$I$1000,3,0)," ")</f>
        <v xml:space="preserve"> </v>
      </c>
      <c r="AD183" s="149" t="str">
        <f ca="1">IF(N(AA183)&gt;0,VLOOKUP(AA183,Hraci!$A$1:$I$1000,5,0)," ")</f>
        <v xml:space="preserve"> </v>
      </c>
      <c r="AE183" s="149">
        <f ca="1">IF(N(AA183)=0,9999,VLOOKUP(AA183,Hraci!$A$1:$I$1000,8,0))</f>
        <v>9999</v>
      </c>
      <c r="AF183" s="150">
        <f ca="1">IF(N(AA183)=0,0,VLOOKUP(AA183,Hraci!$A$1:$I$1000,9,0))</f>
        <v>0</v>
      </c>
      <c r="AG183" s="147"/>
      <c r="AH183" s="151">
        <f ca="1">IF(TYPE(VLOOKUP(H183,Nasazení!$A$3:$E$130,5,0))&lt;4,VLOOKUP(H183,Nasazení!$A$3:$E$130,5,0),0)</f>
        <v>0</v>
      </c>
      <c r="AI183" s="152" t="str">
        <f ca="1">IF(N($AH183)&gt;0,VLOOKUP($AH183,Body!$A$4:$F$259,5,0),"")</f>
        <v/>
      </c>
      <c r="AJ183" s="153" t="str">
        <f ca="1">IF(N($AH183)&gt;0,VLOOKUP($AH183,Body!$A$4:$F$259,6,0),"")</f>
        <v/>
      </c>
      <c r="AK183" s="152" t="str">
        <f ca="1">IF(N($AH183)&gt;0,VLOOKUP($AH183,Body!$A$4:$F$259,2,0),"")</f>
        <v/>
      </c>
      <c r="AL183" s="154" t="str">
        <f t="shared" ca="1" si="87"/>
        <v/>
      </c>
      <c r="AM183" s="155">
        <f t="shared" ca="1" si="88"/>
        <v>0</v>
      </c>
      <c r="AN183" s="72">
        <f ca="1">IF(OR(TYPE(I183)&gt;1,TYPE(MATCH(I183,I184:I$203,0))&gt;1),0,MATCH(I183,I184:I$203,0))+IF(OR(TYPE(I183)&gt;1,TYPE(MATCH(I183,O$11:O$203,0))&gt;1),0,MATCH(I183,O$11:O$203,0))+IF(OR(TYPE(I183)&gt;1,TYPE(MATCH(I183,U$11:U$203,0))&gt;1),0,MATCH(I183,U$11:U$203,0))+IF(OR(TYPE(I183)&gt;1,TYPE(MATCH(I183,AA$11:AA$203,0))&gt;1),0,MATCH(I183,AA$11:AA$203,0))</f>
        <v>0</v>
      </c>
      <c r="AO183" s="72">
        <f ca="1">IF(OR(TYPE(O183)&gt;1,TYPE(MATCH(O183,I$11:I$203,0))&gt;1),0,MATCH(O183,I$11:I$203,0))+IF(OR(TYPE(O183)&gt;1,TYPE(MATCH(O183,O184:O$203,0))&gt;1),0,MATCH(O183,O184:O$203,0))+IF(OR(TYPE(O183)&gt;1,TYPE(MATCH(O183,U$11:U$203,0))&gt;1),0,MATCH(O183,U$11:U$203,0))+IF(OR(TYPE(O183)&gt;1,TYPE(MATCH(O183,AA$11:AA$203,0))&gt;1),0,MATCH(O183,AA$11:AA$203,0))</f>
        <v>0</v>
      </c>
      <c r="AP183" s="72">
        <f ca="1">IF(OR(TYPE(U183)&gt;1,TYPE(MATCH(U183,I$11:I$203,0))&gt;1),0,MATCH(U183,I$11:I$203,0))+IF(OR(TYPE(U183)&gt;1,TYPE(MATCH(U183,O$11:O$203,0))&gt;1),0,MATCH(U183,O$11:O$203,0))+IF(OR(TYPE(U183)&gt;1,TYPE(MATCH(U183,U184:U$203,0))&gt;1),0,MATCH(U183,U184:U$203,0))+IF(OR(TYPE(U183)&gt;1,TYPE(MATCH(U183,AA$11:AA$203,0))&gt;1),0,MATCH(U183,AA$11:AA$203,0))</f>
        <v>0</v>
      </c>
      <c r="AQ183" s="72">
        <f ca="1">IF(OR(TYPE(AA183)&gt;1,TYPE(MATCH(AA183,I$11:I$203,0))&gt;1),0,MATCH(AA183,I$11:I$203,0))+IF(OR(TYPE(AA183)&gt;1,TYPE(MATCH(AA183,O$11:O$203,0))&gt;1),0,MATCH(AA183,O$11:O$203,0))+IF(OR(TYPE(AA183)&gt;1,TYPE(MATCH(AA183,U$11:U$203,0))&gt;1),0,MATCH(U183,U$11:U$203,0))+IF(OR(TYPE(AA183)&gt;1,TYPE(MATCH(AA183,AA184:AA$203,0))&gt;1),0,MATCH(AA183,AA184:AA$203,0))</f>
        <v>0</v>
      </c>
      <c r="AR183" s="72">
        <f t="shared" ca="1" si="89"/>
        <v>0</v>
      </c>
    </row>
    <row r="184" spans="1:44" ht="14.25">
      <c r="A184" s="103">
        <f t="shared" ca="1" si="75"/>
        <v>0</v>
      </c>
      <c r="B184" s="103">
        <f t="shared" ca="1" si="76"/>
        <v>0</v>
      </c>
      <c r="C184" s="156">
        <f t="shared" ca="1" si="77"/>
        <v>0</v>
      </c>
      <c r="D184" s="103">
        <f t="shared" ca="1" si="78"/>
        <v>99999</v>
      </c>
      <c r="E184" s="103">
        <f t="shared" ca="1" si="79"/>
        <v>9999</v>
      </c>
      <c r="F184" s="104" t="str">
        <f t="shared" ca="1" si="80"/>
        <v>00000000000000000000152436</v>
      </c>
      <c r="G184" s="145">
        <f t="shared" ca="1" si="81"/>
        <v>1</v>
      </c>
      <c r="H184" s="146">
        <f t="shared" si="82"/>
        <v>174</v>
      </c>
      <c r="I184" s="147" t="str">
        <f t="shared" ca="1" si="83"/>
        <v/>
      </c>
      <c r="J184" s="148" t="str">
        <f ca="1">IF(N(I184)&gt;0,VLOOKUP(I184,Hraci!$A$1:$I$1000,2,0),IF(TYPE(INDIRECT(ADDRESS(ROW() + $A$9-9 + (ROW()-11)*4,2,1,1,"Internet")))&gt;1,INDIRECT(ADDRESS(ROW() + $A$9-9 + (ROW()-11)*4,2,1,1,"Internet"))," "))</f>
        <v xml:space="preserve"> </v>
      </c>
      <c r="K184" s="149" t="str">
        <f ca="1">IF(N(I184)&gt;0,VLOOKUP(I184,Hraci!$A$1:$I$1000,3,0)," ")</f>
        <v xml:space="preserve"> </v>
      </c>
      <c r="L184" s="149" t="str">
        <f ca="1">IF(N(I184)&gt;0,VLOOKUP(I184,Hraci!$A$1:$I$1000,5,0),IF(TYPE(INDIRECT(ADDRESS(ROW() + $A$9-9 + (ROW()-11)*4,3,1,1,"Internet")))&gt;1,INDIRECT(ADDRESS(ROW() + $A$9-9 + (ROW()-11)*4,3,1,1,"Internet"))," "))</f>
        <v xml:space="preserve"> </v>
      </c>
      <c r="M184" s="149">
        <f ca="1">IF(N(I184)=0,9999,VLOOKUP(I184,Hraci!$A$1:$I$1000,8,0))</f>
        <v>9999</v>
      </c>
      <c r="N184" s="150">
        <f ca="1">IF(N(I184)=0,0,VLOOKUP(I184,Hraci!$A$1:$I$1000,9,0))</f>
        <v>0</v>
      </c>
      <c r="O184" s="147" t="str">
        <f t="shared" ca="1" si="84"/>
        <v/>
      </c>
      <c r="P184" s="148" t="str">
        <f ca="1">IF(N(O184)&gt;0,VLOOKUP(O184,Hraci!$A$1:$I$1000,2,0),IF(TYPE(INDIRECT(ADDRESS(ROW() + $A$9-8 + (ROW()-11)*4,2,1,1,"Internet")))&gt;1,INDIRECT(ADDRESS(ROW() + $A$9-8 + (ROW()-11)*4,2,1,1,"Internet"))," "))</f>
        <v xml:space="preserve"> </v>
      </c>
      <c r="Q184" s="149" t="str">
        <f ca="1">IF(N(O184)&gt;0,VLOOKUP(O184,Hraci!$A$1:$I$1000,3,0)," ")</f>
        <v xml:space="preserve"> </v>
      </c>
      <c r="R184" s="149" t="str">
        <f ca="1">IF(N(O184)&gt;0,VLOOKUP(O184,Hraci!$A$1:$I$1000,5,0),IF(TYPE(INDIRECT(ADDRESS(ROW() + $A$9-8 + (ROW()-11)*4,3,1,1,"Internet")))&gt;1,INDIRECT(ADDRESS(ROW() + $A$9-8 + (ROW()-11)*4,3,1,1,"Internet"))," "))</f>
        <v xml:space="preserve"> </v>
      </c>
      <c r="S184" s="149">
        <f ca="1">IF(N(O184)=0,9999,VLOOKUP(O184,Hraci!$A$1:$I$1000,8,0))</f>
        <v>9999</v>
      </c>
      <c r="T184" s="150">
        <f ca="1">IF(N(O184)=0,0,VLOOKUP(O184,Hraci!$A$1:$I$1000,9,0))</f>
        <v>0</v>
      </c>
      <c r="U184" s="147" t="str">
        <f t="shared" ca="1" si="85"/>
        <v/>
      </c>
      <c r="V184" s="148" t="str">
        <f ca="1">IF(N(U184)&gt;0,VLOOKUP(U184,Hraci!$A$1:$I$1000,2,0),IF(TYPE(INDIRECT(ADDRESS(ROW() + $A$9-7 + (ROW()-11)*4,2,1,1,"Internet")))&gt;1,INDIRECT(ADDRESS(ROW() + $A$9-7 + (ROW()-11)*4,2,1,1,"Internet"))," "))</f>
        <v xml:space="preserve"> </v>
      </c>
      <c r="W184" s="149" t="str">
        <f ca="1">IF(N(U184)&gt;0,VLOOKUP(U184,Hraci!$A$1:$I$1000,3,0)," ")</f>
        <v xml:space="preserve"> </v>
      </c>
      <c r="X184" s="149" t="str">
        <f ca="1">IF(N(U184)&gt;0,VLOOKUP(U184,Hraci!$A$1:$I$1000,5,0),IF(TYPE(INDIRECT(ADDRESS(ROW() + $A$9-7 + (ROW()-11)*4,3,1,1,"Internet")))&gt;1,INDIRECT(ADDRESS(ROW() + $A$9-7 + (ROW()-11)*4,3,1,1,"Internet"))," "))</f>
        <v xml:space="preserve"> </v>
      </c>
      <c r="Y184" s="149">
        <f ca="1">IF(N(U184)=0,9999,VLOOKUP(U184,Hraci!$A$1:$I$1000,8,0))</f>
        <v>9999</v>
      </c>
      <c r="Z184" s="150">
        <f ca="1">IF(N(U184)=0,0,VLOOKUP(U184,Hraci!$A$1:$I$1000,9,0))</f>
        <v>0</v>
      </c>
      <c r="AA184" s="147" t="str">
        <f t="shared" ca="1" si="86"/>
        <v/>
      </c>
      <c r="AB184" s="148" t="str">
        <f ca="1">IF(N(AA184)&gt;0,VLOOKUP(AA184,Hraci!$A$1:$I$1000,2,0)," ")</f>
        <v xml:space="preserve"> </v>
      </c>
      <c r="AC184" s="149" t="str">
        <f ca="1">IF(N(AA184)&gt;0,VLOOKUP(AA184,Hraci!$A$1:$I$1000,3,0)," ")</f>
        <v xml:space="preserve"> </v>
      </c>
      <c r="AD184" s="149" t="str">
        <f ca="1">IF(N(AA184)&gt;0,VLOOKUP(AA184,Hraci!$A$1:$I$1000,5,0)," ")</f>
        <v xml:space="preserve"> </v>
      </c>
      <c r="AE184" s="149">
        <f ca="1">IF(N(AA184)=0,9999,VLOOKUP(AA184,Hraci!$A$1:$I$1000,8,0))</f>
        <v>9999</v>
      </c>
      <c r="AF184" s="150">
        <f ca="1">IF(N(AA184)=0,0,VLOOKUP(AA184,Hraci!$A$1:$I$1000,9,0))</f>
        <v>0</v>
      </c>
      <c r="AG184" s="147"/>
      <c r="AH184" s="151">
        <f ca="1">IF(TYPE(VLOOKUP(H184,Nasazení!$A$3:$E$130,5,0))&lt;4,VLOOKUP(H184,Nasazení!$A$3:$E$130,5,0),0)</f>
        <v>0</v>
      </c>
      <c r="AI184" s="152" t="str">
        <f ca="1">IF(N($AH184)&gt;0,VLOOKUP($AH184,Body!$A$4:$F$259,5,0),"")</f>
        <v/>
      </c>
      <c r="AJ184" s="153" t="str">
        <f ca="1">IF(N($AH184)&gt;0,VLOOKUP($AH184,Body!$A$4:$F$259,6,0),"")</f>
        <v/>
      </c>
      <c r="AK184" s="152" t="str">
        <f ca="1">IF(N($AH184)&gt;0,VLOOKUP($AH184,Body!$A$4:$F$259,2,0),"")</f>
        <v/>
      </c>
      <c r="AL184" s="154" t="str">
        <f t="shared" ca="1" si="87"/>
        <v/>
      </c>
      <c r="AM184" s="155">
        <f t="shared" ca="1" si="88"/>
        <v>0</v>
      </c>
      <c r="AN184" s="72">
        <f ca="1">IF(OR(TYPE(I184)&gt;1,TYPE(MATCH(I184,I185:I$203,0))&gt;1),0,MATCH(I184,I185:I$203,0))+IF(OR(TYPE(I184)&gt;1,TYPE(MATCH(I184,O$11:O$203,0))&gt;1),0,MATCH(I184,O$11:O$203,0))+IF(OR(TYPE(I184)&gt;1,TYPE(MATCH(I184,U$11:U$203,0))&gt;1),0,MATCH(I184,U$11:U$203,0))+IF(OR(TYPE(I184)&gt;1,TYPE(MATCH(I184,AA$11:AA$203,0))&gt;1),0,MATCH(I184,AA$11:AA$203,0))</f>
        <v>0</v>
      </c>
      <c r="AO184" s="72">
        <f ca="1">IF(OR(TYPE(O184)&gt;1,TYPE(MATCH(O184,I$11:I$203,0))&gt;1),0,MATCH(O184,I$11:I$203,0))+IF(OR(TYPE(O184)&gt;1,TYPE(MATCH(O184,O185:O$203,0))&gt;1),0,MATCH(O184,O185:O$203,0))+IF(OR(TYPE(O184)&gt;1,TYPE(MATCH(O184,U$11:U$203,0))&gt;1),0,MATCH(O184,U$11:U$203,0))+IF(OR(TYPE(O184)&gt;1,TYPE(MATCH(O184,AA$11:AA$203,0))&gt;1),0,MATCH(O184,AA$11:AA$203,0))</f>
        <v>0</v>
      </c>
      <c r="AP184" s="72">
        <f ca="1">IF(OR(TYPE(U184)&gt;1,TYPE(MATCH(U184,I$11:I$203,0))&gt;1),0,MATCH(U184,I$11:I$203,0))+IF(OR(TYPE(U184)&gt;1,TYPE(MATCH(U184,O$11:O$203,0))&gt;1),0,MATCH(U184,O$11:O$203,0))+IF(OR(TYPE(U184)&gt;1,TYPE(MATCH(U184,U185:U$203,0))&gt;1),0,MATCH(U184,U185:U$203,0))+IF(OR(TYPE(U184)&gt;1,TYPE(MATCH(U184,AA$11:AA$203,0))&gt;1),0,MATCH(U184,AA$11:AA$203,0))</f>
        <v>0</v>
      </c>
      <c r="AQ184" s="72">
        <f ca="1">IF(OR(TYPE(AA184)&gt;1,TYPE(MATCH(AA184,I$11:I$203,0))&gt;1),0,MATCH(AA184,I$11:I$203,0))+IF(OR(TYPE(AA184)&gt;1,TYPE(MATCH(AA184,O$11:O$203,0))&gt;1),0,MATCH(AA184,O$11:O$203,0))+IF(OR(TYPE(AA184)&gt;1,TYPE(MATCH(AA184,U$11:U$203,0))&gt;1),0,MATCH(U184,U$11:U$203,0))+IF(OR(TYPE(AA184)&gt;1,TYPE(MATCH(AA184,AA185:AA$203,0))&gt;1),0,MATCH(AA184,AA185:AA$203,0))</f>
        <v>0</v>
      </c>
      <c r="AR184" s="72">
        <f t="shared" ca="1" si="89"/>
        <v>0</v>
      </c>
    </row>
    <row r="185" spans="1:44" ht="14.25">
      <c r="A185" s="103">
        <f t="shared" ca="1" si="75"/>
        <v>0</v>
      </c>
      <c r="B185" s="103">
        <f t="shared" ca="1" si="76"/>
        <v>0</v>
      </c>
      <c r="C185" s="156">
        <f t="shared" ca="1" si="77"/>
        <v>0</v>
      </c>
      <c r="D185" s="103">
        <f t="shared" ca="1" si="78"/>
        <v>99999</v>
      </c>
      <c r="E185" s="103">
        <f t="shared" ca="1" si="79"/>
        <v>9999</v>
      </c>
      <c r="F185" s="104" t="str">
        <f t="shared" ca="1" si="80"/>
        <v>00000000000000000000744777</v>
      </c>
      <c r="G185" s="145">
        <f t="shared" ca="1" si="81"/>
        <v>1</v>
      </c>
      <c r="H185" s="146">
        <f t="shared" si="82"/>
        <v>175</v>
      </c>
      <c r="I185" s="147" t="str">
        <f t="shared" ca="1" si="83"/>
        <v/>
      </c>
      <c r="J185" s="148" t="str">
        <f ca="1">IF(N(I185)&gt;0,VLOOKUP(I185,Hraci!$A$1:$I$1000,2,0),IF(TYPE(INDIRECT(ADDRESS(ROW() + $A$9-9 + (ROW()-11)*4,2,1,1,"Internet")))&gt;1,INDIRECT(ADDRESS(ROW() + $A$9-9 + (ROW()-11)*4,2,1,1,"Internet"))," "))</f>
        <v xml:space="preserve"> </v>
      </c>
      <c r="K185" s="149" t="str">
        <f ca="1">IF(N(I185)&gt;0,VLOOKUP(I185,Hraci!$A$1:$I$1000,3,0)," ")</f>
        <v xml:space="preserve"> </v>
      </c>
      <c r="L185" s="149" t="str">
        <f ca="1">IF(N(I185)&gt;0,VLOOKUP(I185,Hraci!$A$1:$I$1000,5,0),IF(TYPE(INDIRECT(ADDRESS(ROW() + $A$9-9 + (ROW()-11)*4,3,1,1,"Internet")))&gt;1,INDIRECT(ADDRESS(ROW() + $A$9-9 + (ROW()-11)*4,3,1,1,"Internet"))," "))</f>
        <v xml:space="preserve"> </v>
      </c>
      <c r="M185" s="149">
        <f ca="1">IF(N(I185)=0,9999,VLOOKUP(I185,Hraci!$A$1:$I$1000,8,0))</f>
        <v>9999</v>
      </c>
      <c r="N185" s="150">
        <f ca="1">IF(N(I185)=0,0,VLOOKUP(I185,Hraci!$A$1:$I$1000,9,0))</f>
        <v>0</v>
      </c>
      <c r="O185" s="147" t="str">
        <f t="shared" ca="1" si="84"/>
        <v/>
      </c>
      <c r="P185" s="148" t="str">
        <f ca="1">IF(N(O185)&gt;0,VLOOKUP(O185,Hraci!$A$1:$I$1000,2,0),IF(TYPE(INDIRECT(ADDRESS(ROW() + $A$9-8 + (ROW()-11)*4,2,1,1,"Internet")))&gt;1,INDIRECT(ADDRESS(ROW() + $A$9-8 + (ROW()-11)*4,2,1,1,"Internet"))," "))</f>
        <v xml:space="preserve"> </v>
      </c>
      <c r="Q185" s="149" t="str">
        <f ca="1">IF(N(O185)&gt;0,VLOOKUP(O185,Hraci!$A$1:$I$1000,3,0)," ")</f>
        <v xml:space="preserve"> </v>
      </c>
      <c r="R185" s="149" t="str">
        <f ca="1">IF(N(O185)&gt;0,VLOOKUP(O185,Hraci!$A$1:$I$1000,5,0),IF(TYPE(INDIRECT(ADDRESS(ROW() + $A$9-8 + (ROW()-11)*4,3,1,1,"Internet")))&gt;1,INDIRECT(ADDRESS(ROW() + $A$9-8 + (ROW()-11)*4,3,1,1,"Internet"))," "))</f>
        <v xml:space="preserve"> </v>
      </c>
      <c r="S185" s="149">
        <f ca="1">IF(N(O185)=0,9999,VLOOKUP(O185,Hraci!$A$1:$I$1000,8,0))</f>
        <v>9999</v>
      </c>
      <c r="T185" s="150">
        <f ca="1">IF(N(O185)=0,0,VLOOKUP(O185,Hraci!$A$1:$I$1000,9,0))</f>
        <v>0</v>
      </c>
      <c r="U185" s="147" t="str">
        <f t="shared" ca="1" si="85"/>
        <v/>
      </c>
      <c r="V185" s="148" t="str">
        <f ca="1">IF(N(U185)&gt;0,VLOOKUP(U185,Hraci!$A$1:$I$1000,2,0),IF(TYPE(INDIRECT(ADDRESS(ROW() + $A$9-7 + (ROW()-11)*4,2,1,1,"Internet")))&gt;1,INDIRECT(ADDRESS(ROW() + $A$9-7 + (ROW()-11)*4,2,1,1,"Internet"))," "))</f>
        <v xml:space="preserve"> </v>
      </c>
      <c r="W185" s="149" t="str">
        <f ca="1">IF(N(U185)&gt;0,VLOOKUP(U185,Hraci!$A$1:$I$1000,3,0)," ")</f>
        <v xml:space="preserve"> </v>
      </c>
      <c r="X185" s="149" t="str">
        <f ca="1">IF(N(U185)&gt;0,VLOOKUP(U185,Hraci!$A$1:$I$1000,5,0),IF(TYPE(INDIRECT(ADDRESS(ROW() + $A$9-7 + (ROW()-11)*4,3,1,1,"Internet")))&gt;1,INDIRECT(ADDRESS(ROW() + $A$9-7 + (ROW()-11)*4,3,1,1,"Internet"))," "))</f>
        <v xml:space="preserve"> </v>
      </c>
      <c r="Y185" s="149">
        <f ca="1">IF(N(U185)=0,9999,VLOOKUP(U185,Hraci!$A$1:$I$1000,8,0))</f>
        <v>9999</v>
      </c>
      <c r="Z185" s="150">
        <f ca="1">IF(N(U185)=0,0,VLOOKUP(U185,Hraci!$A$1:$I$1000,9,0))</f>
        <v>0</v>
      </c>
      <c r="AA185" s="147" t="str">
        <f t="shared" ca="1" si="86"/>
        <v/>
      </c>
      <c r="AB185" s="148" t="str">
        <f ca="1">IF(N(AA185)&gt;0,VLOOKUP(AA185,Hraci!$A$1:$I$1000,2,0)," ")</f>
        <v xml:space="preserve"> </v>
      </c>
      <c r="AC185" s="149" t="str">
        <f ca="1">IF(N(AA185)&gt;0,VLOOKUP(AA185,Hraci!$A$1:$I$1000,3,0)," ")</f>
        <v xml:space="preserve"> </v>
      </c>
      <c r="AD185" s="149" t="str">
        <f ca="1">IF(N(AA185)&gt;0,VLOOKUP(AA185,Hraci!$A$1:$I$1000,5,0)," ")</f>
        <v xml:space="preserve"> </v>
      </c>
      <c r="AE185" s="149">
        <f ca="1">IF(N(AA185)=0,9999,VLOOKUP(AA185,Hraci!$A$1:$I$1000,8,0))</f>
        <v>9999</v>
      </c>
      <c r="AF185" s="150">
        <f ca="1">IF(N(AA185)=0,0,VLOOKUP(AA185,Hraci!$A$1:$I$1000,9,0))</f>
        <v>0</v>
      </c>
      <c r="AG185" s="147"/>
      <c r="AH185" s="151">
        <f ca="1">IF(TYPE(VLOOKUP(H185,Nasazení!$A$3:$E$130,5,0))&lt;4,VLOOKUP(H185,Nasazení!$A$3:$E$130,5,0),0)</f>
        <v>0</v>
      </c>
      <c r="AI185" s="152" t="str">
        <f ca="1">IF(N($AH185)&gt;0,VLOOKUP($AH185,Body!$A$4:$F$259,5,0),"")</f>
        <v/>
      </c>
      <c r="AJ185" s="153" t="str">
        <f ca="1">IF(N($AH185)&gt;0,VLOOKUP($AH185,Body!$A$4:$F$259,6,0),"")</f>
        <v/>
      </c>
      <c r="AK185" s="152" t="str">
        <f ca="1">IF(N($AH185)&gt;0,VLOOKUP($AH185,Body!$A$4:$F$259,2,0),"")</f>
        <v/>
      </c>
      <c r="AL185" s="154" t="str">
        <f t="shared" ca="1" si="87"/>
        <v/>
      </c>
      <c r="AM185" s="155">
        <f t="shared" ca="1" si="88"/>
        <v>0</v>
      </c>
      <c r="AN185" s="72">
        <f ca="1">IF(OR(TYPE(I185)&gt;1,TYPE(MATCH(I185,I186:I$203,0))&gt;1),0,MATCH(I185,I186:I$203,0))+IF(OR(TYPE(I185)&gt;1,TYPE(MATCH(I185,O$11:O$203,0))&gt;1),0,MATCH(I185,O$11:O$203,0))+IF(OR(TYPE(I185)&gt;1,TYPE(MATCH(I185,U$11:U$203,0))&gt;1),0,MATCH(I185,U$11:U$203,0))+IF(OR(TYPE(I185)&gt;1,TYPE(MATCH(I185,AA$11:AA$203,0))&gt;1),0,MATCH(I185,AA$11:AA$203,0))</f>
        <v>0</v>
      </c>
      <c r="AO185" s="72">
        <f ca="1">IF(OR(TYPE(O185)&gt;1,TYPE(MATCH(O185,I$11:I$203,0))&gt;1),0,MATCH(O185,I$11:I$203,0))+IF(OR(TYPE(O185)&gt;1,TYPE(MATCH(O185,O186:O$203,0))&gt;1),0,MATCH(O185,O186:O$203,0))+IF(OR(TYPE(O185)&gt;1,TYPE(MATCH(O185,U$11:U$203,0))&gt;1),0,MATCH(O185,U$11:U$203,0))+IF(OR(TYPE(O185)&gt;1,TYPE(MATCH(O185,AA$11:AA$203,0))&gt;1),0,MATCH(O185,AA$11:AA$203,0))</f>
        <v>0</v>
      </c>
      <c r="AP185" s="72">
        <f ca="1">IF(OR(TYPE(U185)&gt;1,TYPE(MATCH(U185,I$11:I$203,0))&gt;1),0,MATCH(U185,I$11:I$203,0))+IF(OR(TYPE(U185)&gt;1,TYPE(MATCH(U185,O$11:O$203,0))&gt;1),0,MATCH(U185,O$11:O$203,0))+IF(OR(TYPE(U185)&gt;1,TYPE(MATCH(U185,U186:U$203,0))&gt;1),0,MATCH(U185,U186:U$203,0))+IF(OR(TYPE(U185)&gt;1,TYPE(MATCH(U185,AA$11:AA$203,0))&gt;1),0,MATCH(U185,AA$11:AA$203,0))</f>
        <v>0</v>
      </c>
      <c r="AQ185" s="72">
        <f ca="1">IF(OR(TYPE(AA185)&gt;1,TYPE(MATCH(AA185,I$11:I$203,0))&gt;1),0,MATCH(AA185,I$11:I$203,0))+IF(OR(TYPE(AA185)&gt;1,TYPE(MATCH(AA185,O$11:O$203,0))&gt;1),0,MATCH(AA185,O$11:O$203,0))+IF(OR(TYPE(AA185)&gt;1,TYPE(MATCH(AA185,U$11:U$203,0))&gt;1),0,MATCH(U185,U$11:U$203,0))+IF(OR(TYPE(AA185)&gt;1,TYPE(MATCH(AA185,AA186:AA$203,0))&gt;1),0,MATCH(AA185,AA186:AA$203,0))</f>
        <v>0</v>
      </c>
      <c r="AR185" s="72">
        <f t="shared" ca="1" si="89"/>
        <v>0</v>
      </c>
    </row>
    <row r="186" spans="1:44" ht="14.25">
      <c r="A186" s="103">
        <f t="shared" ca="1" si="75"/>
        <v>0</v>
      </c>
      <c r="B186" s="103">
        <f t="shared" ca="1" si="76"/>
        <v>0</v>
      </c>
      <c r="C186" s="156">
        <f t="shared" ca="1" si="77"/>
        <v>0</v>
      </c>
      <c r="D186" s="103">
        <f t="shared" ca="1" si="78"/>
        <v>99999</v>
      </c>
      <c r="E186" s="103">
        <f t="shared" ca="1" si="79"/>
        <v>9999</v>
      </c>
      <c r="F186" s="104" t="str">
        <f t="shared" ca="1" si="80"/>
        <v>00000000000000000000491080</v>
      </c>
      <c r="G186" s="145">
        <f t="shared" ca="1" si="81"/>
        <v>1</v>
      </c>
      <c r="H186" s="146">
        <f t="shared" si="82"/>
        <v>176</v>
      </c>
      <c r="I186" s="147" t="str">
        <f t="shared" ca="1" si="83"/>
        <v/>
      </c>
      <c r="J186" s="148" t="str">
        <f ca="1">IF(N(I186)&gt;0,VLOOKUP(I186,Hraci!$A$1:$I$1000,2,0),IF(TYPE(INDIRECT(ADDRESS(ROW() + $A$9-9 + (ROW()-11)*4,2,1,1,"Internet")))&gt;1,INDIRECT(ADDRESS(ROW() + $A$9-9 + (ROW()-11)*4,2,1,1,"Internet"))," "))</f>
        <v xml:space="preserve"> </v>
      </c>
      <c r="K186" s="149" t="str">
        <f ca="1">IF(N(I186)&gt;0,VLOOKUP(I186,Hraci!$A$1:$I$1000,3,0)," ")</f>
        <v xml:space="preserve"> </v>
      </c>
      <c r="L186" s="149" t="str">
        <f ca="1">IF(N(I186)&gt;0,VLOOKUP(I186,Hraci!$A$1:$I$1000,5,0),IF(TYPE(INDIRECT(ADDRESS(ROW() + $A$9-9 + (ROW()-11)*4,3,1,1,"Internet")))&gt;1,INDIRECT(ADDRESS(ROW() + $A$9-9 + (ROW()-11)*4,3,1,1,"Internet"))," "))</f>
        <v xml:space="preserve"> </v>
      </c>
      <c r="M186" s="149">
        <f ca="1">IF(N(I186)=0,9999,VLOOKUP(I186,Hraci!$A$1:$I$1000,8,0))</f>
        <v>9999</v>
      </c>
      <c r="N186" s="150">
        <f ca="1">IF(N(I186)=0,0,VLOOKUP(I186,Hraci!$A$1:$I$1000,9,0))</f>
        <v>0</v>
      </c>
      <c r="O186" s="147" t="str">
        <f t="shared" ca="1" si="84"/>
        <v/>
      </c>
      <c r="P186" s="148" t="str">
        <f ca="1">IF(N(O186)&gt;0,VLOOKUP(O186,Hraci!$A$1:$I$1000,2,0),IF(TYPE(INDIRECT(ADDRESS(ROW() + $A$9-8 + (ROW()-11)*4,2,1,1,"Internet")))&gt;1,INDIRECT(ADDRESS(ROW() + $A$9-8 + (ROW()-11)*4,2,1,1,"Internet"))," "))</f>
        <v xml:space="preserve"> </v>
      </c>
      <c r="Q186" s="149" t="str">
        <f ca="1">IF(N(O186)&gt;0,VLOOKUP(O186,Hraci!$A$1:$I$1000,3,0)," ")</f>
        <v xml:space="preserve"> </v>
      </c>
      <c r="R186" s="149" t="str">
        <f ca="1">IF(N(O186)&gt;0,VLOOKUP(O186,Hraci!$A$1:$I$1000,5,0),IF(TYPE(INDIRECT(ADDRESS(ROW() + $A$9-8 + (ROW()-11)*4,3,1,1,"Internet")))&gt;1,INDIRECT(ADDRESS(ROW() + $A$9-8 + (ROW()-11)*4,3,1,1,"Internet"))," "))</f>
        <v xml:space="preserve"> </v>
      </c>
      <c r="S186" s="149">
        <f ca="1">IF(N(O186)=0,9999,VLOOKUP(O186,Hraci!$A$1:$I$1000,8,0))</f>
        <v>9999</v>
      </c>
      <c r="T186" s="150">
        <f ca="1">IF(N(O186)=0,0,VLOOKUP(O186,Hraci!$A$1:$I$1000,9,0))</f>
        <v>0</v>
      </c>
      <c r="U186" s="147" t="str">
        <f t="shared" ca="1" si="85"/>
        <v/>
      </c>
      <c r="V186" s="148" t="str">
        <f ca="1">IF(N(U186)&gt;0,VLOOKUP(U186,Hraci!$A$1:$I$1000,2,0),IF(TYPE(INDIRECT(ADDRESS(ROW() + $A$9-7 + (ROW()-11)*4,2,1,1,"Internet")))&gt;1,INDIRECT(ADDRESS(ROW() + $A$9-7 + (ROW()-11)*4,2,1,1,"Internet"))," "))</f>
        <v xml:space="preserve"> </v>
      </c>
      <c r="W186" s="149" t="str">
        <f ca="1">IF(N(U186)&gt;0,VLOOKUP(U186,Hraci!$A$1:$I$1000,3,0)," ")</f>
        <v xml:space="preserve"> </v>
      </c>
      <c r="X186" s="149" t="str">
        <f ca="1">IF(N(U186)&gt;0,VLOOKUP(U186,Hraci!$A$1:$I$1000,5,0),IF(TYPE(INDIRECT(ADDRESS(ROW() + $A$9-7 + (ROW()-11)*4,3,1,1,"Internet")))&gt;1,INDIRECT(ADDRESS(ROW() + $A$9-7 + (ROW()-11)*4,3,1,1,"Internet"))," "))</f>
        <v xml:space="preserve"> </v>
      </c>
      <c r="Y186" s="149">
        <f ca="1">IF(N(U186)=0,9999,VLOOKUP(U186,Hraci!$A$1:$I$1000,8,0))</f>
        <v>9999</v>
      </c>
      <c r="Z186" s="150">
        <f ca="1">IF(N(U186)=0,0,VLOOKUP(U186,Hraci!$A$1:$I$1000,9,0))</f>
        <v>0</v>
      </c>
      <c r="AA186" s="147" t="str">
        <f t="shared" ca="1" si="86"/>
        <v/>
      </c>
      <c r="AB186" s="148" t="str">
        <f ca="1">IF(N(AA186)&gt;0,VLOOKUP(AA186,Hraci!$A$1:$I$1000,2,0)," ")</f>
        <v xml:space="preserve"> </v>
      </c>
      <c r="AC186" s="149" t="str">
        <f ca="1">IF(N(AA186)&gt;0,VLOOKUP(AA186,Hraci!$A$1:$I$1000,3,0)," ")</f>
        <v xml:space="preserve"> </v>
      </c>
      <c r="AD186" s="149" t="str">
        <f ca="1">IF(N(AA186)&gt;0,VLOOKUP(AA186,Hraci!$A$1:$I$1000,5,0)," ")</f>
        <v xml:space="preserve"> </v>
      </c>
      <c r="AE186" s="149">
        <f ca="1">IF(N(AA186)=0,9999,VLOOKUP(AA186,Hraci!$A$1:$I$1000,8,0))</f>
        <v>9999</v>
      </c>
      <c r="AF186" s="150">
        <f ca="1">IF(N(AA186)=0,0,VLOOKUP(AA186,Hraci!$A$1:$I$1000,9,0))</f>
        <v>0</v>
      </c>
      <c r="AG186" s="147"/>
      <c r="AH186" s="151">
        <f ca="1">IF(TYPE(VLOOKUP(H186,Nasazení!$A$3:$E$130,5,0))&lt;4,VLOOKUP(H186,Nasazení!$A$3:$E$130,5,0),0)</f>
        <v>0</v>
      </c>
      <c r="AI186" s="152" t="str">
        <f ca="1">IF(N($AH186)&gt;0,VLOOKUP($AH186,Body!$A$4:$F$259,5,0),"")</f>
        <v/>
      </c>
      <c r="AJ186" s="153" t="str">
        <f ca="1">IF(N($AH186)&gt;0,VLOOKUP($AH186,Body!$A$4:$F$259,6,0),"")</f>
        <v/>
      </c>
      <c r="AK186" s="152" t="str">
        <f ca="1">IF(N($AH186)&gt;0,VLOOKUP($AH186,Body!$A$4:$F$259,2,0),"")</f>
        <v/>
      </c>
      <c r="AL186" s="154" t="str">
        <f t="shared" ca="1" si="87"/>
        <v/>
      </c>
      <c r="AM186" s="155">
        <f t="shared" ca="1" si="88"/>
        <v>0</v>
      </c>
      <c r="AN186" s="72">
        <f ca="1">IF(OR(TYPE(I186)&gt;1,TYPE(MATCH(I186,I187:I$203,0))&gt;1),0,MATCH(I186,I187:I$203,0))+IF(OR(TYPE(I186)&gt;1,TYPE(MATCH(I186,O$11:O$203,0))&gt;1),0,MATCH(I186,O$11:O$203,0))+IF(OR(TYPE(I186)&gt;1,TYPE(MATCH(I186,U$11:U$203,0))&gt;1),0,MATCH(I186,U$11:U$203,0))+IF(OR(TYPE(I186)&gt;1,TYPE(MATCH(I186,AA$11:AA$203,0))&gt;1),0,MATCH(I186,AA$11:AA$203,0))</f>
        <v>0</v>
      </c>
      <c r="AO186" s="72">
        <f ca="1">IF(OR(TYPE(O186)&gt;1,TYPE(MATCH(O186,I$11:I$203,0))&gt;1),0,MATCH(O186,I$11:I$203,0))+IF(OR(TYPE(O186)&gt;1,TYPE(MATCH(O186,O187:O$203,0))&gt;1),0,MATCH(O186,O187:O$203,0))+IF(OR(TYPE(O186)&gt;1,TYPE(MATCH(O186,U$11:U$203,0))&gt;1),0,MATCH(O186,U$11:U$203,0))+IF(OR(TYPE(O186)&gt;1,TYPE(MATCH(O186,AA$11:AA$203,0))&gt;1),0,MATCH(O186,AA$11:AA$203,0))</f>
        <v>0</v>
      </c>
      <c r="AP186" s="72">
        <f ca="1">IF(OR(TYPE(U186)&gt;1,TYPE(MATCH(U186,I$11:I$203,0))&gt;1),0,MATCH(U186,I$11:I$203,0))+IF(OR(TYPE(U186)&gt;1,TYPE(MATCH(U186,O$11:O$203,0))&gt;1),0,MATCH(U186,O$11:O$203,0))+IF(OR(TYPE(U186)&gt;1,TYPE(MATCH(U186,U187:U$203,0))&gt;1),0,MATCH(U186,U187:U$203,0))+IF(OR(TYPE(U186)&gt;1,TYPE(MATCH(U186,AA$11:AA$203,0))&gt;1),0,MATCH(U186,AA$11:AA$203,0))</f>
        <v>0</v>
      </c>
      <c r="AQ186" s="72">
        <f ca="1">IF(OR(TYPE(AA186)&gt;1,TYPE(MATCH(AA186,I$11:I$203,0))&gt;1),0,MATCH(AA186,I$11:I$203,0))+IF(OR(TYPE(AA186)&gt;1,TYPE(MATCH(AA186,O$11:O$203,0))&gt;1),0,MATCH(AA186,O$11:O$203,0))+IF(OR(TYPE(AA186)&gt;1,TYPE(MATCH(AA186,U$11:U$203,0))&gt;1),0,MATCH(U186,U$11:U$203,0))+IF(OR(TYPE(AA186)&gt;1,TYPE(MATCH(AA186,AA187:AA$203,0))&gt;1),0,MATCH(AA186,AA187:AA$203,0))</f>
        <v>0</v>
      </c>
      <c r="AR186" s="72">
        <f t="shared" ca="1" si="89"/>
        <v>0</v>
      </c>
    </row>
    <row r="187" spans="1:44" ht="14.25">
      <c r="A187" s="103">
        <f t="shared" ca="1" si="75"/>
        <v>0</v>
      </c>
      <c r="B187" s="103">
        <f t="shared" ca="1" si="76"/>
        <v>0</v>
      </c>
      <c r="C187" s="156">
        <f t="shared" ca="1" si="77"/>
        <v>0</v>
      </c>
      <c r="D187" s="103">
        <f t="shared" ca="1" si="78"/>
        <v>99999</v>
      </c>
      <c r="E187" s="103">
        <f t="shared" ca="1" si="79"/>
        <v>9999</v>
      </c>
      <c r="F187" s="104" t="str">
        <f t="shared" ca="1" si="80"/>
        <v>00000000000000000000596907</v>
      </c>
      <c r="G187" s="145">
        <f t="shared" ca="1" si="81"/>
        <v>1</v>
      </c>
      <c r="H187" s="146">
        <f t="shared" si="82"/>
        <v>177</v>
      </c>
      <c r="I187" s="147" t="str">
        <f t="shared" ca="1" si="83"/>
        <v/>
      </c>
      <c r="J187" s="148" t="str">
        <f ca="1">IF(N(I187)&gt;0,VLOOKUP(I187,Hraci!$A$1:$I$1000,2,0),IF(TYPE(INDIRECT(ADDRESS(ROW() + $A$9-9 + (ROW()-11)*4,2,1,1,"Internet")))&gt;1,INDIRECT(ADDRESS(ROW() + $A$9-9 + (ROW()-11)*4,2,1,1,"Internet"))," "))</f>
        <v xml:space="preserve"> </v>
      </c>
      <c r="K187" s="149" t="str">
        <f ca="1">IF(N(I187)&gt;0,VLOOKUP(I187,Hraci!$A$1:$I$1000,3,0)," ")</f>
        <v xml:space="preserve"> </v>
      </c>
      <c r="L187" s="149" t="str">
        <f ca="1">IF(N(I187)&gt;0,VLOOKUP(I187,Hraci!$A$1:$I$1000,5,0),IF(TYPE(INDIRECT(ADDRESS(ROW() + $A$9-9 + (ROW()-11)*4,3,1,1,"Internet")))&gt;1,INDIRECT(ADDRESS(ROW() + $A$9-9 + (ROW()-11)*4,3,1,1,"Internet"))," "))</f>
        <v xml:space="preserve"> </v>
      </c>
      <c r="M187" s="149">
        <f ca="1">IF(N(I187)=0,9999,VLOOKUP(I187,Hraci!$A$1:$I$1000,8,0))</f>
        <v>9999</v>
      </c>
      <c r="N187" s="150">
        <f ca="1">IF(N(I187)=0,0,VLOOKUP(I187,Hraci!$A$1:$I$1000,9,0))</f>
        <v>0</v>
      </c>
      <c r="O187" s="147" t="str">
        <f t="shared" ca="1" si="84"/>
        <v/>
      </c>
      <c r="P187" s="148" t="str">
        <f ca="1">IF(N(O187)&gt;0,VLOOKUP(O187,Hraci!$A$1:$I$1000,2,0),IF(TYPE(INDIRECT(ADDRESS(ROW() + $A$9-8 + (ROW()-11)*4,2,1,1,"Internet")))&gt;1,INDIRECT(ADDRESS(ROW() + $A$9-8 + (ROW()-11)*4,2,1,1,"Internet"))," "))</f>
        <v xml:space="preserve"> </v>
      </c>
      <c r="Q187" s="149" t="str">
        <f ca="1">IF(N(O187)&gt;0,VLOOKUP(O187,Hraci!$A$1:$I$1000,3,0)," ")</f>
        <v xml:space="preserve"> </v>
      </c>
      <c r="R187" s="149" t="str">
        <f ca="1">IF(N(O187)&gt;0,VLOOKUP(O187,Hraci!$A$1:$I$1000,5,0),IF(TYPE(INDIRECT(ADDRESS(ROW() + $A$9-8 + (ROW()-11)*4,3,1,1,"Internet")))&gt;1,INDIRECT(ADDRESS(ROW() + $A$9-8 + (ROW()-11)*4,3,1,1,"Internet"))," "))</f>
        <v xml:space="preserve"> </v>
      </c>
      <c r="S187" s="149">
        <f ca="1">IF(N(O187)=0,9999,VLOOKUP(O187,Hraci!$A$1:$I$1000,8,0))</f>
        <v>9999</v>
      </c>
      <c r="T187" s="150">
        <f ca="1">IF(N(O187)=0,0,VLOOKUP(O187,Hraci!$A$1:$I$1000,9,0))</f>
        <v>0</v>
      </c>
      <c r="U187" s="147" t="str">
        <f t="shared" ca="1" si="85"/>
        <v/>
      </c>
      <c r="V187" s="148" t="str">
        <f ca="1">IF(N(U187)&gt;0,VLOOKUP(U187,Hraci!$A$1:$I$1000,2,0),IF(TYPE(INDIRECT(ADDRESS(ROW() + $A$9-7 + (ROW()-11)*4,2,1,1,"Internet")))&gt;1,INDIRECT(ADDRESS(ROW() + $A$9-7 + (ROW()-11)*4,2,1,1,"Internet"))," "))</f>
        <v xml:space="preserve"> </v>
      </c>
      <c r="W187" s="149" t="str">
        <f ca="1">IF(N(U187)&gt;0,VLOOKUP(U187,Hraci!$A$1:$I$1000,3,0)," ")</f>
        <v xml:space="preserve"> </v>
      </c>
      <c r="X187" s="149" t="str">
        <f ca="1">IF(N(U187)&gt;0,VLOOKUP(U187,Hraci!$A$1:$I$1000,5,0),IF(TYPE(INDIRECT(ADDRESS(ROW() + $A$9-7 + (ROW()-11)*4,3,1,1,"Internet")))&gt;1,INDIRECT(ADDRESS(ROW() + $A$9-7 + (ROW()-11)*4,3,1,1,"Internet"))," "))</f>
        <v xml:space="preserve"> </v>
      </c>
      <c r="Y187" s="149">
        <f ca="1">IF(N(U187)=0,9999,VLOOKUP(U187,Hraci!$A$1:$I$1000,8,0))</f>
        <v>9999</v>
      </c>
      <c r="Z187" s="150">
        <f ca="1">IF(N(U187)=0,0,VLOOKUP(U187,Hraci!$A$1:$I$1000,9,0))</f>
        <v>0</v>
      </c>
      <c r="AA187" s="147" t="str">
        <f t="shared" ca="1" si="86"/>
        <v/>
      </c>
      <c r="AB187" s="148" t="str">
        <f ca="1">IF(N(AA187)&gt;0,VLOOKUP(AA187,Hraci!$A$1:$I$1000,2,0)," ")</f>
        <v xml:space="preserve"> </v>
      </c>
      <c r="AC187" s="149" t="str">
        <f ca="1">IF(N(AA187)&gt;0,VLOOKUP(AA187,Hraci!$A$1:$I$1000,3,0)," ")</f>
        <v xml:space="preserve"> </v>
      </c>
      <c r="AD187" s="149" t="str">
        <f ca="1">IF(N(AA187)&gt;0,VLOOKUP(AA187,Hraci!$A$1:$I$1000,5,0)," ")</f>
        <v xml:space="preserve"> </v>
      </c>
      <c r="AE187" s="149">
        <f ca="1">IF(N(AA187)=0,9999,VLOOKUP(AA187,Hraci!$A$1:$I$1000,8,0))</f>
        <v>9999</v>
      </c>
      <c r="AF187" s="150">
        <f ca="1">IF(N(AA187)=0,0,VLOOKUP(AA187,Hraci!$A$1:$I$1000,9,0))</f>
        <v>0</v>
      </c>
      <c r="AG187" s="147"/>
      <c r="AH187" s="151">
        <f ca="1">IF(TYPE(VLOOKUP(H187,Nasazení!$A$3:$E$130,5,0))&lt;4,VLOOKUP(H187,Nasazení!$A$3:$E$130,5,0),0)</f>
        <v>0</v>
      </c>
      <c r="AI187" s="152" t="str">
        <f ca="1">IF(N($AH187)&gt;0,VLOOKUP($AH187,Body!$A$4:$F$259,5,0),"")</f>
        <v/>
      </c>
      <c r="AJ187" s="153" t="str">
        <f ca="1">IF(N($AH187)&gt;0,VLOOKUP($AH187,Body!$A$4:$F$259,6,0),"")</f>
        <v/>
      </c>
      <c r="AK187" s="152" t="str">
        <f ca="1">IF(N($AH187)&gt;0,VLOOKUP($AH187,Body!$A$4:$F$259,2,0),"")</f>
        <v/>
      </c>
      <c r="AL187" s="154" t="str">
        <f t="shared" ca="1" si="87"/>
        <v/>
      </c>
      <c r="AM187" s="155">
        <f t="shared" ca="1" si="88"/>
        <v>0</v>
      </c>
      <c r="AN187" s="72">
        <f ca="1">IF(OR(TYPE(I187)&gt;1,TYPE(MATCH(I187,I188:I$203,0))&gt;1),0,MATCH(I187,I188:I$203,0))+IF(OR(TYPE(I187)&gt;1,TYPE(MATCH(I187,O$11:O$203,0))&gt;1),0,MATCH(I187,O$11:O$203,0))+IF(OR(TYPE(I187)&gt;1,TYPE(MATCH(I187,U$11:U$203,0))&gt;1),0,MATCH(I187,U$11:U$203,0))+IF(OR(TYPE(I187)&gt;1,TYPE(MATCH(I187,AA$11:AA$203,0))&gt;1),0,MATCH(I187,AA$11:AA$203,0))</f>
        <v>0</v>
      </c>
      <c r="AO187" s="72">
        <f ca="1">IF(OR(TYPE(O187)&gt;1,TYPE(MATCH(O187,I$11:I$203,0))&gt;1),0,MATCH(O187,I$11:I$203,0))+IF(OR(TYPE(O187)&gt;1,TYPE(MATCH(O187,O188:O$203,0))&gt;1),0,MATCH(O187,O188:O$203,0))+IF(OR(TYPE(O187)&gt;1,TYPE(MATCH(O187,U$11:U$203,0))&gt;1),0,MATCH(O187,U$11:U$203,0))+IF(OR(TYPE(O187)&gt;1,TYPE(MATCH(O187,AA$11:AA$203,0))&gt;1),0,MATCH(O187,AA$11:AA$203,0))</f>
        <v>0</v>
      </c>
      <c r="AP187" s="72">
        <f ca="1">IF(OR(TYPE(U187)&gt;1,TYPE(MATCH(U187,I$11:I$203,0))&gt;1),0,MATCH(U187,I$11:I$203,0))+IF(OR(TYPE(U187)&gt;1,TYPE(MATCH(U187,O$11:O$203,0))&gt;1),0,MATCH(U187,O$11:O$203,0))+IF(OR(TYPE(U187)&gt;1,TYPE(MATCH(U187,U188:U$203,0))&gt;1),0,MATCH(U187,U188:U$203,0))+IF(OR(TYPE(U187)&gt;1,TYPE(MATCH(U187,AA$11:AA$203,0))&gt;1),0,MATCH(U187,AA$11:AA$203,0))</f>
        <v>0</v>
      </c>
      <c r="AQ187" s="72">
        <f ca="1">IF(OR(TYPE(AA187)&gt;1,TYPE(MATCH(AA187,I$11:I$203,0))&gt;1),0,MATCH(AA187,I$11:I$203,0))+IF(OR(TYPE(AA187)&gt;1,TYPE(MATCH(AA187,O$11:O$203,0))&gt;1),0,MATCH(AA187,O$11:O$203,0))+IF(OR(TYPE(AA187)&gt;1,TYPE(MATCH(AA187,U$11:U$203,0))&gt;1),0,MATCH(U187,U$11:U$203,0))+IF(OR(TYPE(AA187)&gt;1,TYPE(MATCH(AA187,AA188:AA$203,0))&gt;1),0,MATCH(AA187,AA188:AA$203,0))</f>
        <v>0</v>
      </c>
      <c r="AR187" s="72">
        <f t="shared" ca="1" si="89"/>
        <v>0</v>
      </c>
    </row>
    <row r="188" spans="1:44" ht="14.25">
      <c r="A188" s="103">
        <f t="shared" ca="1" si="75"/>
        <v>0</v>
      </c>
      <c r="B188" s="103">
        <f t="shared" ca="1" si="76"/>
        <v>0</v>
      </c>
      <c r="C188" s="156">
        <f t="shared" ca="1" si="77"/>
        <v>0</v>
      </c>
      <c r="D188" s="103">
        <f t="shared" ca="1" si="78"/>
        <v>99999</v>
      </c>
      <c r="E188" s="103">
        <f t="shared" ca="1" si="79"/>
        <v>9999</v>
      </c>
      <c r="F188" s="104" t="str">
        <f t="shared" ca="1" si="80"/>
        <v>00000000000000000000302308</v>
      </c>
      <c r="G188" s="145">
        <f t="shared" ca="1" si="81"/>
        <v>1</v>
      </c>
      <c r="H188" s="146">
        <f t="shared" si="82"/>
        <v>178</v>
      </c>
      <c r="I188" s="147" t="str">
        <f t="shared" ca="1" si="83"/>
        <v/>
      </c>
      <c r="J188" s="148" t="str">
        <f ca="1">IF(N(I188)&gt;0,VLOOKUP(I188,Hraci!$A$1:$I$1000,2,0),IF(TYPE(INDIRECT(ADDRESS(ROW() + $A$9-9 + (ROW()-11)*4,2,1,1,"Internet")))&gt;1,INDIRECT(ADDRESS(ROW() + $A$9-9 + (ROW()-11)*4,2,1,1,"Internet"))," "))</f>
        <v xml:space="preserve"> </v>
      </c>
      <c r="K188" s="149" t="str">
        <f ca="1">IF(N(I188)&gt;0,VLOOKUP(I188,Hraci!$A$1:$I$1000,3,0)," ")</f>
        <v xml:space="preserve"> </v>
      </c>
      <c r="L188" s="149" t="str">
        <f ca="1">IF(N(I188)&gt;0,VLOOKUP(I188,Hraci!$A$1:$I$1000,5,0),IF(TYPE(INDIRECT(ADDRESS(ROW() + $A$9-9 + (ROW()-11)*4,3,1,1,"Internet")))&gt;1,INDIRECT(ADDRESS(ROW() + $A$9-9 + (ROW()-11)*4,3,1,1,"Internet"))," "))</f>
        <v xml:space="preserve"> </v>
      </c>
      <c r="M188" s="149">
        <f ca="1">IF(N(I188)=0,9999,VLOOKUP(I188,Hraci!$A$1:$I$1000,8,0))</f>
        <v>9999</v>
      </c>
      <c r="N188" s="150">
        <f ca="1">IF(N(I188)=0,0,VLOOKUP(I188,Hraci!$A$1:$I$1000,9,0))</f>
        <v>0</v>
      </c>
      <c r="O188" s="147" t="str">
        <f t="shared" ca="1" si="84"/>
        <v/>
      </c>
      <c r="P188" s="148" t="str">
        <f ca="1">IF(N(O188)&gt;0,VLOOKUP(O188,Hraci!$A$1:$I$1000,2,0),IF(TYPE(INDIRECT(ADDRESS(ROW() + $A$9-8 + (ROW()-11)*4,2,1,1,"Internet")))&gt;1,INDIRECT(ADDRESS(ROW() + $A$9-8 + (ROW()-11)*4,2,1,1,"Internet"))," "))</f>
        <v xml:space="preserve"> </v>
      </c>
      <c r="Q188" s="149" t="str">
        <f ca="1">IF(N(O188)&gt;0,VLOOKUP(O188,Hraci!$A$1:$I$1000,3,0)," ")</f>
        <v xml:space="preserve"> </v>
      </c>
      <c r="R188" s="149" t="str">
        <f ca="1">IF(N(O188)&gt;0,VLOOKUP(O188,Hraci!$A$1:$I$1000,5,0),IF(TYPE(INDIRECT(ADDRESS(ROW() + $A$9-8 + (ROW()-11)*4,3,1,1,"Internet")))&gt;1,INDIRECT(ADDRESS(ROW() + $A$9-8 + (ROW()-11)*4,3,1,1,"Internet"))," "))</f>
        <v xml:space="preserve"> </v>
      </c>
      <c r="S188" s="149">
        <f ca="1">IF(N(O188)=0,9999,VLOOKUP(O188,Hraci!$A$1:$I$1000,8,0))</f>
        <v>9999</v>
      </c>
      <c r="T188" s="150">
        <f ca="1">IF(N(O188)=0,0,VLOOKUP(O188,Hraci!$A$1:$I$1000,9,0))</f>
        <v>0</v>
      </c>
      <c r="U188" s="147" t="str">
        <f t="shared" ca="1" si="85"/>
        <v/>
      </c>
      <c r="V188" s="148" t="str">
        <f ca="1">IF(N(U188)&gt;0,VLOOKUP(U188,Hraci!$A$1:$I$1000,2,0),IF(TYPE(INDIRECT(ADDRESS(ROW() + $A$9-7 + (ROW()-11)*4,2,1,1,"Internet")))&gt;1,INDIRECT(ADDRESS(ROW() + $A$9-7 + (ROW()-11)*4,2,1,1,"Internet"))," "))</f>
        <v xml:space="preserve"> </v>
      </c>
      <c r="W188" s="149" t="str">
        <f ca="1">IF(N(U188)&gt;0,VLOOKUP(U188,Hraci!$A$1:$I$1000,3,0)," ")</f>
        <v xml:space="preserve"> </v>
      </c>
      <c r="X188" s="149" t="str">
        <f ca="1">IF(N(U188)&gt;0,VLOOKUP(U188,Hraci!$A$1:$I$1000,5,0),IF(TYPE(INDIRECT(ADDRESS(ROW() + $A$9-7 + (ROW()-11)*4,3,1,1,"Internet")))&gt;1,INDIRECT(ADDRESS(ROW() + $A$9-7 + (ROW()-11)*4,3,1,1,"Internet"))," "))</f>
        <v xml:space="preserve"> </v>
      </c>
      <c r="Y188" s="149">
        <f ca="1">IF(N(U188)=0,9999,VLOOKUP(U188,Hraci!$A$1:$I$1000,8,0))</f>
        <v>9999</v>
      </c>
      <c r="Z188" s="150">
        <f ca="1">IF(N(U188)=0,0,VLOOKUP(U188,Hraci!$A$1:$I$1000,9,0))</f>
        <v>0</v>
      </c>
      <c r="AA188" s="147" t="str">
        <f t="shared" ca="1" si="86"/>
        <v/>
      </c>
      <c r="AB188" s="148" t="str">
        <f ca="1">IF(N(AA188)&gt;0,VLOOKUP(AA188,Hraci!$A$1:$I$1000,2,0)," ")</f>
        <v xml:space="preserve"> </v>
      </c>
      <c r="AC188" s="149" t="str">
        <f ca="1">IF(N(AA188)&gt;0,VLOOKUP(AA188,Hraci!$A$1:$I$1000,3,0)," ")</f>
        <v xml:space="preserve"> </v>
      </c>
      <c r="AD188" s="149" t="str">
        <f ca="1">IF(N(AA188)&gt;0,VLOOKUP(AA188,Hraci!$A$1:$I$1000,5,0)," ")</f>
        <v xml:space="preserve"> </v>
      </c>
      <c r="AE188" s="149">
        <f ca="1">IF(N(AA188)=0,9999,VLOOKUP(AA188,Hraci!$A$1:$I$1000,8,0))</f>
        <v>9999</v>
      </c>
      <c r="AF188" s="150">
        <f ca="1">IF(N(AA188)=0,0,VLOOKUP(AA188,Hraci!$A$1:$I$1000,9,0))</f>
        <v>0</v>
      </c>
      <c r="AG188" s="147"/>
      <c r="AH188" s="151">
        <f ca="1">IF(TYPE(VLOOKUP(H188,Nasazení!$A$3:$E$130,5,0))&lt;4,VLOOKUP(H188,Nasazení!$A$3:$E$130,5,0),0)</f>
        <v>0</v>
      </c>
      <c r="AI188" s="152" t="str">
        <f ca="1">IF(N($AH188)&gt;0,VLOOKUP($AH188,Body!$A$4:$F$259,5,0),"")</f>
        <v/>
      </c>
      <c r="AJ188" s="153" t="str">
        <f ca="1">IF(N($AH188)&gt;0,VLOOKUP($AH188,Body!$A$4:$F$259,6,0),"")</f>
        <v/>
      </c>
      <c r="AK188" s="152" t="str">
        <f ca="1">IF(N($AH188)&gt;0,VLOOKUP($AH188,Body!$A$4:$F$259,2,0),"")</f>
        <v/>
      </c>
      <c r="AL188" s="154" t="str">
        <f t="shared" ca="1" si="87"/>
        <v/>
      </c>
      <c r="AM188" s="155">
        <f t="shared" ca="1" si="88"/>
        <v>0</v>
      </c>
      <c r="AN188" s="72">
        <f ca="1">IF(OR(TYPE(I188)&gt;1,TYPE(MATCH(I188,I189:I$203,0))&gt;1),0,MATCH(I188,I189:I$203,0))+IF(OR(TYPE(I188)&gt;1,TYPE(MATCH(I188,O$11:O$203,0))&gt;1),0,MATCH(I188,O$11:O$203,0))+IF(OR(TYPE(I188)&gt;1,TYPE(MATCH(I188,U$11:U$203,0))&gt;1),0,MATCH(I188,U$11:U$203,0))+IF(OR(TYPE(I188)&gt;1,TYPE(MATCH(I188,AA$11:AA$203,0))&gt;1),0,MATCH(I188,AA$11:AA$203,0))</f>
        <v>0</v>
      </c>
      <c r="AO188" s="72">
        <f ca="1">IF(OR(TYPE(O188)&gt;1,TYPE(MATCH(O188,I$11:I$203,0))&gt;1),0,MATCH(O188,I$11:I$203,0))+IF(OR(TYPE(O188)&gt;1,TYPE(MATCH(O188,O189:O$203,0))&gt;1),0,MATCH(O188,O189:O$203,0))+IF(OR(TYPE(O188)&gt;1,TYPE(MATCH(O188,U$11:U$203,0))&gt;1),0,MATCH(O188,U$11:U$203,0))+IF(OR(TYPE(O188)&gt;1,TYPE(MATCH(O188,AA$11:AA$203,0))&gt;1),0,MATCH(O188,AA$11:AA$203,0))</f>
        <v>0</v>
      </c>
      <c r="AP188" s="72">
        <f ca="1">IF(OR(TYPE(U188)&gt;1,TYPE(MATCH(U188,I$11:I$203,0))&gt;1),0,MATCH(U188,I$11:I$203,0))+IF(OR(TYPE(U188)&gt;1,TYPE(MATCH(U188,O$11:O$203,0))&gt;1),0,MATCH(U188,O$11:O$203,0))+IF(OR(TYPE(U188)&gt;1,TYPE(MATCH(U188,U189:U$203,0))&gt;1),0,MATCH(U188,U189:U$203,0))+IF(OR(TYPE(U188)&gt;1,TYPE(MATCH(U188,AA$11:AA$203,0))&gt;1),0,MATCH(U188,AA$11:AA$203,0))</f>
        <v>0</v>
      </c>
      <c r="AQ188" s="72">
        <f ca="1">IF(OR(TYPE(AA188)&gt;1,TYPE(MATCH(AA188,I$11:I$203,0))&gt;1),0,MATCH(AA188,I$11:I$203,0))+IF(OR(TYPE(AA188)&gt;1,TYPE(MATCH(AA188,O$11:O$203,0))&gt;1),0,MATCH(AA188,O$11:O$203,0))+IF(OR(TYPE(AA188)&gt;1,TYPE(MATCH(AA188,U$11:U$203,0))&gt;1),0,MATCH(U188,U$11:U$203,0))+IF(OR(TYPE(AA188)&gt;1,TYPE(MATCH(AA188,AA189:AA$203,0))&gt;1),0,MATCH(AA188,AA189:AA$203,0))</f>
        <v>0</v>
      </c>
      <c r="AR188" s="72">
        <f t="shared" ca="1" si="89"/>
        <v>0</v>
      </c>
    </row>
    <row r="189" spans="1:44" ht="14.25">
      <c r="A189" s="103">
        <f t="shared" ca="1" si="75"/>
        <v>0</v>
      </c>
      <c r="B189" s="103">
        <f t="shared" ca="1" si="76"/>
        <v>0</v>
      </c>
      <c r="C189" s="156">
        <f t="shared" ca="1" si="77"/>
        <v>0</v>
      </c>
      <c r="D189" s="103">
        <f t="shared" ca="1" si="78"/>
        <v>99999</v>
      </c>
      <c r="E189" s="103">
        <f t="shared" ca="1" si="79"/>
        <v>9999</v>
      </c>
      <c r="F189" s="104" t="str">
        <f t="shared" ca="1" si="80"/>
        <v>00000000000000000000102443</v>
      </c>
      <c r="G189" s="145">
        <f t="shared" ca="1" si="81"/>
        <v>1</v>
      </c>
      <c r="H189" s="146">
        <f t="shared" si="82"/>
        <v>179</v>
      </c>
      <c r="I189" s="147" t="str">
        <f t="shared" ca="1" si="83"/>
        <v/>
      </c>
      <c r="J189" s="148" t="str">
        <f ca="1">IF(N(I189)&gt;0,VLOOKUP(I189,Hraci!$A$1:$I$1000,2,0),IF(TYPE(INDIRECT(ADDRESS(ROW() + $A$9-9 + (ROW()-11)*4,2,1,1,"Internet")))&gt;1,INDIRECT(ADDRESS(ROW() + $A$9-9 + (ROW()-11)*4,2,1,1,"Internet"))," "))</f>
        <v xml:space="preserve"> </v>
      </c>
      <c r="K189" s="149" t="str">
        <f ca="1">IF(N(I189)&gt;0,VLOOKUP(I189,Hraci!$A$1:$I$1000,3,0)," ")</f>
        <v xml:space="preserve"> </v>
      </c>
      <c r="L189" s="149" t="str">
        <f ca="1">IF(N(I189)&gt;0,VLOOKUP(I189,Hraci!$A$1:$I$1000,5,0),IF(TYPE(INDIRECT(ADDRESS(ROW() + $A$9-9 + (ROW()-11)*4,3,1,1,"Internet")))&gt;1,INDIRECT(ADDRESS(ROW() + $A$9-9 + (ROW()-11)*4,3,1,1,"Internet"))," "))</f>
        <v xml:space="preserve"> </v>
      </c>
      <c r="M189" s="149">
        <f ca="1">IF(N(I189)=0,9999,VLOOKUP(I189,Hraci!$A$1:$I$1000,8,0))</f>
        <v>9999</v>
      </c>
      <c r="N189" s="150">
        <f ca="1">IF(N(I189)=0,0,VLOOKUP(I189,Hraci!$A$1:$I$1000,9,0))</f>
        <v>0</v>
      </c>
      <c r="O189" s="147" t="str">
        <f t="shared" ca="1" si="84"/>
        <v/>
      </c>
      <c r="P189" s="148" t="str">
        <f ca="1">IF(N(O189)&gt;0,VLOOKUP(O189,Hraci!$A$1:$I$1000,2,0),IF(TYPE(INDIRECT(ADDRESS(ROW() + $A$9-8 + (ROW()-11)*4,2,1,1,"Internet")))&gt;1,INDIRECT(ADDRESS(ROW() + $A$9-8 + (ROW()-11)*4,2,1,1,"Internet"))," "))</f>
        <v xml:space="preserve"> </v>
      </c>
      <c r="Q189" s="149" t="str">
        <f ca="1">IF(N(O189)&gt;0,VLOOKUP(O189,Hraci!$A$1:$I$1000,3,0)," ")</f>
        <v xml:space="preserve"> </v>
      </c>
      <c r="R189" s="149" t="str">
        <f ca="1">IF(N(O189)&gt;0,VLOOKUP(O189,Hraci!$A$1:$I$1000,5,0),IF(TYPE(INDIRECT(ADDRESS(ROW() + $A$9-8 + (ROW()-11)*4,3,1,1,"Internet")))&gt;1,INDIRECT(ADDRESS(ROW() + $A$9-8 + (ROW()-11)*4,3,1,1,"Internet"))," "))</f>
        <v xml:space="preserve"> </v>
      </c>
      <c r="S189" s="149">
        <f ca="1">IF(N(O189)=0,9999,VLOOKUP(O189,Hraci!$A$1:$I$1000,8,0))</f>
        <v>9999</v>
      </c>
      <c r="T189" s="150">
        <f ca="1">IF(N(O189)=0,0,VLOOKUP(O189,Hraci!$A$1:$I$1000,9,0))</f>
        <v>0</v>
      </c>
      <c r="U189" s="147" t="str">
        <f t="shared" ca="1" si="85"/>
        <v/>
      </c>
      <c r="V189" s="148" t="str">
        <f ca="1">IF(N(U189)&gt;0,VLOOKUP(U189,Hraci!$A$1:$I$1000,2,0),IF(TYPE(INDIRECT(ADDRESS(ROW() + $A$9-7 + (ROW()-11)*4,2,1,1,"Internet")))&gt;1,INDIRECT(ADDRESS(ROW() + $A$9-7 + (ROW()-11)*4,2,1,1,"Internet"))," "))</f>
        <v xml:space="preserve"> </v>
      </c>
      <c r="W189" s="149" t="str">
        <f ca="1">IF(N(U189)&gt;0,VLOOKUP(U189,Hraci!$A$1:$I$1000,3,0)," ")</f>
        <v xml:space="preserve"> </v>
      </c>
      <c r="X189" s="149" t="str">
        <f ca="1">IF(N(U189)&gt;0,VLOOKUP(U189,Hraci!$A$1:$I$1000,5,0),IF(TYPE(INDIRECT(ADDRESS(ROW() + $A$9-7 + (ROW()-11)*4,3,1,1,"Internet")))&gt;1,INDIRECT(ADDRESS(ROW() + $A$9-7 + (ROW()-11)*4,3,1,1,"Internet"))," "))</f>
        <v xml:space="preserve"> </v>
      </c>
      <c r="Y189" s="149">
        <f ca="1">IF(N(U189)=0,9999,VLOOKUP(U189,Hraci!$A$1:$I$1000,8,0))</f>
        <v>9999</v>
      </c>
      <c r="Z189" s="150">
        <f ca="1">IF(N(U189)=0,0,VLOOKUP(U189,Hraci!$A$1:$I$1000,9,0))</f>
        <v>0</v>
      </c>
      <c r="AA189" s="147" t="str">
        <f t="shared" ca="1" si="86"/>
        <v/>
      </c>
      <c r="AB189" s="148" t="str">
        <f ca="1">IF(N(AA189)&gt;0,VLOOKUP(AA189,Hraci!$A$1:$I$1000,2,0)," ")</f>
        <v xml:space="preserve"> </v>
      </c>
      <c r="AC189" s="149" t="str">
        <f ca="1">IF(N(AA189)&gt;0,VLOOKUP(AA189,Hraci!$A$1:$I$1000,3,0)," ")</f>
        <v xml:space="preserve"> </v>
      </c>
      <c r="AD189" s="149" t="str">
        <f ca="1">IF(N(AA189)&gt;0,VLOOKUP(AA189,Hraci!$A$1:$I$1000,5,0)," ")</f>
        <v xml:space="preserve"> </v>
      </c>
      <c r="AE189" s="149">
        <f ca="1">IF(N(AA189)=0,9999,VLOOKUP(AA189,Hraci!$A$1:$I$1000,8,0))</f>
        <v>9999</v>
      </c>
      <c r="AF189" s="150">
        <f ca="1">IF(N(AA189)=0,0,VLOOKUP(AA189,Hraci!$A$1:$I$1000,9,0))</f>
        <v>0</v>
      </c>
      <c r="AG189" s="147"/>
      <c r="AH189" s="151">
        <f ca="1">IF(TYPE(VLOOKUP(H189,Nasazení!$A$3:$E$130,5,0))&lt;4,VLOOKUP(H189,Nasazení!$A$3:$E$130,5,0),0)</f>
        <v>0</v>
      </c>
      <c r="AI189" s="152" t="str">
        <f ca="1">IF(N($AH189)&gt;0,VLOOKUP($AH189,Body!$A$4:$F$259,5,0),"")</f>
        <v/>
      </c>
      <c r="AJ189" s="153" t="str">
        <f ca="1">IF(N($AH189)&gt;0,VLOOKUP($AH189,Body!$A$4:$F$259,6,0),"")</f>
        <v/>
      </c>
      <c r="AK189" s="152" t="str">
        <f ca="1">IF(N($AH189)&gt;0,VLOOKUP($AH189,Body!$A$4:$F$259,2,0),"")</f>
        <v/>
      </c>
      <c r="AL189" s="154" t="str">
        <f t="shared" ca="1" si="87"/>
        <v/>
      </c>
      <c r="AM189" s="155">
        <f t="shared" ca="1" si="88"/>
        <v>0</v>
      </c>
      <c r="AN189" s="72">
        <f ca="1">IF(OR(TYPE(I189)&gt;1,TYPE(MATCH(I189,I190:I$203,0))&gt;1),0,MATCH(I189,I190:I$203,0))+IF(OR(TYPE(I189)&gt;1,TYPE(MATCH(I189,O$11:O$203,0))&gt;1),0,MATCH(I189,O$11:O$203,0))+IF(OR(TYPE(I189)&gt;1,TYPE(MATCH(I189,U$11:U$203,0))&gt;1),0,MATCH(I189,U$11:U$203,0))+IF(OR(TYPE(I189)&gt;1,TYPE(MATCH(I189,AA$11:AA$203,0))&gt;1),0,MATCH(I189,AA$11:AA$203,0))</f>
        <v>0</v>
      </c>
      <c r="AO189" s="72">
        <f ca="1">IF(OR(TYPE(O189)&gt;1,TYPE(MATCH(O189,I$11:I$203,0))&gt;1),0,MATCH(O189,I$11:I$203,0))+IF(OR(TYPE(O189)&gt;1,TYPE(MATCH(O189,O190:O$203,0))&gt;1),0,MATCH(O189,O190:O$203,0))+IF(OR(TYPE(O189)&gt;1,TYPE(MATCH(O189,U$11:U$203,0))&gt;1),0,MATCH(O189,U$11:U$203,0))+IF(OR(TYPE(O189)&gt;1,TYPE(MATCH(O189,AA$11:AA$203,0))&gt;1),0,MATCH(O189,AA$11:AA$203,0))</f>
        <v>0</v>
      </c>
      <c r="AP189" s="72">
        <f ca="1">IF(OR(TYPE(U189)&gt;1,TYPE(MATCH(U189,I$11:I$203,0))&gt;1),0,MATCH(U189,I$11:I$203,0))+IF(OR(TYPE(U189)&gt;1,TYPE(MATCH(U189,O$11:O$203,0))&gt;1),0,MATCH(U189,O$11:O$203,0))+IF(OR(TYPE(U189)&gt;1,TYPE(MATCH(U189,U190:U$203,0))&gt;1),0,MATCH(U189,U190:U$203,0))+IF(OR(TYPE(U189)&gt;1,TYPE(MATCH(U189,AA$11:AA$203,0))&gt;1),0,MATCH(U189,AA$11:AA$203,0))</f>
        <v>0</v>
      </c>
      <c r="AQ189" s="72">
        <f ca="1">IF(OR(TYPE(AA189)&gt;1,TYPE(MATCH(AA189,I$11:I$203,0))&gt;1),0,MATCH(AA189,I$11:I$203,0))+IF(OR(TYPE(AA189)&gt;1,TYPE(MATCH(AA189,O$11:O$203,0))&gt;1),0,MATCH(AA189,O$11:O$203,0))+IF(OR(TYPE(AA189)&gt;1,TYPE(MATCH(AA189,U$11:U$203,0))&gt;1),0,MATCH(U189,U$11:U$203,0))+IF(OR(TYPE(AA189)&gt;1,TYPE(MATCH(AA189,AA190:AA$203,0))&gt;1),0,MATCH(AA189,AA190:AA$203,0))</f>
        <v>0</v>
      </c>
      <c r="AR189" s="72">
        <f t="shared" ca="1" si="89"/>
        <v>0</v>
      </c>
    </row>
    <row r="190" spans="1:44" ht="14.25">
      <c r="A190" s="103">
        <f t="shared" ca="1" si="75"/>
        <v>0</v>
      </c>
      <c r="B190" s="103">
        <f t="shared" ca="1" si="76"/>
        <v>0</v>
      </c>
      <c r="C190" s="156">
        <f t="shared" ca="1" si="77"/>
        <v>0</v>
      </c>
      <c r="D190" s="103">
        <f t="shared" ca="1" si="78"/>
        <v>99999</v>
      </c>
      <c r="E190" s="103">
        <f t="shared" ca="1" si="79"/>
        <v>9999</v>
      </c>
      <c r="F190" s="104" t="str">
        <f t="shared" ca="1" si="80"/>
        <v>00000000000000000000202280</v>
      </c>
      <c r="G190" s="145">
        <f t="shared" ca="1" si="81"/>
        <v>1</v>
      </c>
      <c r="H190" s="146">
        <f t="shared" si="82"/>
        <v>180</v>
      </c>
      <c r="I190" s="147" t="str">
        <f t="shared" ca="1" si="83"/>
        <v/>
      </c>
      <c r="J190" s="148" t="str">
        <f ca="1">IF(N(I190)&gt;0,VLOOKUP(I190,Hraci!$A$1:$I$1000,2,0),IF(TYPE(INDIRECT(ADDRESS(ROW() + $A$9-9 + (ROW()-11)*4,2,1,1,"Internet")))&gt;1,INDIRECT(ADDRESS(ROW() + $A$9-9 + (ROW()-11)*4,2,1,1,"Internet"))," "))</f>
        <v xml:space="preserve"> </v>
      </c>
      <c r="K190" s="149" t="str">
        <f ca="1">IF(N(I190)&gt;0,VLOOKUP(I190,Hraci!$A$1:$I$1000,3,0)," ")</f>
        <v xml:space="preserve"> </v>
      </c>
      <c r="L190" s="149" t="str">
        <f ca="1">IF(N(I190)&gt;0,VLOOKUP(I190,Hraci!$A$1:$I$1000,5,0),IF(TYPE(INDIRECT(ADDRESS(ROW() + $A$9-9 + (ROW()-11)*4,3,1,1,"Internet")))&gt;1,INDIRECT(ADDRESS(ROW() + $A$9-9 + (ROW()-11)*4,3,1,1,"Internet"))," "))</f>
        <v xml:space="preserve"> </v>
      </c>
      <c r="M190" s="149">
        <f ca="1">IF(N(I190)=0,9999,VLOOKUP(I190,Hraci!$A$1:$I$1000,8,0))</f>
        <v>9999</v>
      </c>
      <c r="N190" s="150">
        <f ca="1">IF(N(I190)=0,0,VLOOKUP(I190,Hraci!$A$1:$I$1000,9,0))</f>
        <v>0</v>
      </c>
      <c r="O190" s="147" t="str">
        <f t="shared" ca="1" si="84"/>
        <v/>
      </c>
      <c r="P190" s="148" t="str">
        <f ca="1">IF(N(O190)&gt;0,VLOOKUP(O190,Hraci!$A$1:$I$1000,2,0),IF(TYPE(INDIRECT(ADDRESS(ROW() + $A$9-8 + (ROW()-11)*4,2,1,1,"Internet")))&gt;1,INDIRECT(ADDRESS(ROW() + $A$9-8 + (ROW()-11)*4,2,1,1,"Internet"))," "))</f>
        <v xml:space="preserve"> </v>
      </c>
      <c r="Q190" s="149" t="str">
        <f ca="1">IF(N(O190)&gt;0,VLOOKUP(O190,Hraci!$A$1:$I$1000,3,0)," ")</f>
        <v xml:space="preserve"> </v>
      </c>
      <c r="R190" s="149" t="str">
        <f ca="1">IF(N(O190)&gt;0,VLOOKUP(O190,Hraci!$A$1:$I$1000,5,0),IF(TYPE(INDIRECT(ADDRESS(ROW() + $A$9-8 + (ROW()-11)*4,3,1,1,"Internet")))&gt;1,INDIRECT(ADDRESS(ROW() + $A$9-8 + (ROW()-11)*4,3,1,1,"Internet"))," "))</f>
        <v xml:space="preserve"> </v>
      </c>
      <c r="S190" s="149">
        <f ca="1">IF(N(O190)=0,9999,VLOOKUP(O190,Hraci!$A$1:$I$1000,8,0))</f>
        <v>9999</v>
      </c>
      <c r="T190" s="150">
        <f ca="1">IF(N(O190)=0,0,VLOOKUP(O190,Hraci!$A$1:$I$1000,9,0))</f>
        <v>0</v>
      </c>
      <c r="U190" s="147" t="str">
        <f t="shared" ca="1" si="85"/>
        <v/>
      </c>
      <c r="V190" s="148" t="str">
        <f ca="1">IF(N(U190)&gt;0,VLOOKUP(U190,Hraci!$A$1:$I$1000,2,0),IF(TYPE(INDIRECT(ADDRESS(ROW() + $A$9-7 + (ROW()-11)*4,2,1,1,"Internet")))&gt;1,INDIRECT(ADDRESS(ROW() + $A$9-7 + (ROW()-11)*4,2,1,1,"Internet"))," "))</f>
        <v xml:space="preserve"> </v>
      </c>
      <c r="W190" s="149" t="str">
        <f ca="1">IF(N(U190)&gt;0,VLOOKUP(U190,Hraci!$A$1:$I$1000,3,0)," ")</f>
        <v xml:space="preserve"> </v>
      </c>
      <c r="X190" s="149" t="str">
        <f ca="1">IF(N(U190)&gt;0,VLOOKUP(U190,Hraci!$A$1:$I$1000,5,0),IF(TYPE(INDIRECT(ADDRESS(ROW() + $A$9-7 + (ROW()-11)*4,3,1,1,"Internet")))&gt;1,INDIRECT(ADDRESS(ROW() + $A$9-7 + (ROW()-11)*4,3,1,1,"Internet"))," "))</f>
        <v xml:space="preserve"> </v>
      </c>
      <c r="Y190" s="149">
        <f ca="1">IF(N(U190)=0,9999,VLOOKUP(U190,Hraci!$A$1:$I$1000,8,0))</f>
        <v>9999</v>
      </c>
      <c r="Z190" s="150">
        <f ca="1">IF(N(U190)=0,0,VLOOKUP(U190,Hraci!$A$1:$I$1000,9,0))</f>
        <v>0</v>
      </c>
      <c r="AA190" s="147" t="str">
        <f t="shared" ca="1" si="86"/>
        <v/>
      </c>
      <c r="AB190" s="148" t="str">
        <f ca="1">IF(N(AA190)&gt;0,VLOOKUP(AA190,Hraci!$A$1:$I$1000,2,0)," ")</f>
        <v xml:space="preserve"> </v>
      </c>
      <c r="AC190" s="149" t="str">
        <f ca="1">IF(N(AA190)&gt;0,VLOOKUP(AA190,Hraci!$A$1:$I$1000,3,0)," ")</f>
        <v xml:space="preserve"> </v>
      </c>
      <c r="AD190" s="149" t="str">
        <f ca="1">IF(N(AA190)&gt;0,VLOOKUP(AA190,Hraci!$A$1:$I$1000,5,0)," ")</f>
        <v xml:space="preserve"> </v>
      </c>
      <c r="AE190" s="149">
        <f ca="1">IF(N(AA190)=0,9999,VLOOKUP(AA190,Hraci!$A$1:$I$1000,8,0))</f>
        <v>9999</v>
      </c>
      <c r="AF190" s="150">
        <f ca="1">IF(N(AA190)=0,0,VLOOKUP(AA190,Hraci!$A$1:$I$1000,9,0))</f>
        <v>0</v>
      </c>
      <c r="AG190" s="147"/>
      <c r="AH190" s="151">
        <f ca="1">IF(TYPE(VLOOKUP(H190,Nasazení!$A$3:$E$130,5,0))&lt;4,VLOOKUP(H190,Nasazení!$A$3:$E$130,5,0),0)</f>
        <v>0</v>
      </c>
      <c r="AI190" s="152" t="str">
        <f ca="1">IF(N($AH190)&gt;0,VLOOKUP($AH190,Body!$A$4:$F$259,5,0),"")</f>
        <v/>
      </c>
      <c r="AJ190" s="153" t="str">
        <f ca="1">IF(N($AH190)&gt;0,VLOOKUP($AH190,Body!$A$4:$F$259,6,0),"")</f>
        <v/>
      </c>
      <c r="AK190" s="152" t="str">
        <f ca="1">IF(N($AH190)&gt;0,VLOOKUP($AH190,Body!$A$4:$F$259,2,0),"")</f>
        <v/>
      </c>
      <c r="AL190" s="154" t="str">
        <f t="shared" ca="1" si="87"/>
        <v/>
      </c>
      <c r="AM190" s="155">
        <f t="shared" ca="1" si="88"/>
        <v>0</v>
      </c>
      <c r="AN190" s="72">
        <f ca="1">IF(OR(TYPE(I190)&gt;1,TYPE(MATCH(I190,I191:I$203,0))&gt;1),0,MATCH(I190,I191:I$203,0))+IF(OR(TYPE(I190)&gt;1,TYPE(MATCH(I190,O$11:O$203,0))&gt;1),0,MATCH(I190,O$11:O$203,0))+IF(OR(TYPE(I190)&gt;1,TYPE(MATCH(I190,U$11:U$203,0))&gt;1),0,MATCH(I190,U$11:U$203,0))+IF(OR(TYPE(I190)&gt;1,TYPE(MATCH(I190,AA$11:AA$203,0))&gt;1),0,MATCH(I190,AA$11:AA$203,0))</f>
        <v>0</v>
      </c>
      <c r="AO190" s="72">
        <f ca="1">IF(OR(TYPE(O190)&gt;1,TYPE(MATCH(O190,I$11:I$203,0))&gt;1),0,MATCH(O190,I$11:I$203,0))+IF(OR(TYPE(O190)&gt;1,TYPE(MATCH(O190,O191:O$203,0))&gt;1),0,MATCH(O190,O191:O$203,0))+IF(OR(TYPE(O190)&gt;1,TYPE(MATCH(O190,U$11:U$203,0))&gt;1),0,MATCH(O190,U$11:U$203,0))+IF(OR(TYPE(O190)&gt;1,TYPE(MATCH(O190,AA$11:AA$203,0))&gt;1),0,MATCH(O190,AA$11:AA$203,0))</f>
        <v>0</v>
      </c>
      <c r="AP190" s="72">
        <f ca="1">IF(OR(TYPE(U190)&gt;1,TYPE(MATCH(U190,I$11:I$203,0))&gt;1),0,MATCH(U190,I$11:I$203,0))+IF(OR(TYPE(U190)&gt;1,TYPE(MATCH(U190,O$11:O$203,0))&gt;1),0,MATCH(U190,O$11:O$203,0))+IF(OR(TYPE(U190)&gt;1,TYPE(MATCH(U190,U191:U$203,0))&gt;1),0,MATCH(U190,U191:U$203,0))+IF(OR(TYPE(U190)&gt;1,TYPE(MATCH(U190,AA$11:AA$203,0))&gt;1),0,MATCH(U190,AA$11:AA$203,0))</f>
        <v>0</v>
      </c>
      <c r="AQ190" s="72">
        <f ca="1">IF(OR(TYPE(AA190)&gt;1,TYPE(MATCH(AA190,I$11:I$203,0))&gt;1),0,MATCH(AA190,I$11:I$203,0))+IF(OR(TYPE(AA190)&gt;1,TYPE(MATCH(AA190,O$11:O$203,0))&gt;1),0,MATCH(AA190,O$11:O$203,0))+IF(OR(TYPE(AA190)&gt;1,TYPE(MATCH(AA190,U$11:U$203,0))&gt;1),0,MATCH(U190,U$11:U$203,0))+IF(OR(TYPE(AA190)&gt;1,TYPE(MATCH(AA190,AA191:AA$203,0))&gt;1),0,MATCH(AA190,AA191:AA$203,0))</f>
        <v>0</v>
      </c>
      <c r="AR190" s="72">
        <f t="shared" ca="1" si="89"/>
        <v>0</v>
      </c>
    </row>
    <row r="191" spans="1:44" ht="14.25">
      <c r="A191" s="103">
        <f t="shared" ca="1" si="75"/>
        <v>0</v>
      </c>
      <c r="B191" s="103">
        <f t="shared" ca="1" si="76"/>
        <v>0</v>
      </c>
      <c r="C191" s="156">
        <f t="shared" ca="1" si="77"/>
        <v>0</v>
      </c>
      <c r="D191" s="103">
        <f t="shared" ca="1" si="78"/>
        <v>99999</v>
      </c>
      <c r="E191" s="103">
        <f t="shared" ca="1" si="79"/>
        <v>9999</v>
      </c>
      <c r="F191" s="104" t="str">
        <f t="shared" ca="1" si="80"/>
        <v>00000000000000000000300519</v>
      </c>
      <c r="G191" s="145">
        <f t="shared" ca="1" si="81"/>
        <v>1</v>
      </c>
      <c r="H191" s="146">
        <f t="shared" si="82"/>
        <v>181</v>
      </c>
      <c r="I191" s="147" t="str">
        <f t="shared" ca="1" si="83"/>
        <v/>
      </c>
      <c r="J191" s="148" t="str">
        <f ca="1">IF(N(I191)&gt;0,VLOOKUP(I191,Hraci!$A$1:$I$1000,2,0),IF(TYPE(INDIRECT(ADDRESS(ROW() + $A$9-9 + (ROW()-11)*4,2,1,1,"Internet")))&gt;1,INDIRECT(ADDRESS(ROW() + $A$9-9 + (ROW()-11)*4,2,1,1,"Internet"))," "))</f>
        <v xml:space="preserve"> </v>
      </c>
      <c r="K191" s="149" t="str">
        <f ca="1">IF(N(I191)&gt;0,VLOOKUP(I191,Hraci!$A$1:$I$1000,3,0)," ")</f>
        <v xml:space="preserve"> </v>
      </c>
      <c r="L191" s="149" t="str">
        <f ca="1">IF(N(I191)&gt;0,VLOOKUP(I191,Hraci!$A$1:$I$1000,5,0),IF(TYPE(INDIRECT(ADDRESS(ROW() + $A$9-9 + (ROW()-11)*4,3,1,1,"Internet")))&gt;1,INDIRECT(ADDRESS(ROW() + $A$9-9 + (ROW()-11)*4,3,1,1,"Internet"))," "))</f>
        <v xml:space="preserve"> </v>
      </c>
      <c r="M191" s="149">
        <f ca="1">IF(N(I191)=0,9999,VLOOKUP(I191,Hraci!$A$1:$I$1000,8,0))</f>
        <v>9999</v>
      </c>
      <c r="N191" s="150">
        <f ca="1">IF(N(I191)=0,0,VLOOKUP(I191,Hraci!$A$1:$I$1000,9,0))</f>
        <v>0</v>
      </c>
      <c r="O191" s="147" t="str">
        <f t="shared" ca="1" si="84"/>
        <v/>
      </c>
      <c r="P191" s="148" t="str">
        <f ca="1">IF(N(O191)&gt;0,VLOOKUP(O191,Hraci!$A$1:$I$1000,2,0),IF(TYPE(INDIRECT(ADDRESS(ROW() + $A$9-8 + (ROW()-11)*4,2,1,1,"Internet")))&gt;1,INDIRECT(ADDRESS(ROW() + $A$9-8 + (ROW()-11)*4,2,1,1,"Internet"))," "))</f>
        <v xml:space="preserve"> </v>
      </c>
      <c r="Q191" s="149" t="str">
        <f ca="1">IF(N(O191)&gt;0,VLOOKUP(O191,Hraci!$A$1:$I$1000,3,0)," ")</f>
        <v xml:space="preserve"> </v>
      </c>
      <c r="R191" s="149" t="str">
        <f ca="1">IF(N(O191)&gt;0,VLOOKUP(O191,Hraci!$A$1:$I$1000,5,0),IF(TYPE(INDIRECT(ADDRESS(ROW() + $A$9-8 + (ROW()-11)*4,3,1,1,"Internet")))&gt;1,INDIRECT(ADDRESS(ROW() + $A$9-8 + (ROW()-11)*4,3,1,1,"Internet"))," "))</f>
        <v xml:space="preserve"> </v>
      </c>
      <c r="S191" s="149">
        <f ca="1">IF(N(O191)=0,9999,VLOOKUP(O191,Hraci!$A$1:$I$1000,8,0))</f>
        <v>9999</v>
      </c>
      <c r="T191" s="150">
        <f ca="1">IF(N(O191)=0,0,VLOOKUP(O191,Hraci!$A$1:$I$1000,9,0))</f>
        <v>0</v>
      </c>
      <c r="U191" s="147" t="str">
        <f t="shared" ca="1" si="85"/>
        <v/>
      </c>
      <c r="V191" s="148" t="str">
        <f ca="1">IF(N(U191)&gt;0,VLOOKUP(U191,Hraci!$A$1:$I$1000,2,0),IF(TYPE(INDIRECT(ADDRESS(ROW() + $A$9-7 + (ROW()-11)*4,2,1,1,"Internet")))&gt;1,INDIRECT(ADDRESS(ROW() + $A$9-7 + (ROW()-11)*4,2,1,1,"Internet"))," "))</f>
        <v xml:space="preserve"> </v>
      </c>
      <c r="W191" s="149" t="str">
        <f ca="1">IF(N(U191)&gt;0,VLOOKUP(U191,Hraci!$A$1:$I$1000,3,0)," ")</f>
        <v xml:space="preserve"> </v>
      </c>
      <c r="X191" s="149" t="str">
        <f ca="1">IF(N(U191)&gt;0,VLOOKUP(U191,Hraci!$A$1:$I$1000,5,0),IF(TYPE(INDIRECT(ADDRESS(ROW() + $A$9-7 + (ROW()-11)*4,3,1,1,"Internet")))&gt;1,INDIRECT(ADDRESS(ROW() + $A$9-7 + (ROW()-11)*4,3,1,1,"Internet"))," "))</f>
        <v xml:space="preserve"> </v>
      </c>
      <c r="Y191" s="149">
        <f ca="1">IF(N(U191)=0,9999,VLOOKUP(U191,Hraci!$A$1:$I$1000,8,0))</f>
        <v>9999</v>
      </c>
      <c r="Z191" s="150">
        <f ca="1">IF(N(U191)=0,0,VLOOKUP(U191,Hraci!$A$1:$I$1000,9,0))</f>
        <v>0</v>
      </c>
      <c r="AA191" s="147" t="str">
        <f t="shared" ca="1" si="86"/>
        <v/>
      </c>
      <c r="AB191" s="148" t="str">
        <f ca="1">IF(N(AA191)&gt;0,VLOOKUP(AA191,Hraci!$A$1:$I$1000,2,0)," ")</f>
        <v xml:space="preserve"> </v>
      </c>
      <c r="AC191" s="149" t="str">
        <f ca="1">IF(N(AA191)&gt;0,VLOOKUP(AA191,Hraci!$A$1:$I$1000,3,0)," ")</f>
        <v xml:space="preserve"> </v>
      </c>
      <c r="AD191" s="149" t="str">
        <f ca="1">IF(N(AA191)&gt;0,VLOOKUP(AA191,Hraci!$A$1:$I$1000,5,0)," ")</f>
        <v xml:space="preserve"> </v>
      </c>
      <c r="AE191" s="149">
        <f ca="1">IF(N(AA191)=0,9999,VLOOKUP(AA191,Hraci!$A$1:$I$1000,8,0))</f>
        <v>9999</v>
      </c>
      <c r="AF191" s="150">
        <f ca="1">IF(N(AA191)=0,0,VLOOKUP(AA191,Hraci!$A$1:$I$1000,9,0))</f>
        <v>0</v>
      </c>
      <c r="AG191" s="147"/>
      <c r="AH191" s="151">
        <f ca="1">IF(TYPE(VLOOKUP(H191,Nasazení!$A$3:$E$130,5,0))&lt;4,VLOOKUP(H191,Nasazení!$A$3:$E$130,5,0),0)</f>
        <v>0</v>
      </c>
      <c r="AI191" s="152" t="str">
        <f ca="1">IF(N($AH191)&gt;0,VLOOKUP($AH191,Body!$A$4:$F$259,5,0),"")</f>
        <v/>
      </c>
      <c r="AJ191" s="153" t="str">
        <f ca="1">IF(N($AH191)&gt;0,VLOOKUP($AH191,Body!$A$4:$F$259,6,0),"")</f>
        <v/>
      </c>
      <c r="AK191" s="152" t="str">
        <f ca="1">IF(N($AH191)&gt;0,VLOOKUP($AH191,Body!$A$4:$F$259,2,0),"")</f>
        <v/>
      </c>
      <c r="AL191" s="154" t="str">
        <f t="shared" ca="1" si="87"/>
        <v/>
      </c>
      <c r="AM191" s="155">
        <f t="shared" ca="1" si="88"/>
        <v>0</v>
      </c>
      <c r="AN191" s="72">
        <f ca="1">IF(OR(TYPE(I191)&gt;1,TYPE(MATCH(I191,I192:I$203,0))&gt;1),0,MATCH(I191,I192:I$203,0))+IF(OR(TYPE(I191)&gt;1,TYPE(MATCH(I191,O$11:O$203,0))&gt;1),0,MATCH(I191,O$11:O$203,0))+IF(OR(TYPE(I191)&gt;1,TYPE(MATCH(I191,U$11:U$203,0))&gt;1),0,MATCH(I191,U$11:U$203,0))+IF(OR(TYPE(I191)&gt;1,TYPE(MATCH(I191,AA$11:AA$203,0))&gt;1),0,MATCH(I191,AA$11:AA$203,0))</f>
        <v>0</v>
      </c>
      <c r="AO191" s="72">
        <f ca="1">IF(OR(TYPE(O191)&gt;1,TYPE(MATCH(O191,I$11:I$203,0))&gt;1),0,MATCH(O191,I$11:I$203,0))+IF(OR(TYPE(O191)&gt;1,TYPE(MATCH(O191,O192:O$203,0))&gt;1),0,MATCH(O191,O192:O$203,0))+IF(OR(TYPE(O191)&gt;1,TYPE(MATCH(O191,U$11:U$203,0))&gt;1),0,MATCH(O191,U$11:U$203,0))+IF(OR(TYPE(O191)&gt;1,TYPE(MATCH(O191,AA$11:AA$203,0))&gt;1),0,MATCH(O191,AA$11:AA$203,0))</f>
        <v>0</v>
      </c>
      <c r="AP191" s="72">
        <f ca="1">IF(OR(TYPE(U191)&gt;1,TYPE(MATCH(U191,I$11:I$203,0))&gt;1),0,MATCH(U191,I$11:I$203,0))+IF(OR(TYPE(U191)&gt;1,TYPE(MATCH(U191,O$11:O$203,0))&gt;1),0,MATCH(U191,O$11:O$203,0))+IF(OR(TYPE(U191)&gt;1,TYPE(MATCH(U191,U192:U$203,0))&gt;1),0,MATCH(U191,U192:U$203,0))+IF(OR(TYPE(U191)&gt;1,TYPE(MATCH(U191,AA$11:AA$203,0))&gt;1),0,MATCH(U191,AA$11:AA$203,0))</f>
        <v>0</v>
      </c>
      <c r="AQ191" s="72">
        <f ca="1">IF(OR(TYPE(AA191)&gt;1,TYPE(MATCH(AA191,I$11:I$203,0))&gt;1),0,MATCH(AA191,I$11:I$203,0))+IF(OR(TYPE(AA191)&gt;1,TYPE(MATCH(AA191,O$11:O$203,0))&gt;1),0,MATCH(AA191,O$11:O$203,0))+IF(OR(TYPE(AA191)&gt;1,TYPE(MATCH(AA191,U$11:U$203,0))&gt;1),0,MATCH(U191,U$11:U$203,0))+IF(OR(TYPE(AA191)&gt;1,TYPE(MATCH(AA191,AA192:AA$203,0))&gt;1),0,MATCH(AA191,AA192:AA$203,0))</f>
        <v>0</v>
      </c>
      <c r="AR191" s="72">
        <f t="shared" ca="1" si="89"/>
        <v>0</v>
      </c>
    </row>
    <row r="192" spans="1:44" ht="14.25">
      <c r="A192" s="103">
        <f t="shared" ca="1" si="75"/>
        <v>0</v>
      </c>
      <c r="B192" s="103">
        <f t="shared" ca="1" si="76"/>
        <v>0</v>
      </c>
      <c r="C192" s="156">
        <f t="shared" ca="1" si="77"/>
        <v>0</v>
      </c>
      <c r="D192" s="103">
        <f t="shared" ca="1" si="78"/>
        <v>99999</v>
      </c>
      <c r="E192" s="103">
        <f t="shared" ca="1" si="79"/>
        <v>9999</v>
      </c>
      <c r="F192" s="104" t="str">
        <f t="shared" ca="1" si="80"/>
        <v>00000000000000000000854513</v>
      </c>
      <c r="G192" s="145">
        <f t="shared" ca="1" si="81"/>
        <v>1</v>
      </c>
      <c r="H192" s="146">
        <f t="shared" si="82"/>
        <v>182</v>
      </c>
      <c r="I192" s="147" t="str">
        <f t="shared" ca="1" si="83"/>
        <v/>
      </c>
      <c r="J192" s="148" t="str">
        <f ca="1">IF(N(I192)&gt;0,VLOOKUP(I192,Hraci!$A$1:$I$1000,2,0),IF(TYPE(INDIRECT(ADDRESS(ROW() + $A$9-9 + (ROW()-11)*4,2,1,1,"Internet")))&gt;1,INDIRECT(ADDRESS(ROW() + $A$9-9 + (ROW()-11)*4,2,1,1,"Internet"))," "))</f>
        <v xml:space="preserve"> </v>
      </c>
      <c r="K192" s="149" t="str">
        <f ca="1">IF(N(I192)&gt;0,VLOOKUP(I192,Hraci!$A$1:$I$1000,3,0)," ")</f>
        <v xml:space="preserve"> </v>
      </c>
      <c r="L192" s="149" t="str">
        <f ca="1">IF(N(I192)&gt;0,VLOOKUP(I192,Hraci!$A$1:$I$1000,5,0),IF(TYPE(INDIRECT(ADDRESS(ROW() + $A$9-9 + (ROW()-11)*4,3,1,1,"Internet")))&gt;1,INDIRECT(ADDRESS(ROW() + $A$9-9 + (ROW()-11)*4,3,1,1,"Internet"))," "))</f>
        <v xml:space="preserve"> </v>
      </c>
      <c r="M192" s="149">
        <f ca="1">IF(N(I192)=0,9999,VLOOKUP(I192,Hraci!$A$1:$I$1000,8,0))</f>
        <v>9999</v>
      </c>
      <c r="N192" s="150">
        <f ca="1">IF(N(I192)=0,0,VLOOKUP(I192,Hraci!$A$1:$I$1000,9,0))</f>
        <v>0</v>
      </c>
      <c r="O192" s="147" t="str">
        <f t="shared" ca="1" si="84"/>
        <v/>
      </c>
      <c r="P192" s="148" t="str">
        <f ca="1">IF(N(O192)&gt;0,VLOOKUP(O192,Hraci!$A$1:$I$1000,2,0),IF(TYPE(INDIRECT(ADDRESS(ROW() + $A$9-8 + (ROW()-11)*4,2,1,1,"Internet")))&gt;1,INDIRECT(ADDRESS(ROW() + $A$9-8 + (ROW()-11)*4,2,1,1,"Internet"))," "))</f>
        <v xml:space="preserve"> </v>
      </c>
      <c r="Q192" s="149" t="str">
        <f ca="1">IF(N(O192)&gt;0,VLOOKUP(O192,Hraci!$A$1:$I$1000,3,0)," ")</f>
        <v xml:space="preserve"> </v>
      </c>
      <c r="R192" s="149" t="str">
        <f ca="1">IF(N(O192)&gt;0,VLOOKUP(O192,Hraci!$A$1:$I$1000,5,0),IF(TYPE(INDIRECT(ADDRESS(ROW() + $A$9-8 + (ROW()-11)*4,3,1,1,"Internet")))&gt;1,INDIRECT(ADDRESS(ROW() + $A$9-8 + (ROW()-11)*4,3,1,1,"Internet"))," "))</f>
        <v xml:space="preserve"> </v>
      </c>
      <c r="S192" s="149">
        <f ca="1">IF(N(O192)=0,9999,VLOOKUP(O192,Hraci!$A$1:$I$1000,8,0))</f>
        <v>9999</v>
      </c>
      <c r="T192" s="150">
        <f ca="1">IF(N(O192)=0,0,VLOOKUP(O192,Hraci!$A$1:$I$1000,9,0))</f>
        <v>0</v>
      </c>
      <c r="U192" s="147" t="str">
        <f t="shared" ca="1" si="85"/>
        <v/>
      </c>
      <c r="V192" s="148" t="str">
        <f ca="1">IF(N(U192)&gt;0,VLOOKUP(U192,Hraci!$A$1:$I$1000,2,0),IF(TYPE(INDIRECT(ADDRESS(ROW() + $A$9-7 + (ROW()-11)*4,2,1,1,"Internet")))&gt;1,INDIRECT(ADDRESS(ROW() + $A$9-7 + (ROW()-11)*4,2,1,1,"Internet"))," "))</f>
        <v xml:space="preserve"> </v>
      </c>
      <c r="W192" s="149" t="str">
        <f ca="1">IF(N(U192)&gt;0,VLOOKUP(U192,Hraci!$A$1:$I$1000,3,0)," ")</f>
        <v xml:space="preserve"> </v>
      </c>
      <c r="X192" s="149" t="str">
        <f ca="1">IF(N(U192)&gt;0,VLOOKUP(U192,Hraci!$A$1:$I$1000,5,0),IF(TYPE(INDIRECT(ADDRESS(ROW() + $A$9-7 + (ROW()-11)*4,3,1,1,"Internet")))&gt;1,INDIRECT(ADDRESS(ROW() + $A$9-7 + (ROW()-11)*4,3,1,1,"Internet"))," "))</f>
        <v xml:space="preserve"> </v>
      </c>
      <c r="Y192" s="149">
        <f ca="1">IF(N(U192)=0,9999,VLOOKUP(U192,Hraci!$A$1:$I$1000,8,0))</f>
        <v>9999</v>
      </c>
      <c r="Z192" s="150">
        <f ca="1">IF(N(U192)=0,0,VLOOKUP(U192,Hraci!$A$1:$I$1000,9,0))</f>
        <v>0</v>
      </c>
      <c r="AA192" s="147" t="str">
        <f t="shared" ca="1" si="86"/>
        <v/>
      </c>
      <c r="AB192" s="148" t="str">
        <f ca="1">IF(N(AA192)&gt;0,VLOOKUP(AA192,Hraci!$A$1:$I$1000,2,0)," ")</f>
        <v xml:space="preserve"> </v>
      </c>
      <c r="AC192" s="149" t="str">
        <f ca="1">IF(N(AA192)&gt;0,VLOOKUP(AA192,Hraci!$A$1:$I$1000,3,0)," ")</f>
        <v xml:space="preserve"> </v>
      </c>
      <c r="AD192" s="149" t="str">
        <f ca="1">IF(N(AA192)&gt;0,VLOOKUP(AA192,Hraci!$A$1:$I$1000,5,0)," ")</f>
        <v xml:space="preserve"> </v>
      </c>
      <c r="AE192" s="149">
        <f ca="1">IF(N(AA192)=0,9999,VLOOKUP(AA192,Hraci!$A$1:$I$1000,8,0))</f>
        <v>9999</v>
      </c>
      <c r="AF192" s="150">
        <f ca="1">IF(N(AA192)=0,0,VLOOKUP(AA192,Hraci!$A$1:$I$1000,9,0))</f>
        <v>0</v>
      </c>
      <c r="AG192" s="147"/>
      <c r="AH192" s="151">
        <f ca="1">IF(TYPE(VLOOKUP(H192,Nasazení!$A$3:$E$130,5,0))&lt;4,VLOOKUP(H192,Nasazení!$A$3:$E$130,5,0),0)</f>
        <v>0</v>
      </c>
      <c r="AI192" s="152" t="str">
        <f ca="1">IF(N($AH192)&gt;0,VLOOKUP($AH192,Body!$A$4:$F$259,5,0),"")</f>
        <v/>
      </c>
      <c r="AJ192" s="153" t="str">
        <f ca="1">IF(N($AH192)&gt;0,VLOOKUP($AH192,Body!$A$4:$F$259,6,0),"")</f>
        <v/>
      </c>
      <c r="AK192" s="152" t="str">
        <f ca="1">IF(N($AH192)&gt;0,VLOOKUP($AH192,Body!$A$4:$F$259,2,0),"")</f>
        <v/>
      </c>
      <c r="AL192" s="154" t="str">
        <f t="shared" ca="1" si="87"/>
        <v/>
      </c>
      <c r="AM192" s="155">
        <f t="shared" ca="1" si="88"/>
        <v>0</v>
      </c>
      <c r="AN192" s="72">
        <f ca="1">IF(OR(TYPE(I192)&gt;1,TYPE(MATCH(I192,I193:I$203,0))&gt;1),0,MATCH(I192,I193:I$203,0))+IF(OR(TYPE(I192)&gt;1,TYPE(MATCH(I192,O$11:O$203,0))&gt;1),0,MATCH(I192,O$11:O$203,0))+IF(OR(TYPE(I192)&gt;1,TYPE(MATCH(I192,U$11:U$203,0))&gt;1),0,MATCH(I192,U$11:U$203,0))+IF(OR(TYPE(I192)&gt;1,TYPE(MATCH(I192,AA$11:AA$203,0))&gt;1),0,MATCH(I192,AA$11:AA$203,0))</f>
        <v>0</v>
      </c>
      <c r="AO192" s="72">
        <f ca="1">IF(OR(TYPE(O192)&gt;1,TYPE(MATCH(O192,I$11:I$203,0))&gt;1),0,MATCH(O192,I$11:I$203,0))+IF(OR(TYPE(O192)&gt;1,TYPE(MATCH(O192,O193:O$203,0))&gt;1),0,MATCH(O192,O193:O$203,0))+IF(OR(TYPE(O192)&gt;1,TYPE(MATCH(O192,U$11:U$203,0))&gt;1),0,MATCH(O192,U$11:U$203,0))+IF(OR(TYPE(O192)&gt;1,TYPE(MATCH(O192,AA$11:AA$203,0))&gt;1),0,MATCH(O192,AA$11:AA$203,0))</f>
        <v>0</v>
      </c>
      <c r="AP192" s="72">
        <f ca="1">IF(OR(TYPE(U192)&gt;1,TYPE(MATCH(U192,I$11:I$203,0))&gt;1),0,MATCH(U192,I$11:I$203,0))+IF(OR(TYPE(U192)&gt;1,TYPE(MATCH(U192,O$11:O$203,0))&gt;1),0,MATCH(U192,O$11:O$203,0))+IF(OR(TYPE(U192)&gt;1,TYPE(MATCH(U192,U193:U$203,0))&gt;1),0,MATCH(U192,U193:U$203,0))+IF(OR(TYPE(U192)&gt;1,TYPE(MATCH(U192,AA$11:AA$203,0))&gt;1),0,MATCH(U192,AA$11:AA$203,0))</f>
        <v>0</v>
      </c>
      <c r="AQ192" s="72">
        <f ca="1">IF(OR(TYPE(AA192)&gt;1,TYPE(MATCH(AA192,I$11:I$203,0))&gt;1),0,MATCH(AA192,I$11:I$203,0))+IF(OR(TYPE(AA192)&gt;1,TYPE(MATCH(AA192,O$11:O$203,0))&gt;1),0,MATCH(AA192,O$11:O$203,0))+IF(OR(TYPE(AA192)&gt;1,TYPE(MATCH(AA192,U$11:U$203,0))&gt;1),0,MATCH(U192,U$11:U$203,0))+IF(OR(TYPE(AA192)&gt;1,TYPE(MATCH(AA192,AA193:AA$203,0))&gt;1),0,MATCH(AA192,AA193:AA$203,0))</f>
        <v>0</v>
      </c>
      <c r="AR192" s="72">
        <f t="shared" ca="1" si="89"/>
        <v>0</v>
      </c>
    </row>
    <row r="193" spans="1:44" ht="14.25">
      <c r="A193" s="103">
        <f t="shared" ca="1" si="75"/>
        <v>0</v>
      </c>
      <c r="B193" s="103">
        <f t="shared" ca="1" si="76"/>
        <v>0</v>
      </c>
      <c r="C193" s="156">
        <f t="shared" ca="1" si="77"/>
        <v>0</v>
      </c>
      <c r="D193" s="103">
        <f t="shared" ca="1" si="78"/>
        <v>99999</v>
      </c>
      <c r="E193" s="103">
        <f t="shared" ca="1" si="79"/>
        <v>9999</v>
      </c>
      <c r="F193" s="104" t="str">
        <f t="shared" ca="1" si="80"/>
        <v>00000000000000000000088668</v>
      </c>
      <c r="G193" s="145">
        <f t="shared" ca="1" si="81"/>
        <v>1</v>
      </c>
      <c r="H193" s="146">
        <f t="shared" si="82"/>
        <v>183</v>
      </c>
      <c r="I193" s="147" t="str">
        <f t="shared" ca="1" si="83"/>
        <v/>
      </c>
      <c r="J193" s="148" t="str">
        <f ca="1">IF(N(I193)&gt;0,VLOOKUP(I193,Hraci!$A$1:$I$1000,2,0),IF(TYPE(INDIRECT(ADDRESS(ROW() + $A$9-9 + (ROW()-11)*4,2,1,1,"Internet")))&gt;1,INDIRECT(ADDRESS(ROW() + $A$9-9 + (ROW()-11)*4,2,1,1,"Internet"))," "))</f>
        <v xml:space="preserve"> </v>
      </c>
      <c r="K193" s="149" t="str">
        <f ca="1">IF(N(I193)&gt;0,VLOOKUP(I193,Hraci!$A$1:$I$1000,3,0)," ")</f>
        <v xml:space="preserve"> </v>
      </c>
      <c r="L193" s="149" t="str">
        <f ca="1">IF(N(I193)&gt;0,VLOOKUP(I193,Hraci!$A$1:$I$1000,5,0),IF(TYPE(INDIRECT(ADDRESS(ROW() + $A$9-9 + (ROW()-11)*4,3,1,1,"Internet")))&gt;1,INDIRECT(ADDRESS(ROW() + $A$9-9 + (ROW()-11)*4,3,1,1,"Internet"))," "))</f>
        <v xml:space="preserve"> </v>
      </c>
      <c r="M193" s="149">
        <f ca="1">IF(N(I193)=0,9999,VLOOKUP(I193,Hraci!$A$1:$I$1000,8,0))</f>
        <v>9999</v>
      </c>
      <c r="N193" s="150">
        <f ca="1">IF(N(I193)=0,0,VLOOKUP(I193,Hraci!$A$1:$I$1000,9,0))</f>
        <v>0</v>
      </c>
      <c r="O193" s="147" t="str">
        <f t="shared" ca="1" si="84"/>
        <v/>
      </c>
      <c r="P193" s="148" t="str">
        <f ca="1">IF(N(O193)&gt;0,VLOOKUP(O193,Hraci!$A$1:$I$1000,2,0),IF(TYPE(INDIRECT(ADDRESS(ROW() + $A$9-8 + (ROW()-11)*4,2,1,1,"Internet")))&gt;1,INDIRECT(ADDRESS(ROW() + $A$9-8 + (ROW()-11)*4,2,1,1,"Internet"))," "))</f>
        <v xml:space="preserve"> </v>
      </c>
      <c r="Q193" s="149" t="str">
        <f ca="1">IF(N(O193)&gt;0,VLOOKUP(O193,Hraci!$A$1:$I$1000,3,0)," ")</f>
        <v xml:space="preserve"> </v>
      </c>
      <c r="R193" s="149" t="str">
        <f ca="1">IF(N(O193)&gt;0,VLOOKUP(O193,Hraci!$A$1:$I$1000,5,0),IF(TYPE(INDIRECT(ADDRESS(ROW() + $A$9-8 + (ROW()-11)*4,3,1,1,"Internet")))&gt;1,INDIRECT(ADDRESS(ROW() + $A$9-8 + (ROW()-11)*4,3,1,1,"Internet"))," "))</f>
        <v xml:space="preserve"> </v>
      </c>
      <c r="S193" s="149">
        <f ca="1">IF(N(O193)=0,9999,VLOOKUP(O193,Hraci!$A$1:$I$1000,8,0))</f>
        <v>9999</v>
      </c>
      <c r="T193" s="150">
        <f ca="1">IF(N(O193)=0,0,VLOOKUP(O193,Hraci!$A$1:$I$1000,9,0))</f>
        <v>0</v>
      </c>
      <c r="U193" s="147" t="str">
        <f t="shared" ca="1" si="85"/>
        <v/>
      </c>
      <c r="V193" s="148" t="str">
        <f ca="1">IF(N(U193)&gt;0,VLOOKUP(U193,Hraci!$A$1:$I$1000,2,0),IF(TYPE(INDIRECT(ADDRESS(ROW() + $A$9-7 + (ROW()-11)*4,2,1,1,"Internet")))&gt;1,INDIRECT(ADDRESS(ROW() + $A$9-7 + (ROW()-11)*4,2,1,1,"Internet"))," "))</f>
        <v xml:space="preserve"> </v>
      </c>
      <c r="W193" s="149" t="str">
        <f ca="1">IF(N(U193)&gt;0,VLOOKUP(U193,Hraci!$A$1:$I$1000,3,0)," ")</f>
        <v xml:space="preserve"> </v>
      </c>
      <c r="X193" s="149" t="str">
        <f ca="1">IF(N(U193)&gt;0,VLOOKUP(U193,Hraci!$A$1:$I$1000,5,0),IF(TYPE(INDIRECT(ADDRESS(ROW() + $A$9-7 + (ROW()-11)*4,3,1,1,"Internet")))&gt;1,INDIRECT(ADDRESS(ROW() + $A$9-7 + (ROW()-11)*4,3,1,1,"Internet"))," "))</f>
        <v xml:space="preserve"> </v>
      </c>
      <c r="Y193" s="149">
        <f ca="1">IF(N(U193)=0,9999,VLOOKUP(U193,Hraci!$A$1:$I$1000,8,0))</f>
        <v>9999</v>
      </c>
      <c r="Z193" s="150">
        <f ca="1">IF(N(U193)=0,0,VLOOKUP(U193,Hraci!$A$1:$I$1000,9,0))</f>
        <v>0</v>
      </c>
      <c r="AA193" s="147" t="str">
        <f t="shared" ca="1" si="86"/>
        <v/>
      </c>
      <c r="AB193" s="148" t="str">
        <f ca="1">IF(N(AA193)&gt;0,VLOOKUP(AA193,Hraci!$A$1:$I$1000,2,0)," ")</f>
        <v xml:space="preserve"> </v>
      </c>
      <c r="AC193" s="149" t="str">
        <f ca="1">IF(N(AA193)&gt;0,VLOOKUP(AA193,Hraci!$A$1:$I$1000,3,0)," ")</f>
        <v xml:space="preserve"> </v>
      </c>
      <c r="AD193" s="149" t="str">
        <f ca="1">IF(N(AA193)&gt;0,VLOOKUP(AA193,Hraci!$A$1:$I$1000,5,0)," ")</f>
        <v xml:space="preserve"> </v>
      </c>
      <c r="AE193" s="149">
        <f ca="1">IF(N(AA193)=0,9999,VLOOKUP(AA193,Hraci!$A$1:$I$1000,8,0))</f>
        <v>9999</v>
      </c>
      <c r="AF193" s="150">
        <f ca="1">IF(N(AA193)=0,0,VLOOKUP(AA193,Hraci!$A$1:$I$1000,9,0))</f>
        <v>0</v>
      </c>
      <c r="AG193" s="147"/>
      <c r="AH193" s="151">
        <f ca="1">IF(TYPE(VLOOKUP(H193,Nasazení!$A$3:$E$130,5,0))&lt;4,VLOOKUP(H193,Nasazení!$A$3:$E$130,5,0),0)</f>
        <v>0</v>
      </c>
      <c r="AI193" s="152" t="str">
        <f ca="1">IF(N($AH193)&gt;0,VLOOKUP($AH193,Body!$A$4:$F$259,5,0),"")</f>
        <v/>
      </c>
      <c r="AJ193" s="153" t="str">
        <f ca="1">IF(N($AH193)&gt;0,VLOOKUP($AH193,Body!$A$4:$F$259,6,0),"")</f>
        <v/>
      </c>
      <c r="AK193" s="152" t="str">
        <f ca="1">IF(N($AH193)&gt;0,VLOOKUP($AH193,Body!$A$4:$F$259,2,0),"")</f>
        <v/>
      </c>
      <c r="AL193" s="154" t="str">
        <f t="shared" ca="1" si="87"/>
        <v/>
      </c>
      <c r="AM193" s="155">
        <f t="shared" ca="1" si="88"/>
        <v>0</v>
      </c>
      <c r="AN193" s="72">
        <f ca="1">IF(OR(TYPE(I193)&gt;1,TYPE(MATCH(I193,I194:I$203,0))&gt;1),0,MATCH(I193,I194:I$203,0))+IF(OR(TYPE(I193)&gt;1,TYPE(MATCH(I193,O$11:O$203,0))&gt;1),0,MATCH(I193,O$11:O$203,0))+IF(OR(TYPE(I193)&gt;1,TYPE(MATCH(I193,U$11:U$203,0))&gt;1),0,MATCH(I193,U$11:U$203,0))+IF(OR(TYPE(I193)&gt;1,TYPE(MATCH(I193,AA$11:AA$203,0))&gt;1),0,MATCH(I193,AA$11:AA$203,0))</f>
        <v>0</v>
      </c>
      <c r="AO193" s="72">
        <f ca="1">IF(OR(TYPE(O193)&gt;1,TYPE(MATCH(O193,I$11:I$203,0))&gt;1),0,MATCH(O193,I$11:I$203,0))+IF(OR(TYPE(O193)&gt;1,TYPE(MATCH(O193,O194:O$203,0))&gt;1),0,MATCH(O193,O194:O$203,0))+IF(OR(TYPE(O193)&gt;1,TYPE(MATCH(O193,U$11:U$203,0))&gt;1),0,MATCH(O193,U$11:U$203,0))+IF(OR(TYPE(O193)&gt;1,TYPE(MATCH(O193,AA$11:AA$203,0))&gt;1),0,MATCH(O193,AA$11:AA$203,0))</f>
        <v>0</v>
      </c>
      <c r="AP193" s="72">
        <f ca="1">IF(OR(TYPE(U193)&gt;1,TYPE(MATCH(U193,I$11:I$203,0))&gt;1),0,MATCH(U193,I$11:I$203,0))+IF(OR(TYPE(U193)&gt;1,TYPE(MATCH(U193,O$11:O$203,0))&gt;1),0,MATCH(U193,O$11:O$203,0))+IF(OR(TYPE(U193)&gt;1,TYPE(MATCH(U193,U194:U$203,0))&gt;1),0,MATCH(U193,U194:U$203,0))+IF(OR(TYPE(U193)&gt;1,TYPE(MATCH(U193,AA$11:AA$203,0))&gt;1),0,MATCH(U193,AA$11:AA$203,0))</f>
        <v>0</v>
      </c>
      <c r="AQ193" s="72">
        <f ca="1">IF(OR(TYPE(AA193)&gt;1,TYPE(MATCH(AA193,I$11:I$203,0))&gt;1),0,MATCH(AA193,I$11:I$203,0))+IF(OR(TYPE(AA193)&gt;1,TYPE(MATCH(AA193,O$11:O$203,0))&gt;1),0,MATCH(AA193,O$11:O$203,0))+IF(OR(TYPE(AA193)&gt;1,TYPE(MATCH(AA193,U$11:U$203,0))&gt;1),0,MATCH(U193,U$11:U$203,0))+IF(OR(TYPE(AA193)&gt;1,TYPE(MATCH(AA193,AA194:AA$203,0))&gt;1),0,MATCH(AA193,AA194:AA$203,0))</f>
        <v>0</v>
      </c>
      <c r="AR193" s="72">
        <f t="shared" ca="1" si="89"/>
        <v>0</v>
      </c>
    </row>
    <row r="194" spans="1:44" ht="14.25">
      <c r="A194" s="103">
        <f t="shared" ca="1" si="75"/>
        <v>0</v>
      </c>
      <c r="B194" s="103">
        <f t="shared" ca="1" si="76"/>
        <v>0</v>
      </c>
      <c r="C194" s="156">
        <f t="shared" ca="1" si="77"/>
        <v>0</v>
      </c>
      <c r="D194" s="103">
        <f t="shared" ca="1" si="78"/>
        <v>99999</v>
      </c>
      <c r="E194" s="103">
        <f t="shared" ca="1" si="79"/>
        <v>9999</v>
      </c>
      <c r="F194" s="104" t="str">
        <f t="shared" ca="1" si="80"/>
        <v>00000000000000000000283295</v>
      </c>
      <c r="G194" s="145">
        <f t="shared" ca="1" si="81"/>
        <v>1</v>
      </c>
      <c r="H194" s="146">
        <f t="shared" si="82"/>
        <v>184</v>
      </c>
      <c r="I194" s="147" t="str">
        <f t="shared" ca="1" si="83"/>
        <v/>
      </c>
      <c r="J194" s="148" t="str">
        <f ca="1">IF(N(I194)&gt;0,VLOOKUP(I194,Hraci!$A$1:$I$1000,2,0),IF(TYPE(INDIRECT(ADDRESS(ROW() + $A$9-9 + (ROW()-11)*4,2,1,1,"Internet")))&gt;1,INDIRECT(ADDRESS(ROW() + $A$9-9 + (ROW()-11)*4,2,1,1,"Internet"))," "))</f>
        <v xml:space="preserve"> </v>
      </c>
      <c r="K194" s="149" t="str">
        <f ca="1">IF(N(I194)&gt;0,VLOOKUP(I194,Hraci!$A$1:$I$1000,3,0)," ")</f>
        <v xml:space="preserve"> </v>
      </c>
      <c r="L194" s="149" t="str">
        <f ca="1">IF(N(I194)&gt;0,VLOOKUP(I194,Hraci!$A$1:$I$1000,5,0),IF(TYPE(INDIRECT(ADDRESS(ROW() + $A$9-9 + (ROW()-11)*4,3,1,1,"Internet")))&gt;1,INDIRECT(ADDRESS(ROW() + $A$9-9 + (ROW()-11)*4,3,1,1,"Internet"))," "))</f>
        <v xml:space="preserve"> </v>
      </c>
      <c r="M194" s="149">
        <f ca="1">IF(N(I194)=0,9999,VLOOKUP(I194,Hraci!$A$1:$I$1000,8,0))</f>
        <v>9999</v>
      </c>
      <c r="N194" s="150">
        <f ca="1">IF(N(I194)=0,0,VLOOKUP(I194,Hraci!$A$1:$I$1000,9,0))</f>
        <v>0</v>
      </c>
      <c r="O194" s="147" t="str">
        <f t="shared" ca="1" si="84"/>
        <v/>
      </c>
      <c r="P194" s="148" t="str">
        <f ca="1">IF(N(O194)&gt;0,VLOOKUP(O194,Hraci!$A$1:$I$1000,2,0),IF(TYPE(INDIRECT(ADDRESS(ROW() + $A$9-8 + (ROW()-11)*4,2,1,1,"Internet")))&gt;1,INDIRECT(ADDRESS(ROW() + $A$9-8 + (ROW()-11)*4,2,1,1,"Internet"))," "))</f>
        <v xml:space="preserve"> </v>
      </c>
      <c r="Q194" s="149" t="str">
        <f ca="1">IF(N(O194)&gt;0,VLOOKUP(O194,Hraci!$A$1:$I$1000,3,0)," ")</f>
        <v xml:space="preserve"> </v>
      </c>
      <c r="R194" s="149" t="str">
        <f ca="1">IF(N(O194)&gt;0,VLOOKUP(O194,Hraci!$A$1:$I$1000,5,0),IF(TYPE(INDIRECT(ADDRESS(ROW() + $A$9-8 + (ROW()-11)*4,3,1,1,"Internet")))&gt;1,INDIRECT(ADDRESS(ROW() + $A$9-8 + (ROW()-11)*4,3,1,1,"Internet"))," "))</f>
        <v xml:space="preserve"> </v>
      </c>
      <c r="S194" s="149">
        <f ca="1">IF(N(O194)=0,9999,VLOOKUP(O194,Hraci!$A$1:$I$1000,8,0))</f>
        <v>9999</v>
      </c>
      <c r="T194" s="150">
        <f ca="1">IF(N(O194)=0,0,VLOOKUP(O194,Hraci!$A$1:$I$1000,9,0))</f>
        <v>0</v>
      </c>
      <c r="U194" s="147" t="str">
        <f t="shared" ca="1" si="85"/>
        <v/>
      </c>
      <c r="V194" s="148" t="str">
        <f ca="1">IF(N(U194)&gt;0,VLOOKUP(U194,Hraci!$A$1:$I$1000,2,0),IF(TYPE(INDIRECT(ADDRESS(ROW() + $A$9-7 + (ROW()-11)*4,2,1,1,"Internet")))&gt;1,INDIRECT(ADDRESS(ROW() + $A$9-7 + (ROW()-11)*4,2,1,1,"Internet"))," "))</f>
        <v xml:space="preserve"> </v>
      </c>
      <c r="W194" s="149" t="str">
        <f ca="1">IF(N(U194)&gt;0,VLOOKUP(U194,Hraci!$A$1:$I$1000,3,0)," ")</f>
        <v xml:space="preserve"> </v>
      </c>
      <c r="X194" s="149" t="str">
        <f ca="1">IF(N(U194)&gt;0,VLOOKUP(U194,Hraci!$A$1:$I$1000,5,0),IF(TYPE(INDIRECT(ADDRESS(ROW() + $A$9-7 + (ROW()-11)*4,3,1,1,"Internet")))&gt;1,INDIRECT(ADDRESS(ROW() + $A$9-7 + (ROW()-11)*4,3,1,1,"Internet"))," "))</f>
        <v xml:space="preserve"> </v>
      </c>
      <c r="Y194" s="149">
        <f ca="1">IF(N(U194)=0,9999,VLOOKUP(U194,Hraci!$A$1:$I$1000,8,0))</f>
        <v>9999</v>
      </c>
      <c r="Z194" s="150">
        <f ca="1">IF(N(U194)=0,0,VLOOKUP(U194,Hraci!$A$1:$I$1000,9,0))</f>
        <v>0</v>
      </c>
      <c r="AA194" s="147" t="str">
        <f t="shared" ca="1" si="86"/>
        <v/>
      </c>
      <c r="AB194" s="148" t="str">
        <f ca="1">IF(N(AA194)&gt;0,VLOOKUP(AA194,Hraci!$A$1:$I$1000,2,0)," ")</f>
        <v xml:space="preserve"> </v>
      </c>
      <c r="AC194" s="149" t="str">
        <f ca="1">IF(N(AA194)&gt;0,VLOOKUP(AA194,Hraci!$A$1:$I$1000,3,0)," ")</f>
        <v xml:space="preserve"> </v>
      </c>
      <c r="AD194" s="149" t="str">
        <f ca="1">IF(N(AA194)&gt;0,VLOOKUP(AA194,Hraci!$A$1:$I$1000,5,0)," ")</f>
        <v xml:space="preserve"> </v>
      </c>
      <c r="AE194" s="149">
        <f ca="1">IF(N(AA194)=0,9999,VLOOKUP(AA194,Hraci!$A$1:$I$1000,8,0))</f>
        <v>9999</v>
      </c>
      <c r="AF194" s="150">
        <f ca="1">IF(N(AA194)=0,0,VLOOKUP(AA194,Hraci!$A$1:$I$1000,9,0))</f>
        <v>0</v>
      </c>
      <c r="AG194" s="147"/>
      <c r="AH194" s="151">
        <f ca="1">IF(TYPE(VLOOKUP(H194,Nasazení!$A$3:$E$130,5,0))&lt;4,VLOOKUP(H194,Nasazení!$A$3:$E$130,5,0),0)</f>
        <v>0</v>
      </c>
      <c r="AI194" s="152" t="str">
        <f ca="1">IF(N($AH194)&gt;0,VLOOKUP($AH194,Body!$A$4:$F$259,5,0),"")</f>
        <v/>
      </c>
      <c r="AJ194" s="153" t="str">
        <f ca="1">IF(N($AH194)&gt;0,VLOOKUP($AH194,Body!$A$4:$F$259,6,0),"")</f>
        <v/>
      </c>
      <c r="AK194" s="152" t="str">
        <f ca="1">IF(N($AH194)&gt;0,VLOOKUP($AH194,Body!$A$4:$F$259,2,0),"")</f>
        <v/>
      </c>
      <c r="AL194" s="154" t="str">
        <f t="shared" ca="1" si="87"/>
        <v/>
      </c>
      <c r="AM194" s="155">
        <f t="shared" ca="1" si="88"/>
        <v>0</v>
      </c>
      <c r="AN194" s="72">
        <f ca="1">IF(OR(TYPE(I194)&gt;1,TYPE(MATCH(I194,I195:I$203,0))&gt;1),0,MATCH(I194,I195:I$203,0))+IF(OR(TYPE(I194)&gt;1,TYPE(MATCH(I194,O$11:O$203,0))&gt;1),0,MATCH(I194,O$11:O$203,0))+IF(OR(TYPE(I194)&gt;1,TYPE(MATCH(I194,U$11:U$203,0))&gt;1),0,MATCH(I194,U$11:U$203,0))+IF(OR(TYPE(I194)&gt;1,TYPE(MATCH(I194,AA$11:AA$203,0))&gt;1),0,MATCH(I194,AA$11:AA$203,0))</f>
        <v>0</v>
      </c>
      <c r="AO194" s="72">
        <f ca="1">IF(OR(TYPE(O194)&gt;1,TYPE(MATCH(O194,I$11:I$203,0))&gt;1),0,MATCH(O194,I$11:I$203,0))+IF(OR(TYPE(O194)&gt;1,TYPE(MATCH(O194,O195:O$203,0))&gt;1),0,MATCH(O194,O195:O$203,0))+IF(OR(TYPE(O194)&gt;1,TYPE(MATCH(O194,U$11:U$203,0))&gt;1),0,MATCH(O194,U$11:U$203,0))+IF(OR(TYPE(O194)&gt;1,TYPE(MATCH(O194,AA$11:AA$203,0))&gt;1),0,MATCH(O194,AA$11:AA$203,0))</f>
        <v>0</v>
      </c>
      <c r="AP194" s="72">
        <f ca="1">IF(OR(TYPE(U194)&gt;1,TYPE(MATCH(U194,I$11:I$203,0))&gt;1),0,MATCH(U194,I$11:I$203,0))+IF(OR(TYPE(U194)&gt;1,TYPE(MATCH(U194,O$11:O$203,0))&gt;1),0,MATCH(U194,O$11:O$203,0))+IF(OR(TYPE(U194)&gt;1,TYPE(MATCH(U194,U195:U$203,0))&gt;1),0,MATCH(U194,U195:U$203,0))+IF(OR(TYPE(U194)&gt;1,TYPE(MATCH(U194,AA$11:AA$203,0))&gt;1),0,MATCH(U194,AA$11:AA$203,0))</f>
        <v>0</v>
      </c>
      <c r="AQ194" s="72">
        <f ca="1">IF(OR(TYPE(AA194)&gt;1,TYPE(MATCH(AA194,I$11:I$203,0))&gt;1),0,MATCH(AA194,I$11:I$203,0))+IF(OR(TYPE(AA194)&gt;1,TYPE(MATCH(AA194,O$11:O$203,0))&gt;1),0,MATCH(AA194,O$11:O$203,0))+IF(OR(TYPE(AA194)&gt;1,TYPE(MATCH(AA194,U$11:U$203,0))&gt;1),0,MATCH(U194,U$11:U$203,0))+IF(OR(TYPE(AA194)&gt;1,TYPE(MATCH(AA194,AA195:AA$203,0))&gt;1),0,MATCH(AA194,AA195:AA$203,0))</f>
        <v>0</v>
      </c>
      <c r="AR194" s="72">
        <f t="shared" ca="1" si="89"/>
        <v>0</v>
      </c>
    </row>
    <row r="195" spans="1:44" ht="14.25">
      <c r="A195" s="103">
        <f t="shared" ca="1" si="75"/>
        <v>0</v>
      </c>
      <c r="B195" s="103">
        <f t="shared" ca="1" si="76"/>
        <v>0</v>
      </c>
      <c r="C195" s="156">
        <f t="shared" ca="1" si="77"/>
        <v>0</v>
      </c>
      <c r="D195" s="103">
        <f t="shared" ca="1" si="78"/>
        <v>99999</v>
      </c>
      <c r="E195" s="103">
        <f t="shared" ca="1" si="79"/>
        <v>9999</v>
      </c>
      <c r="F195" s="104" t="str">
        <f t="shared" ca="1" si="80"/>
        <v>00000000000000000000924933</v>
      </c>
      <c r="G195" s="145">
        <f t="shared" ca="1" si="81"/>
        <v>1</v>
      </c>
      <c r="H195" s="146">
        <f t="shared" si="82"/>
        <v>185</v>
      </c>
      <c r="I195" s="147" t="str">
        <f t="shared" ca="1" si="83"/>
        <v/>
      </c>
      <c r="J195" s="148" t="str">
        <f ca="1">IF(N(I195)&gt;0,VLOOKUP(I195,Hraci!$A$1:$I$1000,2,0),IF(TYPE(INDIRECT(ADDRESS(ROW() + $A$9-9 + (ROW()-11)*4,2,1,1,"Internet")))&gt;1,INDIRECT(ADDRESS(ROW() + $A$9-9 + (ROW()-11)*4,2,1,1,"Internet"))," "))</f>
        <v xml:space="preserve"> </v>
      </c>
      <c r="K195" s="149" t="str">
        <f ca="1">IF(N(I195)&gt;0,VLOOKUP(I195,Hraci!$A$1:$I$1000,3,0)," ")</f>
        <v xml:space="preserve"> </v>
      </c>
      <c r="L195" s="149" t="str">
        <f ca="1">IF(N(I195)&gt;0,VLOOKUP(I195,Hraci!$A$1:$I$1000,5,0),IF(TYPE(INDIRECT(ADDRESS(ROW() + $A$9-9 + (ROW()-11)*4,3,1,1,"Internet")))&gt;1,INDIRECT(ADDRESS(ROW() + $A$9-9 + (ROW()-11)*4,3,1,1,"Internet"))," "))</f>
        <v xml:space="preserve"> </v>
      </c>
      <c r="M195" s="149">
        <f ca="1">IF(N(I195)=0,9999,VLOOKUP(I195,Hraci!$A$1:$I$1000,8,0))</f>
        <v>9999</v>
      </c>
      <c r="N195" s="150">
        <f ca="1">IF(N(I195)=0,0,VLOOKUP(I195,Hraci!$A$1:$I$1000,9,0))</f>
        <v>0</v>
      </c>
      <c r="O195" s="147" t="str">
        <f t="shared" ca="1" si="84"/>
        <v/>
      </c>
      <c r="P195" s="148" t="str">
        <f ca="1">IF(N(O195)&gt;0,VLOOKUP(O195,Hraci!$A$1:$I$1000,2,0),IF(TYPE(INDIRECT(ADDRESS(ROW() + $A$9-8 + (ROW()-11)*4,2,1,1,"Internet")))&gt;1,INDIRECT(ADDRESS(ROW() + $A$9-8 + (ROW()-11)*4,2,1,1,"Internet"))," "))</f>
        <v xml:space="preserve"> </v>
      </c>
      <c r="Q195" s="149" t="str">
        <f ca="1">IF(N(O195)&gt;0,VLOOKUP(O195,Hraci!$A$1:$I$1000,3,0)," ")</f>
        <v xml:space="preserve"> </v>
      </c>
      <c r="R195" s="149" t="str">
        <f ca="1">IF(N(O195)&gt;0,VLOOKUP(O195,Hraci!$A$1:$I$1000,5,0),IF(TYPE(INDIRECT(ADDRESS(ROW() + $A$9-8 + (ROW()-11)*4,3,1,1,"Internet")))&gt;1,INDIRECT(ADDRESS(ROW() + $A$9-8 + (ROW()-11)*4,3,1,1,"Internet"))," "))</f>
        <v xml:space="preserve"> </v>
      </c>
      <c r="S195" s="149">
        <f ca="1">IF(N(O195)=0,9999,VLOOKUP(O195,Hraci!$A$1:$I$1000,8,0))</f>
        <v>9999</v>
      </c>
      <c r="T195" s="150">
        <f ca="1">IF(N(O195)=0,0,VLOOKUP(O195,Hraci!$A$1:$I$1000,9,0))</f>
        <v>0</v>
      </c>
      <c r="U195" s="147" t="str">
        <f t="shared" ca="1" si="85"/>
        <v/>
      </c>
      <c r="V195" s="148" t="str">
        <f ca="1">IF(N(U195)&gt;0,VLOOKUP(U195,Hraci!$A$1:$I$1000,2,0),IF(TYPE(INDIRECT(ADDRESS(ROW() + $A$9-7 + (ROW()-11)*4,2,1,1,"Internet")))&gt;1,INDIRECT(ADDRESS(ROW() + $A$9-7 + (ROW()-11)*4,2,1,1,"Internet"))," "))</f>
        <v xml:space="preserve"> </v>
      </c>
      <c r="W195" s="149" t="str">
        <f ca="1">IF(N(U195)&gt;0,VLOOKUP(U195,Hraci!$A$1:$I$1000,3,0)," ")</f>
        <v xml:space="preserve"> </v>
      </c>
      <c r="X195" s="149" t="str">
        <f ca="1">IF(N(U195)&gt;0,VLOOKUP(U195,Hraci!$A$1:$I$1000,5,0),IF(TYPE(INDIRECT(ADDRESS(ROW() + $A$9-7 + (ROW()-11)*4,3,1,1,"Internet")))&gt;1,INDIRECT(ADDRESS(ROW() + $A$9-7 + (ROW()-11)*4,3,1,1,"Internet"))," "))</f>
        <v xml:space="preserve"> </v>
      </c>
      <c r="Y195" s="149">
        <f ca="1">IF(N(U195)=0,9999,VLOOKUP(U195,Hraci!$A$1:$I$1000,8,0))</f>
        <v>9999</v>
      </c>
      <c r="Z195" s="150">
        <f ca="1">IF(N(U195)=0,0,VLOOKUP(U195,Hraci!$A$1:$I$1000,9,0))</f>
        <v>0</v>
      </c>
      <c r="AA195" s="147" t="str">
        <f t="shared" ca="1" si="86"/>
        <v/>
      </c>
      <c r="AB195" s="148" t="str">
        <f ca="1">IF(N(AA195)&gt;0,VLOOKUP(AA195,Hraci!$A$1:$I$1000,2,0)," ")</f>
        <v xml:space="preserve"> </v>
      </c>
      <c r="AC195" s="149" t="str">
        <f ca="1">IF(N(AA195)&gt;0,VLOOKUP(AA195,Hraci!$A$1:$I$1000,3,0)," ")</f>
        <v xml:space="preserve"> </v>
      </c>
      <c r="AD195" s="149" t="str">
        <f ca="1">IF(N(AA195)&gt;0,VLOOKUP(AA195,Hraci!$A$1:$I$1000,5,0)," ")</f>
        <v xml:space="preserve"> </v>
      </c>
      <c r="AE195" s="149">
        <f ca="1">IF(N(AA195)=0,9999,VLOOKUP(AA195,Hraci!$A$1:$I$1000,8,0))</f>
        <v>9999</v>
      </c>
      <c r="AF195" s="150">
        <f ca="1">IF(N(AA195)=0,0,VLOOKUP(AA195,Hraci!$A$1:$I$1000,9,0))</f>
        <v>0</v>
      </c>
      <c r="AG195" s="147"/>
      <c r="AH195" s="151">
        <f ca="1">IF(TYPE(VLOOKUP(H195,Nasazení!$A$3:$E$130,5,0))&lt;4,VLOOKUP(H195,Nasazení!$A$3:$E$130,5,0),0)</f>
        <v>0</v>
      </c>
      <c r="AI195" s="152" t="str">
        <f ca="1">IF(N($AH195)&gt;0,VLOOKUP($AH195,Body!$A$4:$F$259,5,0),"")</f>
        <v/>
      </c>
      <c r="AJ195" s="153" t="str">
        <f ca="1">IF(N($AH195)&gt;0,VLOOKUP($AH195,Body!$A$4:$F$259,6,0),"")</f>
        <v/>
      </c>
      <c r="AK195" s="152" t="str">
        <f ca="1">IF(N($AH195)&gt;0,VLOOKUP($AH195,Body!$A$4:$F$259,2,0),"")</f>
        <v/>
      </c>
      <c r="AL195" s="154" t="str">
        <f t="shared" ca="1" si="87"/>
        <v/>
      </c>
      <c r="AM195" s="155">
        <f t="shared" ca="1" si="88"/>
        <v>0</v>
      </c>
      <c r="AN195" s="72">
        <f ca="1">IF(OR(TYPE(I195)&gt;1,TYPE(MATCH(I195,I196:I$203,0))&gt;1),0,MATCH(I195,I196:I$203,0))+IF(OR(TYPE(I195)&gt;1,TYPE(MATCH(I195,O$11:O$203,0))&gt;1),0,MATCH(I195,O$11:O$203,0))+IF(OR(TYPE(I195)&gt;1,TYPE(MATCH(I195,U$11:U$203,0))&gt;1),0,MATCH(I195,U$11:U$203,0))+IF(OR(TYPE(I195)&gt;1,TYPE(MATCH(I195,AA$11:AA$203,0))&gt;1),0,MATCH(I195,AA$11:AA$203,0))</f>
        <v>0</v>
      </c>
      <c r="AO195" s="72">
        <f ca="1">IF(OR(TYPE(O195)&gt;1,TYPE(MATCH(O195,I$11:I$203,0))&gt;1),0,MATCH(O195,I$11:I$203,0))+IF(OR(TYPE(O195)&gt;1,TYPE(MATCH(O195,O196:O$203,0))&gt;1),0,MATCH(O195,O196:O$203,0))+IF(OR(TYPE(O195)&gt;1,TYPE(MATCH(O195,U$11:U$203,0))&gt;1),0,MATCH(O195,U$11:U$203,0))+IF(OR(TYPE(O195)&gt;1,TYPE(MATCH(O195,AA$11:AA$203,0))&gt;1),0,MATCH(O195,AA$11:AA$203,0))</f>
        <v>0</v>
      </c>
      <c r="AP195" s="72">
        <f ca="1">IF(OR(TYPE(U195)&gt;1,TYPE(MATCH(U195,I$11:I$203,0))&gt;1),0,MATCH(U195,I$11:I$203,0))+IF(OR(TYPE(U195)&gt;1,TYPE(MATCH(U195,O$11:O$203,0))&gt;1),0,MATCH(U195,O$11:O$203,0))+IF(OR(TYPE(U195)&gt;1,TYPE(MATCH(U195,U196:U$203,0))&gt;1),0,MATCH(U195,U196:U$203,0))+IF(OR(TYPE(U195)&gt;1,TYPE(MATCH(U195,AA$11:AA$203,0))&gt;1),0,MATCH(U195,AA$11:AA$203,0))</f>
        <v>0</v>
      </c>
      <c r="AQ195" s="72">
        <f ca="1">IF(OR(TYPE(AA195)&gt;1,TYPE(MATCH(AA195,I$11:I$203,0))&gt;1),0,MATCH(AA195,I$11:I$203,0))+IF(OR(TYPE(AA195)&gt;1,TYPE(MATCH(AA195,O$11:O$203,0))&gt;1),0,MATCH(AA195,O$11:O$203,0))+IF(OR(TYPE(AA195)&gt;1,TYPE(MATCH(AA195,U$11:U$203,0))&gt;1),0,MATCH(U195,U$11:U$203,0))+IF(OR(TYPE(AA195)&gt;1,TYPE(MATCH(AA195,AA196:AA$203,0))&gt;1),0,MATCH(AA195,AA196:AA$203,0))</f>
        <v>0</v>
      </c>
      <c r="AR195" s="72">
        <f t="shared" ca="1" si="89"/>
        <v>0</v>
      </c>
    </row>
    <row r="196" spans="1:44" ht="14.25">
      <c r="A196" s="103">
        <f t="shared" ca="1" si="75"/>
        <v>0</v>
      </c>
      <c r="B196" s="103">
        <f t="shared" ca="1" si="76"/>
        <v>0</v>
      </c>
      <c r="C196" s="156">
        <f t="shared" ca="1" si="77"/>
        <v>0</v>
      </c>
      <c r="D196" s="103">
        <f t="shared" ca="1" si="78"/>
        <v>99999</v>
      </c>
      <c r="E196" s="103">
        <f t="shared" ca="1" si="79"/>
        <v>9999</v>
      </c>
      <c r="F196" s="104" t="str">
        <f t="shared" ca="1" si="80"/>
        <v>00000000000000000000576655</v>
      </c>
      <c r="G196" s="145">
        <f t="shared" ca="1" si="81"/>
        <v>1</v>
      </c>
      <c r="H196" s="146">
        <f t="shared" si="82"/>
        <v>186</v>
      </c>
      <c r="I196" s="147" t="str">
        <f t="shared" ca="1" si="83"/>
        <v/>
      </c>
      <c r="J196" s="148" t="str">
        <f ca="1">IF(N(I196)&gt;0,VLOOKUP(I196,Hraci!$A$1:$I$1000,2,0),IF(TYPE(INDIRECT(ADDRESS(ROW() + $A$9-9 + (ROW()-11)*4,2,1,1,"Internet")))&gt;1,INDIRECT(ADDRESS(ROW() + $A$9-9 + (ROW()-11)*4,2,1,1,"Internet"))," "))</f>
        <v xml:space="preserve"> </v>
      </c>
      <c r="K196" s="149" t="str">
        <f ca="1">IF(N(I196)&gt;0,VLOOKUP(I196,Hraci!$A$1:$I$1000,3,0)," ")</f>
        <v xml:space="preserve"> </v>
      </c>
      <c r="L196" s="149" t="str">
        <f ca="1">IF(N(I196)&gt;0,VLOOKUP(I196,Hraci!$A$1:$I$1000,5,0),IF(TYPE(INDIRECT(ADDRESS(ROW() + $A$9-9 + (ROW()-11)*4,3,1,1,"Internet")))&gt;1,INDIRECT(ADDRESS(ROW() + $A$9-9 + (ROW()-11)*4,3,1,1,"Internet"))," "))</f>
        <v xml:space="preserve"> </v>
      </c>
      <c r="M196" s="149">
        <f ca="1">IF(N(I196)=0,9999,VLOOKUP(I196,Hraci!$A$1:$I$1000,8,0))</f>
        <v>9999</v>
      </c>
      <c r="N196" s="150">
        <f ca="1">IF(N(I196)=0,0,VLOOKUP(I196,Hraci!$A$1:$I$1000,9,0))</f>
        <v>0</v>
      </c>
      <c r="O196" s="147" t="str">
        <f t="shared" ca="1" si="84"/>
        <v/>
      </c>
      <c r="P196" s="148" t="str">
        <f ca="1">IF(N(O196)&gt;0,VLOOKUP(O196,Hraci!$A$1:$I$1000,2,0),IF(TYPE(INDIRECT(ADDRESS(ROW() + $A$9-8 + (ROW()-11)*4,2,1,1,"Internet")))&gt;1,INDIRECT(ADDRESS(ROW() + $A$9-8 + (ROW()-11)*4,2,1,1,"Internet"))," "))</f>
        <v xml:space="preserve"> </v>
      </c>
      <c r="Q196" s="149" t="str">
        <f ca="1">IF(N(O196)&gt;0,VLOOKUP(O196,Hraci!$A$1:$I$1000,3,0)," ")</f>
        <v xml:space="preserve"> </v>
      </c>
      <c r="R196" s="149" t="str">
        <f ca="1">IF(N(O196)&gt;0,VLOOKUP(O196,Hraci!$A$1:$I$1000,5,0),IF(TYPE(INDIRECT(ADDRESS(ROW() + $A$9-8 + (ROW()-11)*4,3,1,1,"Internet")))&gt;1,INDIRECT(ADDRESS(ROW() + $A$9-8 + (ROW()-11)*4,3,1,1,"Internet"))," "))</f>
        <v xml:space="preserve"> </v>
      </c>
      <c r="S196" s="149">
        <f ca="1">IF(N(O196)=0,9999,VLOOKUP(O196,Hraci!$A$1:$I$1000,8,0))</f>
        <v>9999</v>
      </c>
      <c r="T196" s="150">
        <f ca="1">IF(N(O196)=0,0,VLOOKUP(O196,Hraci!$A$1:$I$1000,9,0))</f>
        <v>0</v>
      </c>
      <c r="U196" s="147" t="str">
        <f t="shared" ca="1" si="85"/>
        <v/>
      </c>
      <c r="V196" s="148" t="str">
        <f ca="1">IF(N(U196)&gt;0,VLOOKUP(U196,Hraci!$A$1:$I$1000,2,0),IF(TYPE(INDIRECT(ADDRESS(ROW() + $A$9-7 + (ROW()-11)*4,2,1,1,"Internet")))&gt;1,INDIRECT(ADDRESS(ROW() + $A$9-7 + (ROW()-11)*4,2,1,1,"Internet"))," "))</f>
        <v xml:space="preserve"> </v>
      </c>
      <c r="W196" s="149" t="str">
        <f ca="1">IF(N(U196)&gt;0,VLOOKUP(U196,Hraci!$A$1:$I$1000,3,0)," ")</f>
        <v xml:space="preserve"> </v>
      </c>
      <c r="X196" s="149" t="str">
        <f ca="1">IF(N(U196)&gt;0,VLOOKUP(U196,Hraci!$A$1:$I$1000,5,0),IF(TYPE(INDIRECT(ADDRESS(ROW() + $A$9-7 + (ROW()-11)*4,3,1,1,"Internet")))&gt;1,INDIRECT(ADDRESS(ROW() + $A$9-7 + (ROW()-11)*4,3,1,1,"Internet"))," "))</f>
        <v xml:space="preserve"> </v>
      </c>
      <c r="Y196" s="149">
        <f ca="1">IF(N(U196)=0,9999,VLOOKUP(U196,Hraci!$A$1:$I$1000,8,0))</f>
        <v>9999</v>
      </c>
      <c r="Z196" s="150">
        <f ca="1">IF(N(U196)=0,0,VLOOKUP(U196,Hraci!$A$1:$I$1000,9,0))</f>
        <v>0</v>
      </c>
      <c r="AA196" s="147" t="str">
        <f t="shared" ca="1" si="86"/>
        <v/>
      </c>
      <c r="AB196" s="148" t="str">
        <f ca="1">IF(N(AA196)&gt;0,VLOOKUP(AA196,Hraci!$A$1:$I$1000,2,0)," ")</f>
        <v xml:space="preserve"> </v>
      </c>
      <c r="AC196" s="149" t="str">
        <f ca="1">IF(N(AA196)&gt;0,VLOOKUP(AA196,Hraci!$A$1:$I$1000,3,0)," ")</f>
        <v xml:space="preserve"> </v>
      </c>
      <c r="AD196" s="149" t="str">
        <f ca="1">IF(N(AA196)&gt;0,VLOOKUP(AA196,Hraci!$A$1:$I$1000,5,0)," ")</f>
        <v xml:space="preserve"> </v>
      </c>
      <c r="AE196" s="149">
        <f ca="1">IF(N(AA196)=0,9999,VLOOKUP(AA196,Hraci!$A$1:$I$1000,8,0))</f>
        <v>9999</v>
      </c>
      <c r="AF196" s="150">
        <f ca="1">IF(N(AA196)=0,0,VLOOKUP(AA196,Hraci!$A$1:$I$1000,9,0))</f>
        <v>0</v>
      </c>
      <c r="AG196" s="147"/>
      <c r="AH196" s="151">
        <f ca="1">IF(TYPE(VLOOKUP(H196,Nasazení!$A$3:$E$130,5,0))&lt;4,VLOOKUP(H196,Nasazení!$A$3:$E$130,5,0),0)</f>
        <v>0</v>
      </c>
      <c r="AI196" s="152" t="str">
        <f ca="1">IF(N($AH196)&gt;0,VLOOKUP($AH196,Body!$A$4:$F$259,5,0),"")</f>
        <v/>
      </c>
      <c r="AJ196" s="153" t="str">
        <f ca="1">IF(N($AH196)&gt;0,VLOOKUP($AH196,Body!$A$4:$F$259,6,0),"")</f>
        <v/>
      </c>
      <c r="AK196" s="152" t="str">
        <f ca="1">IF(N($AH196)&gt;0,VLOOKUP($AH196,Body!$A$4:$F$259,2,0),"")</f>
        <v/>
      </c>
      <c r="AL196" s="154" t="str">
        <f t="shared" ca="1" si="87"/>
        <v/>
      </c>
      <c r="AM196" s="155">
        <f t="shared" ca="1" si="88"/>
        <v>0</v>
      </c>
      <c r="AN196" s="72">
        <f ca="1">IF(OR(TYPE(I196)&gt;1,TYPE(MATCH(I196,I197:I$203,0))&gt;1),0,MATCH(I196,I197:I$203,0))+IF(OR(TYPE(I196)&gt;1,TYPE(MATCH(I196,O$11:O$203,0))&gt;1),0,MATCH(I196,O$11:O$203,0))+IF(OR(TYPE(I196)&gt;1,TYPE(MATCH(I196,U$11:U$203,0))&gt;1),0,MATCH(I196,U$11:U$203,0))+IF(OR(TYPE(I196)&gt;1,TYPE(MATCH(I196,AA$11:AA$203,0))&gt;1),0,MATCH(I196,AA$11:AA$203,0))</f>
        <v>0</v>
      </c>
      <c r="AO196" s="72">
        <f ca="1">IF(OR(TYPE(O196)&gt;1,TYPE(MATCH(O196,I$11:I$203,0))&gt;1),0,MATCH(O196,I$11:I$203,0))+IF(OR(TYPE(O196)&gt;1,TYPE(MATCH(O196,O197:O$203,0))&gt;1),0,MATCH(O196,O197:O$203,0))+IF(OR(TYPE(O196)&gt;1,TYPE(MATCH(O196,U$11:U$203,0))&gt;1),0,MATCH(O196,U$11:U$203,0))+IF(OR(TYPE(O196)&gt;1,TYPE(MATCH(O196,AA$11:AA$203,0))&gt;1),0,MATCH(O196,AA$11:AA$203,0))</f>
        <v>0</v>
      </c>
      <c r="AP196" s="72">
        <f ca="1">IF(OR(TYPE(U196)&gt;1,TYPE(MATCH(U196,I$11:I$203,0))&gt;1),0,MATCH(U196,I$11:I$203,0))+IF(OR(TYPE(U196)&gt;1,TYPE(MATCH(U196,O$11:O$203,0))&gt;1),0,MATCH(U196,O$11:O$203,0))+IF(OR(TYPE(U196)&gt;1,TYPE(MATCH(U196,U197:U$203,0))&gt;1),0,MATCH(U196,U197:U$203,0))+IF(OR(TYPE(U196)&gt;1,TYPE(MATCH(U196,AA$11:AA$203,0))&gt;1),0,MATCH(U196,AA$11:AA$203,0))</f>
        <v>0</v>
      </c>
      <c r="AQ196" s="72">
        <f ca="1">IF(OR(TYPE(AA196)&gt;1,TYPE(MATCH(AA196,I$11:I$203,0))&gt;1),0,MATCH(AA196,I$11:I$203,0))+IF(OR(TYPE(AA196)&gt;1,TYPE(MATCH(AA196,O$11:O$203,0))&gt;1),0,MATCH(AA196,O$11:O$203,0))+IF(OR(TYPE(AA196)&gt;1,TYPE(MATCH(AA196,U$11:U$203,0))&gt;1),0,MATCH(U196,U$11:U$203,0))+IF(OR(TYPE(AA196)&gt;1,TYPE(MATCH(AA196,AA197:AA$203,0))&gt;1),0,MATCH(AA196,AA197:AA$203,0))</f>
        <v>0</v>
      </c>
      <c r="AR196" s="72">
        <f t="shared" ca="1" si="89"/>
        <v>0</v>
      </c>
    </row>
    <row r="197" spans="1:44" ht="14.25">
      <c r="A197" s="103">
        <f t="shared" ca="1" si="75"/>
        <v>0</v>
      </c>
      <c r="B197" s="103">
        <f t="shared" ca="1" si="76"/>
        <v>0</v>
      </c>
      <c r="C197" s="156">
        <f t="shared" ca="1" si="77"/>
        <v>0</v>
      </c>
      <c r="D197" s="103">
        <f t="shared" ca="1" si="78"/>
        <v>99999</v>
      </c>
      <c r="E197" s="103">
        <f t="shared" ca="1" si="79"/>
        <v>9999</v>
      </c>
      <c r="F197" s="104" t="str">
        <f t="shared" ca="1" si="80"/>
        <v>00000000000000000000300136</v>
      </c>
      <c r="G197" s="145">
        <f t="shared" ca="1" si="81"/>
        <v>1</v>
      </c>
      <c r="H197" s="146">
        <f t="shared" si="82"/>
        <v>187</v>
      </c>
      <c r="I197" s="147" t="str">
        <f t="shared" ca="1" si="83"/>
        <v/>
      </c>
      <c r="J197" s="148" t="str">
        <f ca="1">IF(N(I197)&gt;0,VLOOKUP(I197,Hraci!$A$1:$I$1000,2,0),IF(TYPE(INDIRECT(ADDRESS(ROW() + $A$9-9 + (ROW()-11)*4,2,1,1,"Internet")))&gt;1,INDIRECT(ADDRESS(ROW() + $A$9-9 + (ROW()-11)*4,2,1,1,"Internet"))," "))</f>
        <v xml:space="preserve"> </v>
      </c>
      <c r="K197" s="149" t="str">
        <f ca="1">IF(N(I197)&gt;0,VLOOKUP(I197,Hraci!$A$1:$I$1000,3,0)," ")</f>
        <v xml:space="preserve"> </v>
      </c>
      <c r="L197" s="149" t="str">
        <f ca="1">IF(N(I197)&gt;0,VLOOKUP(I197,Hraci!$A$1:$I$1000,5,0),IF(TYPE(INDIRECT(ADDRESS(ROW() + $A$9-9 + (ROW()-11)*4,3,1,1,"Internet")))&gt;1,INDIRECT(ADDRESS(ROW() + $A$9-9 + (ROW()-11)*4,3,1,1,"Internet"))," "))</f>
        <v xml:space="preserve"> </v>
      </c>
      <c r="M197" s="149">
        <f ca="1">IF(N(I197)=0,9999,VLOOKUP(I197,Hraci!$A$1:$I$1000,8,0))</f>
        <v>9999</v>
      </c>
      <c r="N197" s="150">
        <f ca="1">IF(N(I197)=0,0,VLOOKUP(I197,Hraci!$A$1:$I$1000,9,0))</f>
        <v>0</v>
      </c>
      <c r="O197" s="147" t="str">
        <f t="shared" ca="1" si="84"/>
        <v/>
      </c>
      <c r="P197" s="148" t="str">
        <f ca="1">IF(N(O197)&gt;0,VLOOKUP(O197,Hraci!$A$1:$I$1000,2,0),IF(TYPE(INDIRECT(ADDRESS(ROW() + $A$9-8 + (ROW()-11)*4,2,1,1,"Internet")))&gt;1,INDIRECT(ADDRESS(ROW() + $A$9-8 + (ROW()-11)*4,2,1,1,"Internet"))," "))</f>
        <v xml:space="preserve"> </v>
      </c>
      <c r="Q197" s="149" t="str">
        <f ca="1">IF(N(O197)&gt;0,VLOOKUP(O197,Hraci!$A$1:$I$1000,3,0)," ")</f>
        <v xml:space="preserve"> </v>
      </c>
      <c r="R197" s="149" t="str">
        <f ca="1">IF(N(O197)&gt;0,VLOOKUP(O197,Hraci!$A$1:$I$1000,5,0),IF(TYPE(INDIRECT(ADDRESS(ROW() + $A$9-8 + (ROW()-11)*4,3,1,1,"Internet")))&gt;1,INDIRECT(ADDRESS(ROW() + $A$9-8 + (ROW()-11)*4,3,1,1,"Internet"))," "))</f>
        <v xml:space="preserve"> </v>
      </c>
      <c r="S197" s="149">
        <f ca="1">IF(N(O197)=0,9999,VLOOKUP(O197,Hraci!$A$1:$I$1000,8,0))</f>
        <v>9999</v>
      </c>
      <c r="T197" s="150">
        <f ca="1">IF(N(O197)=0,0,VLOOKUP(O197,Hraci!$A$1:$I$1000,9,0))</f>
        <v>0</v>
      </c>
      <c r="U197" s="147" t="str">
        <f t="shared" ca="1" si="85"/>
        <v/>
      </c>
      <c r="V197" s="148" t="str">
        <f ca="1">IF(N(U197)&gt;0,VLOOKUP(U197,Hraci!$A$1:$I$1000,2,0),IF(TYPE(INDIRECT(ADDRESS(ROW() + $A$9-7 + (ROW()-11)*4,2,1,1,"Internet")))&gt;1,INDIRECT(ADDRESS(ROW() + $A$9-7 + (ROW()-11)*4,2,1,1,"Internet"))," "))</f>
        <v xml:space="preserve"> </v>
      </c>
      <c r="W197" s="149" t="str">
        <f ca="1">IF(N(U197)&gt;0,VLOOKUP(U197,Hraci!$A$1:$I$1000,3,0)," ")</f>
        <v xml:space="preserve"> </v>
      </c>
      <c r="X197" s="149" t="str">
        <f ca="1">IF(N(U197)&gt;0,VLOOKUP(U197,Hraci!$A$1:$I$1000,5,0),IF(TYPE(INDIRECT(ADDRESS(ROW() + $A$9-7 + (ROW()-11)*4,3,1,1,"Internet")))&gt;1,INDIRECT(ADDRESS(ROW() + $A$9-7 + (ROW()-11)*4,3,1,1,"Internet"))," "))</f>
        <v xml:space="preserve"> </v>
      </c>
      <c r="Y197" s="149">
        <f ca="1">IF(N(U197)=0,9999,VLOOKUP(U197,Hraci!$A$1:$I$1000,8,0))</f>
        <v>9999</v>
      </c>
      <c r="Z197" s="150">
        <f ca="1">IF(N(U197)=0,0,VLOOKUP(U197,Hraci!$A$1:$I$1000,9,0))</f>
        <v>0</v>
      </c>
      <c r="AA197" s="147" t="str">
        <f t="shared" ca="1" si="86"/>
        <v/>
      </c>
      <c r="AB197" s="148" t="str">
        <f ca="1">IF(N(AA197)&gt;0,VLOOKUP(AA197,Hraci!$A$1:$I$1000,2,0)," ")</f>
        <v xml:space="preserve"> </v>
      </c>
      <c r="AC197" s="149" t="str">
        <f ca="1">IF(N(AA197)&gt;0,VLOOKUP(AA197,Hraci!$A$1:$I$1000,3,0)," ")</f>
        <v xml:space="preserve"> </v>
      </c>
      <c r="AD197" s="149" t="str">
        <f ca="1">IF(N(AA197)&gt;0,VLOOKUP(AA197,Hraci!$A$1:$I$1000,5,0)," ")</f>
        <v xml:space="preserve"> </v>
      </c>
      <c r="AE197" s="149">
        <f ca="1">IF(N(AA197)=0,9999,VLOOKUP(AA197,Hraci!$A$1:$I$1000,8,0))</f>
        <v>9999</v>
      </c>
      <c r="AF197" s="150">
        <f ca="1">IF(N(AA197)=0,0,VLOOKUP(AA197,Hraci!$A$1:$I$1000,9,0))</f>
        <v>0</v>
      </c>
      <c r="AG197" s="147"/>
      <c r="AH197" s="151">
        <f ca="1">IF(TYPE(VLOOKUP(H197,Nasazení!$A$3:$E$130,5,0))&lt;4,VLOOKUP(H197,Nasazení!$A$3:$E$130,5,0),0)</f>
        <v>0</v>
      </c>
      <c r="AI197" s="152" t="str">
        <f ca="1">IF(N($AH197)&gt;0,VLOOKUP($AH197,Body!$A$4:$F$259,5,0),"")</f>
        <v/>
      </c>
      <c r="AJ197" s="153" t="str">
        <f ca="1">IF(N($AH197)&gt;0,VLOOKUP($AH197,Body!$A$4:$F$259,6,0),"")</f>
        <v/>
      </c>
      <c r="AK197" s="152" t="str">
        <f ca="1">IF(N($AH197)&gt;0,VLOOKUP($AH197,Body!$A$4:$F$259,2,0),"")</f>
        <v/>
      </c>
      <c r="AL197" s="154" t="str">
        <f t="shared" ca="1" si="87"/>
        <v/>
      </c>
      <c r="AM197" s="155">
        <f t="shared" ca="1" si="88"/>
        <v>0</v>
      </c>
      <c r="AN197" s="72">
        <f ca="1">IF(OR(TYPE(I197)&gt;1,TYPE(MATCH(I197,I198:I$203,0))&gt;1),0,MATCH(I197,I198:I$203,0))+IF(OR(TYPE(I197)&gt;1,TYPE(MATCH(I197,O$11:O$203,0))&gt;1),0,MATCH(I197,O$11:O$203,0))+IF(OR(TYPE(I197)&gt;1,TYPE(MATCH(I197,U$11:U$203,0))&gt;1),0,MATCH(I197,U$11:U$203,0))+IF(OR(TYPE(I197)&gt;1,TYPE(MATCH(I197,AA$11:AA$203,0))&gt;1),0,MATCH(I197,AA$11:AA$203,0))</f>
        <v>0</v>
      </c>
      <c r="AO197" s="72">
        <f ca="1">IF(OR(TYPE(O197)&gt;1,TYPE(MATCH(O197,I$11:I$203,0))&gt;1),0,MATCH(O197,I$11:I$203,0))+IF(OR(TYPE(O197)&gt;1,TYPE(MATCH(O197,O198:O$203,0))&gt;1),0,MATCH(O197,O198:O$203,0))+IF(OR(TYPE(O197)&gt;1,TYPE(MATCH(O197,U$11:U$203,0))&gt;1),0,MATCH(O197,U$11:U$203,0))+IF(OR(TYPE(O197)&gt;1,TYPE(MATCH(O197,AA$11:AA$203,0))&gt;1),0,MATCH(O197,AA$11:AA$203,0))</f>
        <v>0</v>
      </c>
      <c r="AP197" s="72">
        <f ca="1">IF(OR(TYPE(U197)&gt;1,TYPE(MATCH(U197,I$11:I$203,0))&gt;1),0,MATCH(U197,I$11:I$203,0))+IF(OR(TYPE(U197)&gt;1,TYPE(MATCH(U197,O$11:O$203,0))&gt;1),0,MATCH(U197,O$11:O$203,0))+IF(OR(TYPE(U197)&gt;1,TYPE(MATCH(U197,U198:U$203,0))&gt;1),0,MATCH(U197,U198:U$203,0))+IF(OR(TYPE(U197)&gt;1,TYPE(MATCH(U197,AA$11:AA$203,0))&gt;1),0,MATCH(U197,AA$11:AA$203,0))</f>
        <v>0</v>
      </c>
      <c r="AQ197" s="72">
        <f ca="1">IF(OR(TYPE(AA197)&gt;1,TYPE(MATCH(AA197,I$11:I$203,0))&gt;1),0,MATCH(AA197,I$11:I$203,0))+IF(OR(TYPE(AA197)&gt;1,TYPE(MATCH(AA197,O$11:O$203,0))&gt;1),0,MATCH(AA197,O$11:O$203,0))+IF(OR(TYPE(AA197)&gt;1,TYPE(MATCH(AA197,U$11:U$203,0))&gt;1),0,MATCH(U197,U$11:U$203,0))+IF(OR(TYPE(AA197)&gt;1,TYPE(MATCH(AA197,AA198:AA$203,0))&gt;1),0,MATCH(AA197,AA198:AA$203,0))</f>
        <v>0</v>
      </c>
      <c r="AR197" s="72">
        <f t="shared" ca="1" si="89"/>
        <v>0</v>
      </c>
    </row>
    <row r="198" spans="1:44" ht="14.25">
      <c r="A198" s="103">
        <f t="shared" ca="1" si="75"/>
        <v>0</v>
      </c>
      <c r="B198" s="103">
        <f t="shared" ca="1" si="76"/>
        <v>0</v>
      </c>
      <c r="C198" s="156">
        <f t="shared" ca="1" si="77"/>
        <v>0</v>
      </c>
      <c r="D198" s="103">
        <f t="shared" ca="1" si="78"/>
        <v>99999</v>
      </c>
      <c r="E198" s="103">
        <f t="shared" ca="1" si="79"/>
        <v>9999</v>
      </c>
      <c r="F198" s="104" t="str">
        <f t="shared" ca="1" si="80"/>
        <v>00000000000000000000367169</v>
      </c>
      <c r="G198" s="145">
        <f t="shared" ca="1" si="81"/>
        <v>1</v>
      </c>
      <c r="H198" s="146">
        <f t="shared" si="82"/>
        <v>188</v>
      </c>
      <c r="I198" s="147" t="str">
        <f t="shared" ca="1" si="83"/>
        <v/>
      </c>
      <c r="J198" s="148" t="str">
        <f ca="1">IF(N(I198)&gt;0,VLOOKUP(I198,Hraci!$A$1:$I$1000,2,0),IF(TYPE(INDIRECT(ADDRESS(ROW() + $A$9-9 + (ROW()-11)*4,2,1,1,"Internet")))&gt;1,INDIRECT(ADDRESS(ROW() + $A$9-9 + (ROW()-11)*4,2,1,1,"Internet"))," "))</f>
        <v xml:space="preserve"> </v>
      </c>
      <c r="K198" s="149" t="str">
        <f ca="1">IF(N(I198)&gt;0,VLOOKUP(I198,Hraci!$A$1:$I$1000,3,0)," ")</f>
        <v xml:space="preserve"> </v>
      </c>
      <c r="L198" s="149" t="str">
        <f ca="1">IF(N(I198)&gt;0,VLOOKUP(I198,Hraci!$A$1:$I$1000,5,0),IF(TYPE(INDIRECT(ADDRESS(ROW() + $A$9-9 + (ROW()-11)*4,3,1,1,"Internet")))&gt;1,INDIRECT(ADDRESS(ROW() + $A$9-9 + (ROW()-11)*4,3,1,1,"Internet"))," "))</f>
        <v xml:space="preserve"> </v>
      </c>
      <c r="M198" s="149">
        <f ca="1">IF(N(I198)=0,9999,VLOOKUP(I198,Hraci!$A$1:$I$1000,8,0))</f>
        <v>9999</v>
      </c>
      <c r="N198" s="150">
        <f ca="1">IF(N(I198)=0,0,VLOOKUP(I198,Hraci!$A$1:$I$1000,9,0))</f>
        <v>0</v>
      </c>
      <c r="O198" s="147" t="str">
        <f t="shared" ca="1" si="84"/>
        <v/>
      </c>
      <c r="P198" s="148" t="str">
        <f ca="1">IF(N(O198)&gt;0,VLOOKUP(O198,Hraci!$A$1:$I$1000,2,0),IF(TYPE(INDIRECT(ADDRESS(ROW() + $A$9-8 + (ROW()-11)*4,2,1,1,"Internet")))&gt;1,INDIRECT(ADDRESS(ROW() + $A$9-8 + (ROW()-11)*4,2,1,1,"Internet"))," "))</f>
        <v xml:space="preserve"> </v>
      </c>
      <c r="Q198" s="149" t="str">
        <f ca="1">IF(N(O198)&gt;0,VLOOKUP(O198,Hraci!$A$1:$I$1000,3,0)," ")</f>
        <v xml:space="preserve"> </v>
      </c>
      <c r="R198" s="149" t="str">
        <f ca="1">IF(N(O198)&gt;0,VLOOKUP(O198,Hraci!$A$1:$I$1000,5,0),IF(TYPE(INDIRECT(ADDRESS(ROW() + $A$9-8 + (ROW()-11)*4,3,1,1,"Internet")))&gt;1,INDIRECT(ADDRESS(ROW() + $A$9-8 + (ROW()-11)*4,3,1,1,"Internet"))," "))</f>
        <v xml:space="preserve"> </v>
      </c>
      <c r="S198" s="149">
        <f ca="1">IF(N(O198)=0,9999,VLOOKUP(O198,Hraci!$A$1:$I$1000,8,0))</f>
        <v>9999</v>
      </c>
      <c r="T198" s="150">
        <f ca="1">IF(N(O198)=0,0,VLOOKUP(O198,Hraci!$A$1:$I$1000,9,0))</f>
        <v>0</v>
      </c>
      <c r="U198" s="147" t="str">
        <f t="shared" ca="1" si="85"/>
        <v/>
      </c>
      <c r="V198" s="148" t="str">
        <f ca="1">IF(N(U198)&gt;0,VLOOKUP(U198,Hraci!$A$1:$I$1000,2,0),IF(TYPE(INDIRECT(ADDRESS(ROW() + $A$9-7 + (ROW()-11)*4,2,1,1,"Internet")))&gt;1,INDIRECT(ADDRESS(ROW() + $A$9-7 + (ROW()-11)*4,2,1,1,"Internet"))," "))</f>
        <v xml:space="preserve"> </v>
      </c>
      <c r="W198" s="149" t="str">
        <f ca="1">IF(N(U198)&gt;0,VLOOKUP(U198,Hraci!$A$1:$I$1000,3,0)," ")</f>
        <v xml:space="preserve"> </v>
      </c>
      <c r="X198" s="149" t="str">
        <f ca="1">IF(N(U198)&gt;0,VLOOKUP(U198,Hraci!$A$1:$I$1000,5,0),IF(TYPE(INDIRECT(ADDRESS(ROW() + $A$9-7 + (ROW()-11)*4,3,1,1,"Internet")))&gt;1,INDIRECT(ADDRESS(ROW() + $A$9-7 + (ROW()-11)*4,3,1,1,"Internet"))," "))</f>
        <v xml:space="preserve"> </v>
      </c>
      <c r="Y198" s="149">
        <f ca="1">IF(N(U198)=0,9999,VLOOKUP(U198,Hraci!$A$1:$I$1000,8,0))</f>
        <v>9999</v>
      </c>
      <c r="Z198" s="150">
        <f ca="1">IF(N(U198)=0,0,VLOOKUP(U198,Hraci!$A$1:$I$1000,9,0))</f>
        <v>0</v>
      </c>
      <c r="AA198" s="147" t="str">
        <f t="shared" ca="1" si="86"/>
        <v/>
      </c>
      <c r="AB198" s="148" t="str">
        <f ca="1">IF(N(AA198)&gt;0,VLOOKUP(AA198,Hraci!$A$1:$I$1000,2,0)," ")</f>
        <v xml:space="preserve"> </v>
      </c>
      <c r="AC198" s="149" t="str">
        <f ca="1">IF(N(AA198)&gt;0,VLOOKUP(AA198,Hraci!$A$1:$I$1000,3,0)," ")</f>
        <v xml:space="preserve"> </v>
      </c>
      <c r="AD198" s="149" t="str">
        <f ca="1">IF(N(AA198)&gt;0,VLOOKUP(AA198,Hraci!$A$1:$I$1000,5,0)," ")</f>
        <v xml:space="preserve"> </v>
      </c>
      <c r="AE198" s="149">
        <f ca="1">IF(N(AA198)=0,9999,VLOOKUP(AA198,Hraci!$A$1:$I$1000,8,0))</f>
        <v>9999</v>
      </c>
      <c r="AF198" s="150">
        <f ca="1">IF(N(AA198)=0,0,VLOOKUP(AA198,Hraci!$A$1:$I$1000,9,0))</f>
        <v>0</v>
      </c>
      <c r="AG198" s="147"/>
      <c r="AH198" s="151">
        <f ca="1">IF(TYPE(VLOOKUP(H198,Nasazení!$A$3:$E$130,5,0))&lt;4,VLOOKUP(H198,Nasazení!$A$3:$E$130,5,0),0)</f>
        <v>0</v>
      </c>
      <c r="AI198" s="152" t="str">
        <f ca="1">IF(N($AH198)&gt;0,VLOOKUP($AH198,Body!$A$4:$F$259,5,0),"")</f>
        <v/>
      </c>
      <c r="AJ198" s="153" t="str">
        <f ca="1">IF(N($AH198)&gt;0,VLOOKUP($AH198,Body!$A$4:$F$259,6,0),"")</f>
        <v/>
      </c>
      <c r="AK198" s="152" t="str">
        <f ca="1">IF(N($AH198)&gt;0,VLOOKUP($AH198,Body!$A$4:$F$259,2,0),"")</f>
        <v/>
      </c>
      <c r="AL198" s="154" t="str">
        <f t="shared" ca="1" si="87"/>
        <v/>
      </c>
      <c r="AM198" s="155">
        <f t="shared" ca="1" si="88"/>
        <v>0</v>
      </c>
      <c r="AN198" s="72">
        <f ca="1">IF(OR(TYPE(I198)&gt;1,TYPE(MATCH(I198,I199:I$203,0))&gt;1),0,MATCH(I198,I199:I$203,0))+IF(OR(TYPE(I198)&gt;1,TYPE(MATCH(I198,O$11:O$203,0))&gt;1),0,MATCH(I198,O$11:O$203,0))+IF(OR(TYPE(I198)&gt;1,TYPE(MATCH(I198,U$11:U$203,0))&gt;1),0,MATCH(I198,U$11:U$203,0))+IF(OR(TYPE(I198)&gt;1,TYPE(MATCH(I198,AA$11:AA$203,0))&gt;1),0,MATCH(I198,AA$11:AA$203,0))</f>
        <v>0</v>
      </c>
      <c r="AO198" s="72">
        <f ca="1">IF(OR(TYPE(O198)&gt;1,TYPE(MATCH(O198,I$11:I$203,0))&gt;1),0,MATCH(O198,I$11:I$203,0))+IF(OR(TYPE(O198)&gt;1,TYPE(MATCH(O198,O199:O$203,0))&gt;1),0,MATCH(O198,O199:O$203,0))+IF(OR(TYPE(O198)&gt;1,TYPE(MATCH(O198,U$11:U$203,0))&gt;1),0,MATCH(O198,U$11:U$203,0))+IF(OR(TYPE(O198)&gt;1,TYPE(MATCH(O198,AA$11:AA$203,0))&gt;1),0,MATCH(O198,AA$11:AA$203,0))</f>
        <v>0</v>
      </c>
      <c r="AP198" s="72">
        <f ca="1">IF(OR(TYPE(U198)&gt;1,TYPE(MATCH(U198,I$11:I$203,0))&gt;1),0,MATCH(U198,I$11:I$203,0))+IF(OR(TYPE(U198)&gt;1,TYPE(MATCH(U198,O$11:O$203,0))&gt;1),0,MATCH(U198,O$11:O$203,0))+IF(OR(TYPE(U198)&gt;1,TYPE(MATCH(U198,U199:U$203,0))&gt;1),0,MATCH(U198,U199:U$203,0))+IF(OR(TYPE(U198)&gt;1,TYPE(MATCH(U198,AA$11:AA$203,0))&gt;1),0,MATCH(U198,AA$11:AA$203,0))</f>
        <v>0</v>
      </c>
      <c r="AQ198" s="72">
        <f ca="1">IF(OR(TYPE(AA198)&gt;1,TYPE(MATCH(AA198,I$11:I$203,0))&gt;1),0,MATCH(AA198,I$11:I$203,0))+IF(OR(TYPE(AA198)&gt;1,TYPE(MATCH(AA198,O$11:O$203,0))&gt;1),0,MATCH(AA198,O$11:O$203,0))+IF(OR(TYPE(AA198)&gt;1,TYPE(MATCH(AA198,U$11:U$203,0))&gt;1),0,MATCH(U198,U$11:U$203,0))+IF(OR(TYPE(AA198)&gt;1,TYPE(MATCH(AA198,AA199:AA$203,0))&gt;1),0,MATCH(AA198,AA199:AA$203,0))</f>
        <v>0</v>
      </c>
      <c r="AR198" s="72">
        <f t="shared" ca="1" si="89"/>
        <v>0</v>
      </c>
    </row>
    <row r="199" spans="1:44" ht="14.25">
      <c r="A199" s="103">
        <f t="shared" ca="1" si="75"/>
        <v>0</v>
      </c>
      <c r="B199" s="103">
        <f t="shared" ca="1" si="76"/>
        <v>0</v>
      </c>
      <c r="C199" s="156">
        <f t="shared" ca="1" si="77"/>
        <v>0</v>
      </c>
      <c r="D199" s="103">
        <f t="shared" ca="1" si="78"/>
        <v>99999</v>
      </c>
      <c r="E199" s="103">
        <f t="shared" ca="1" si="79"/>
        <v>9999</v>
      </c>
      <c r="F199" s="104" t="str">
        <f t="shared" ca="1" si="80"/>
        <v>00000000000000000000438982</v>
      </c>
      <c r="G199" s="145">
        <f t="shared" ca="1" si="81"/>
        <v>1</v>
      </c>
      <c r="H199" s="146">
        <f t="shared" si="82"/>
        <v>189</v>
      </c>
      <c r="I199" s="147" t="str">
        <f t="shared" ca="1" si="83"/>
        <v/>
      </c>
      <c r="J199" s="148" t="str">
        <f ca="1">IF(N(I199)&gt;0,VLOOKUP(I199,Hraci!$A$1:$I$1000,2,0),IF(TYPE(INDIRECT(ADDRESS(ROW() + $A$9-9 + (ROW()-11)*4,2,1,1,"Internet")))&gt;1,INDIRECT(ADDRESS(ROW() + $A$9-9 + (ROW()-11)*4,2,1,1,"Internet"))," "))</f>
        <v xml:space="preserve"> </v>
      </c>
      <c r="K199" s="149" t="str">
        <f ca="1">IF(N(I199)&gt;0,VLOOKUP(I199,Hraci!$A$1:$I$1000,3,0)," ")</f>
        <v xml:space="preserve"> </v>
      </c>
      <c r="L199" s="149" t="str">
        <f ca="1">IF(N(I199)&gt;0,VLOOKUP(I199,Hraci!$A$1:$I$1000,5,0),IF(TYPE(INDIRECT(ADDRESS(ROW() + $A$9-9 + (ROW()-11)*4,3,1,1,"Internet")))&gt;1,INDIRECT(ADDRESS(ROW() + $A$9-9 + (ROW()-11)*4,3,1,1,"Internet"))," "))</f>
        <v xml:space="preserve"> </v>
      </c>
      <c r="M199" s="149">
        <f ca="1">IF(N(I199)=0,9999,VLOOKUP(I199,Hraci!$A$1:$I$1000,8,0))</f>
        <v>9999</v>
      </c>
      <c r="N199" s="150">
        <f ca="1">IF(N(I199)=0,0,VLOOKUP(I199,Hraci!$A$1:$I$1000,9,0))</f>
        <v>0</v>
      </c>
      <c r="O199" s="147" t="str">
        <f t="shared" ca="1" si="84"/>
        <v/>
      </c>
      <c r="P199" s="148" t="str">
        <f ca="1">IF(N(O199)&gt;0,VLOOKUP(O199,Hraci!$A$1:$I$1000,2,0),IF(TYPE(INDIRECT(ADDRESS(ROW() + $A$9-8 + (ROW()-11)*4,2,1,1,"Internet")))&gt;1,INDIRECT(ADDRESS(ROW() + $A$9-8 + (ROW()-11)*4,2,1,1,"Internet"))," "))</f>
        <v xml:space="preserve"> </v>
      </c>
      <c r="Q199" s="149" t="str">
        <f ca="1">IF(N(O199)&gt;0,VLOOKUP(O199,Hraci!$A$1:$I$1000,3,0)," ")</f>
        <v xml:space="preserve"> </v>
      </c>
      <c r="R199" s="149" t="str">
        <f ca="1">IF(N(O199)&gt;0,VLOOKUP(O199,Hraci!$A$1:$I$1000,5,0),IF(TYPE(INDIRECT(ADDRESS(ROW() + $A$9-8 + (ROW()-11)*4,3,1,1,"Internet")))&gt;1,INDIRECT(ADDRESS(ROW() + $A$9-8 + (ROW()-11)*4,3,1,1,"Internet"))," "))</f>
        <v xml:space="preserve"> </v>
      </c>
      <c r="S199" s="149">
        <f ca="1">IF(N(O199)=0,9999,VLOOKUP(O199,Hraci!$A$1:$I$1000,8,0))</f>
        <v>9999</v>
      </c>
      <c r="T199" s="150">
        <f ca="1">IF(N(O199)=0,0,VLOOKUP(O199,Hraci!$A$1:$I$1000,9,0))</f>
        <v>0</v>
      </c>
      <c r="U199" s="147" t="str">
        <f t="shared" ca="1" si="85"/>
        <v/>
      </c>
      <c r="V199" s="148" t="str">
        <f ca="1">IF(N(U199)&gt;0,VLOOKUP(U199,Hraci!$A$1:$I$1000,2,0),IF(TYPE(INDIRECT(ADDRESS(ROW() + $A$9-7 + (ROW()-11)*4,2,1,1,"Internet")))&gt;1,INDIRECT(ADDRESS(ROW() + $A$9-7 + (ROW()-11)*4,2,1,1,"Internet"))," "))</f>
        <v xml:space="preserve"> </v>
      </c>
      <c r="W199" s="149" t="str">
        <f ca="1">IF(N(U199)&gt;0,VLOOKUP(U199,Hraci!$A$1:$I$1000,3,0)," ")</f>
        <v xml:space="preserve"> </v>
      </c>
      <c r="X199" s="149" t="str">
        <f ca="1">IF(N(U199)&gt;0,VLOOKUP(U199,Hraci!$A$1:$I$1000,5,0),IF(TYPE(INDIRECT(ADDRESS(ROW() + $A$9-7 + (ROW()-11)*4,3,1,1,"Internet")))&gt;1,INDIRECT(ADDRESS(ROW() + $A$9-7 + (ROW()-11)*4,3,1,1,"Internet"))," "))</f>
        <v xml:space="preserve"> </v>
      </c>
      <c r="Y199" s="149">
        <f ca="1">IF(N(U199)=0,9999,VLOOKUP(U199,Hraci!$A$1:$I$1000,8,0))</f>
        <v>9999</v>
      </c>
      <c r="Z199" s="150">
        <f ca="1">IF(N(U199)=0,0,VLOOKUP(U199,Hraci!$A$1:$I$1000,9,0))</f>
        <v>0</v>
      </c>
      <c r="AA199" s="147" t="str">
        <f t="shared" ca="1" si="86"/>
        <v/>
      </c>
      <c r="AB199" s="148" t="str">
        <f ca="1">IF(N(AA199)&gt;0,VLOOKUP(AA199,Hraci!$A$1:$I$1000,2,0)," ")</f>
        <v xml:space="preserve"> </v>
      </c>
      <c r="AC199" s="149" t="str">
        <f ca="1">IF(N(AA199)&gt;0,VLOOKUP(AA199,Hraci!$A$1:$I$1000,3,0)," ")</f>
        <v xml:space="preserve"> </v>
      </c>
      <c r="AD199" s="149" t="str">
        <f ca="1">IF(N(AA199)&gt;0,VLOOKUP(AA199,Hraci!$A$1:$I$1000,5,0)," ")</f>
        <v xml:space="preserve"> </v>
      </c>
      <c r="AE199" s="149">
        <f ca="1">IF(N(AA199)=0,9999,VLOOKUP(AA199,Hraci!$A$1:$I$1000,8,0))</f>
        <v>9999</v>
      </c>
      <c r="AF199" s="150">
        <f ca="1">IF(N(AA199)=0,0,VLOOKUP(AA199,Hraci!$A$1:$I$1000,9,0))</f>
        <v>0</v>
      </c>
      <c r="AG199" s="147"/>
      <c r="AH199" s="151">
        <f ca="1">IF(TYPE(VLOOKUP(H199,Nasazení!$A$3:$E$130,5,0))&lt;4,VLOOKUP(H199,Nasazení!$A$3:$E$130,5,0),0)</f>
        <v>0</v>
      </c>
      <c r="AI199" s="152" t="str">
        <f ca="1">IF(N($AH199)&gt;0,VLOOKUP($AH199,Body!$A$4:$F$259,5,0),"")</f>
        <v/>
      </c>
      <c r="AJ199" s="153" t="str">
        <f ca="1">IF(N($AH199)&gt;0,VLOOKUP($AH199,Body!$A$4:$F$259,6,0),"")</f>
        <v/>
      </c>
      <c r="AK199" s="152" t="str">
        <f ca="1">IF(N($AH199)&gt;0,VLOOKUP($AH199,Body!$A$4:$F$259,2,0),"")</f>
        <v/>
      </c>
      <c r="AL199" s="154" t="str">
        <f t="shared" ca="1" si="87"/>
        <v/>
      </c>
      <c r="AM199" s="155">
        <f t="shared" ca="1" si="88"/>
        <v>0</v>
      </c>
      <c r="AN199" s="72">
        <f ca="1">IF(OR(TYPE(I199)&gt;1,TYPE(MATCH(I199,I200:I$203,0))&gt;1),0,MATCH(I199,I200:I$203,0))+IF(OR(TYPE(I199)&gt;1,TYPE(MATCH(I199,O$11:O$203,0))&gt;1),0,MATCH(I199,O$11:O$203,0))+IF(OR(TYPE(I199)&gt;1,TYPE(MATCH(I199,U$11:U$203,0))&gt;1),0,MATCH(I199,U$11:U$203,0))+IF(OR(TYPE(I199)&gt;1,TYPE(MATCH(I199,AA$11:AA$203,0))&gt;1),0,MATCH(I199,AA$11:AA$203,0))</f>
        <v>0</v>
      </c>
      <c r="AO199" s="72">
        <f ca="1">IF(OR(TYPE(O199)&gt;1,TYPE(MATCH(O199,I$11:I$203,0))&gt;1),0,MATCH(O199,I$11:I$203,0))+IF(OR(TYPE(O199)&gt;1,TYPE(MATCH(O199,O200:O$203,0))&gt;1),0,MATCH(O199,O200:O$203,0))+IF(OR(TYPE(O199)&gt;1,TYPE(MATCH(O199,U$11:U$203,0))&gt;1),0,MATCH(O199,U$11:U$203,0))+IF(OR(TYPE(O199)&gt;1,TYPE(MATCH(O199,AA$11:AA$203,0))&gt;1),0,MATCH(O199,AA$11:AA$203,0))</f>
        <v>0</v>
      </c>
      <c r="AP199" s="72">
        <f ca="1">IF(OR(TYPE(U199)&gt;1,TYPE(MATCH(U199,I$11:I$203,0))&gt;1),0,MATCH(U199,I$11:I$203,0))+IF(OR(TYPE(U199)&gt;1,TYPE(MATCH(U199,O$11:O$203,0))&gt;1),0,MATCH(U199,O$11:O$203,0))+IF(OR(TYPE(U199)&gt;1,TYPE(MATCH(U199,U200:U$203,0))&gt;1),0,MATCH(U199,U200:U$203,0))+IF(OR(TYPE(U199)&gt;1,TYPE(MATCH(U199,AA$11:AA$203,0))&gt;1),0,MATCH(U199,AA$11:AA$203,0))</f>
        <v>0</v>
      </c>
      <c r="AQ199" s="72">
        <f ca="1">IF(OR(TYPE(AA199)&gt;1,TYPE(MATCH(AA199,I$11:I$203,0))&gt;1),0,MATCH(AA199,I$11:I$203,0))+IF(OR(TYPE(AA199)&gt;1,TYPE(MATCH(AA199,O$11:O$203,0))&gt;1),0,MATCH(AA199,O$11:O$203,0))+IF(OR(TYPE(AA199)&gt;1,TYPE(MATCH(AA199,U$11:U$203,0))&gt;1),0,MATCH(U199,U$11:U$203,0))+IF(OR(TYPE(AA199)&gt;1,TYPE(MATCH(AA199,AA200:AA$203,0))&gt;1),0,MATCH(AA199,AA200:AA$203,0))</f>
        <v>0</v>
      </c>
      <c r="AR199" s="72">
        <f t="shared" ca="1" si="89"/>
        <v>0</v>
      </c>
    </row>
    <row r="200" spans="1:44" ht="14.25">
      <c r="A200" s="103">
        <f t="shared" ca="1" si="75"/>
        <v>0</v>
      </c>
      <c r="B200" s="103">
        <f t="shared" ca="1" si="76"/>
        <v>0</v>
      </c>
      <c r="C200" s="156">
        <f t="shared" ca="1" si="77"/>
        <v>0</v>
      </c>
      <c r="D200" s="103">
        <f t="shared" ca="1" si="78"/>
        <v>99999</v>
      </c>
      <c r="E200" s="103">
        <f t="shared" ca="1" si="79"/>
        <v>9999</v>
      </c>
      <c r="F200" s="104" t="str">
        <f t="shared" ca="1" si="80"/>
        <v>00000000000000000000856027</v>
      </c>
      <c r="G200" s="145">
        <f t="shared" ca="1" si="81"/>
        <v>1</v>
      </c>
      <c r="H200" s="146">
        <f t="shared" si="82"/>
        <v>190</v>
      </c>
      <c r="I200" s="147" t="str">
        <f t="shared" ca="1" si="83"/>
        <v/>
      </c>
      <c r="J200" s="148" t="str">
        <f ca="1">IF(N(I200)&gt;0,VLOOKUP(I200,Hraci!$A$1:$I$1000,2,0),IF(TYPE(INDIRECT(ADDRESS(ROW() + $A$9-9 + (ROW()-11)*4,2,1,1,"Internet")))&gt;1,INDIRECT(ADDRESS(ROW() + $A$9-9 + (ROW()-11)*4,2,1,1,"Internet"))," "))</f>
        <v xml:space="preserve"> </v>
      </c>
      <c r="K200" s="149" t="str">
        <f ca="1">IF(N(I200)&gt;0,VLOOKUP(I200,Hraci!$A$1:$I$1000,3,0)," ")</f>
        <v xml:space="preserve"> </v>
      </c>
      <c r="L200" s="149" t="str">
        <f ca="1">IF(N(I200)&gt;0,VLOOKUP(I200,Hraci!$A$1:$I$1000,5,0),IF(TYPE(INDIRECT(ADDRESS(ROW() + $A$9-9 + (ROW()-11)*4,3,1,1,"Internet")))&gt;1,INDIRECT(ADDRESS(ROW() + $A$9-9 + (ROW()-11)*4,3,1,1,"Internet"))," "))</f>
        <v xml:space="preserve"> </v>
      </c>
      <c r="M200" s="149">
        <f ca="1">IF(N(I200)=0,9999,VLOOKUP(I200,Hraci!$A$1:$I$1000,8,0))</f>
        <v>9999</v>
      </c>
      <c r="N200" s="150">
        <f ca="1">IF(N(I200)=0,0,VLOOKUP(I200,Hraci!$A$1:$I$1000,9,0))</f>
        <v>0</v>
      </c>
      <c r="O200" s="147" t="str">
        <f t="shared" ca="1" si="84"/>
        <v/>
      </c>
      <c r="P200" s="148" t="str">
        <f ca="1">IF(N(O200)&gt;0,VLOOKUP(O200,Hraci!$A$1:$I$1000,2,0),IF(TYPE(INDIRECT(ADDRESS(ROW() + $A$9-8 + (ROW()-11)*4,2,1,1,"Internet")))&gt;1,INDIRECT(ADDRESS(ROW() + $A$9-8 + (ROW()-11)*4,2,1,1,"Internet"))," "))</f>
        <v xml:space="preserve"> </v>
      </c>
      <c r="Q200" s="149" t="str">
        <f ca="1">IF(N(O200)&gt;0,VLOOKUP(O200,Hraci!$A$1:$I$1000,3,0)," ")</f>
        <v xml:space="preserve"> </v>
      </c>
      <c r="R200" s="149" t="str">
        <f ca="1">IF(N(O200)&gt;0,VLOOKUP(O200,Hraci!$A$1:$I$1000,5,0),IF(TYPE(INDIRECT(ADDRESS(ROW() + $A$9-8 + (ROW()-11)*4,3,1,1,"Internet")))&gt;1,INDIRECT(ADDRESS(ROW() + $A$9-8 + (ROW()-11)*4,3,1,1,"Internet"))," "))</f>
        <v xml:space="preserve"> </v>
      </c>
      <c r="S200" s="149">
        <f ca="1">IF(N(O200)=0,9999,VLOOKUP(O200,Hraci!$A$1:$I$1000,8,0))</f>
        <v>9999</v>
      </c>
      <c r="T200" s="150">
        <f ca="1">IF(N(O200)=0,0,VLOOKUP(O200,Hraci!$A$1:$I$1000,9,0))</f>
        <v>0</v>
      </c>
      <c r="U200" s="147" t="str">
        <f t="shared" ca="1" si="85"/>
        <v/>
      </c>
      <c r="V200" s="148" t="str">
        <f ca="1">IF(N(U200)&gt;0,VLOOKUP(U200,Hraci!$A$1:$I$1000,2,0),IF(TYPE(INDIRECT(ADDRESS(ROW() + $A$9-7 + (ROW()-11)*4,2,1,1,"Internet")))&gt;1,INDIRECT(ADDRESS(ROW() + $A$9-7 + (ROW()-11)*4,2,1,1,"Internet"))," "))</f>
        <v xml:space="preserve"> </v>
      </c>
      <c r="W200" s="149" t="str">
        <f ca="1">IF(N(U200)&gt;0,VLOOKUP(U200,Hraci!$A$1:$I$1000,3,0)," ")</f>
        <v xml:space="preserve"> </v>
      </c>
      <c r="X200" s="149" t="str">
        <f ca="1">IF(N(U200)&gt;0,VLOOKUP(U200,Hraci!$A$1:$I$1000,5,0),IF(TYPE(INDIRECT(ADDRESS(ROW() + $A$9-7 + (ROW()-11)*4,3,1,1,"Internet")))&gt;1,INDIRECT(ADDRESS(ROW() + $A$9-7 + (ROW()-11)*4,3,1,1,"Internet"))," "))</f>
        <v xml:space="preserve"> </v>
      </c>
      <c r="Y200" s="149">
        <f ca="1">IF(N(U200)=0,9999,VLOOKUP(U200,Hraci!$A$1:$I$1000,8,0))</f>
        <v>9999</v>
      </c>
      <c r="Z200" s="150">
        <f ca="1">IF(N(U200)=0,0,VLOOKUP(U200,Hraci!$A$1:$I$1000,9,0))</f>
        <v>0</v>
      </c>
      <c r="AA200" s="147" t="str">
        <f t="shared" ca="1" si="86"/>
        <v/>
      </c>
      <c r="AB200" s="148" t="str">
        <f ca="1">IF(N(AA200)&gt;0,VLOOKUP(AA200,Hraci!$A$1:$I$1000,2,0)," ")</f>
        <v xml:space="preserve"> </v>
      </c>
      <c r="AC200" s="149" t="str">
        <f ca="1">IF(N(AA200)&gt;0,VLOOKUP(AA200,Hraci!$A$1:$I$1000,3,0)," ")</f>
        <v xml:space="preserve"> </v>
      </c>
      <c r="AD200" s="149" t="str">
        <f ca="1">IF(N(AA200)&gt;0,VLOOKUP(AA200,Hraci!$A$1:$I$1000,5,0)," ")</f>
        <v xml:space="preserve"> </v>
      </c>
      <c r="AE200" s="149">
        <f ca="1">IF(N(AA200)=0,9999,VLOOKUP(AA200,Hraci!$A$1:$I$1000,8,0))</f>
        <v>9999</v>
      </c>
      <c r="AF200" s="150">
        <f ca="1">IF(N(AA200)=0,0,VLOOKUP(AA200,Hraci!$A$1:$I$1000,9,0))</f>
        <v>0</v>
      </c>
      <c r="AG200" s="147"/>
      <c r="AH200" s="151">
        <f ca="1">IF(TYPE(VLOOKUP(H200,Nasazení!$A$3:$E$130,5,0))&lt;4,VLOOKUP(H200,Nasazení!$A$3:$E$130,5,0),0)</f>
        <v>0</v>
      </c>
      <c r="AI200" s="152" t="str">
        <f ca="1">IF(N($AH200)&gt;0,VLOOKUP($AH200,Body!$A$4:$F$259,5,0),"")</f>
        <v/>
      </c>
      <c r="AJ200" s="153" t="str">
        <f ca="1">IF(N($AH200)&gt;0,VLOOKUP($AH200,Body!$A$4:$F$259,6,0),"")</f>
        <v/>
      </c>
      <c r="AK200" s="152" t="str">
        <f ca="1">IF(N($AH200)&gt;0,VLOOKUP($AH200,Body!$A$4:$F$259,2,0),"")</f>
        <v/>
      </c>
      <c r="AL200" s="154" t="str">
        <f t="shared" ca="1" si="87"/>
        <v/>
      </c>
      <c r="AM200" s="155">
        <f t="shared" ca="1" si="88"/>
        <v>0</v>
      </c>
      <c r="AN200" s="72">
        <f ca="1">IF(OR(TYPE(I200)&gt;1,TYPE(MATCH(I200,I201:I$203,0))&gt;1),0,MATCH(I200,I201:I$203,0))+IF(OR(TYPE(I200)&gt;1,TYPE(MATCH(I200,O$11:O$203,0))&gt;1),0,MATCH(I200,O$11:O$203,0))+IF(OR(TYPE(I200)&gt;1,TYPE(MATCH(I200,U$11:U$203,0))&gt;1),0,MATCH(I200,U$11:U$203,0))+IF(OR(TYPE(I200)&gt;1,TYPE(MATCH(I200,AA$11:AA$203,0))&gt;1),0,MATCH(I200,AA$11:AA$203,0))</f>
        <v>0</v>
      </c>
      <c r="AO200" s="72">
        <f ca="1">IF(OR(TYPE(O200)&gt;1,TYPE(MATCH(O200,I$11:I$203,0))&gt;1),0,MATCH(O200,I$11:I$203,0))+IF(OR(TYPE(O200)&gt;1,TYPE(MATCH(O200,O201:O$203,0))&gt;1),0,MATCH(O200,O201:O$203,0))+IF(OR(TYPE(O200)&gt;1,TYPE(MATCH(O200,U$11:U$203,0))&gt;1),0,MATCH(O200,U$11:U$203,0))+IF(OR(TYPE(O200)&gt;1,TYPE(MATCH(O200,AA$11:AA$203,0))&gt;1),0,MATCH(O200,AA$11:AA$203,0))</f>
        <v>0</v>
      </c>
      <c r="AP200" s="72">
        <f ca="1">IF(OR(TYPE(U200)&gt;1,TYPE(MATCH(U200,I$11:I$203,0))&gt;1),0,MATCH(U200,I$11:I$203,0))+IF(OR(TYPE(U200)&gt;1,TYPE(MATCH(U200,O$11:O$203,0))&gt;1),0,MATCH(U200,O$11:O$203,0))+IF(OR(TYPE(U200)&gt;1,TYPE(MATCH(U200,U201:U$203,0))&gt;1),0,MATCH(U200,U201:U$203,0))+IF(OR(TYPE(U200)&gt;1,TYPE(MATCH(U200,AA$11:AA$203,0))&gt;1),0,MATCH(U200,AA$11:AA$203,0))</f>
        <v>0</v>
      </c>
      <c r="AQ200" s="72">
        <f ca="1">IF(OR(TYPE(AA200)&gt;1,TYPE(MATCH(AA200,I$11:I$203,0))&gt;1),0,MATCH(AA200,I$11:I$203,0))+IF(OR(TYPE(AA200)&gt;1,TYPE(MATCH(AA200,O$11:O$203,0))&gt;1),0,MATCH(AA200,O$11:O$203,0))+IF(OR(TYPE(AA200)&gt;1,TYPE(MATCH(AA200,U$11:U$203,0))&gt;1),0,MATCH(U200,U$11:U$203,0))+IF(OR(TYPE(AA200)&gt;1,TYPE(MATCH(AA200,AA201:AA$203,0))&gt;1),0,MATCH(AA200,AA201:AA$203,0))</f>
        <v>0</v>
      </c>
      <c r="AR200" s="72">
        <f t="shared" ca="1" si="89"/>
        <v>0</v>
      </c>
    </row>
    <row r="201" spans="1:44" ht="14.25">
      <c r="A201" s="103">
        <f t="shared" ca="1" si="75"/>
        <v>0</v>
      </c>
      <c r="B201" s="103">
        <f t="shared" ca="1" si="76"/>
        <v>0</v>
      </c>
      <c r="C201" s="156">
        <f t="shared" ca="1" si="77"/>
        <v>0</v>
      </c>
      <c r="D201" s="103">
        <f t="shared" ca="1" si="78"/>
        <v>99999</v>
      </c>
      <c r="E201" s="103">
        <f t="shared" ca="1" si="79"/>
        <v>9999</v>
      </c>
      <c r="F201" s="104" t="str">
        <f t="shared" ca="1" si="80"/>
        <v>00000000000000000000915945</v>
      </c>
      <c r="G201" s="145">
        <f t="shared" ca="1" si="81"/>
        <v>1</v>
      </c>
      <c r="H201" s="146">
        <f t="shared" si="82"/>
        <v>191</v>
      </c>
      <c r="I201" s="147" t="str">
        <f t="shared" ca="1" si="83"/>
        <v/>
      </c>
      <c r="J201" s="148" t="str">
        <f ca="1">IF(N(I201)&gt;0,VLOOKUP(I201,Hraci!$A$1:$I$1000,2,0),IF(TYPE(INDIRECT(ADDRESS(ROW() + $A$9-9 + (ROW()-11)*4,2,1,1,"Internet")))&gt;1,INDIRECT(ADDRESS(ROW() + $A$9-9 + (ROW()-11)*4,2,1,1,"Internet"))," "))</f>
        <v xml:space="preserve"> </v>
      </c>
      <c r="K201" s="149" t="str">
        <f ca="1">IF(N(I201)&gt;0,VLOOKUP(I201,Hraci!$A$1:$I$1000,3,0)," ")</f>
        <v xml:space="preserve"> </v>
      </c>
      <c r="L201" s="149" t="str">
        <f ca="1">IF(N(I201)&gt;0,VLOOKUP(I201,Hraci!$A$1:$I$1000,5,0),IF(TYPE(INDIRECT(ADDRESS(ROW() + $A$9-9 + (ROW()-11)*4,3,1,1,"Internet")))&gt;1,INDIRECT(ADDRESS(ROW() + $A$9-9 + (ROW()-11)*4,3,1,1,"Internet"))," "))</f>
        <v xml:space="preserve"> </v>
      </c>
      <c r="M201" s="149">
        <f ca="1">IF(N(I201)=0,9999,VLOOKUP(I201,Hraci!$A$1:$I$1000,8,0))</f>
        <v>9999</v>
      </c>
      <c r="N201" s="150">
        <f ca="1">IF(N(I201)=0,0,VLOOKUP(I201,Hraci!$A$1:$I$1000,9,0))</f>
        <v>0</v>
      </c>
      <c r="O201" s="147" t="str">
        <f t="shared" ca="1" si="84"/>
        <v/>
      </c>
      <c r="P201" s="148" t="str">
        <f ca="1">IF(N(O201)&gt;0,VLOOKUP(O201,Hraci!$A$1:$I$1000,2,0),IF(TYPE(INDIRECT(ADDRESS(ROW() + $A$9-8 + (ROW()-11)*4,2,1,1,"Internet")))&gt;1,INDIRECT(ADDRESS(ROW() + $A$9-8 + (ROW()-11)*4,2,1,1,"Internet"))," "))</f>
        <v xml:space="preserve"> </v>
      </c>
      <c r="Q201" s="149" t="str">
        <f ca="1">IF(N(O201)&gt;0,VLOOKUP(O201,Hraci!$A$1:$I$1000,3,0)," ")</f>
        <v xml:space="preserve"> </v>
      </c>
      <c r="R201" s="149" t="str">
        <f ca="1">IF(N(O201)&gt;0,VLOOKUP(O201,Hraci!$A$1:$I$1000,5,0),IF(TYPE(INDIRECT(ADDRESS(ROW() + $A$9-8 + (ROW()-11)*4,3,1,1,"Internet")))&gt;1,INDIRECT(ADDRESS(ROW() + $A$9-8 + (ROW()-11)*4,3,1,1,"Internet"))," "))</f>
        <v xml:space="preserve"> </v>
      </c>
      <c r="S201" s="149">
        <f ca="1">IF(N(O201)=0,9999,VLOOKUP(O201,Hraci!$A$1:$I$1000,8,0))</f>
        <v>9999</v>
      </c>
      <c r="T201" s="150">
        <f ca="1">IF(N(O201)=0,0,VLOOKUP(O201,Hraci!$A$1:$I$1000,9,0))</f>
        <v>0</v>
      </c>
      <c r="U201" s="147" t="str">
        <f t="shared" ca="1" si="85"/>
        <v/>
      </c>
      <c r="V201" s="148" t="str">
        <f ca="1">IF(N(U201)&gt;0,VLOOKUP(U201,Hraci!$A$1:$I$1000,2,0),IF(TYPE(INDIRECT(ADDRESS(ROW() + $A$9-7 + (ROW()-11)*4,2,1,1,"Internet")))&gt;1,INDIRECT(ADDRESS(ROW() + $A$9-7 + (ROW()-11)*4,2,1,1,"Internet"))," "))</f>
        <v xml:space="preserve"> </v>
      </c>
      <c r="W201" s="149" t="str">
        <f ca="1">IF(N(U201)&gt;0,VLOOKUP(U201,Hraci!$A$1:$I$1000,3,0)," ")</f>
        <v xml:space="preserve"> </v>
      </c>
      <c r="X201" s="149" t="str">
        <f ca="1">IF(N(U201)&gt;0,VLOOKUP(U201,Hraci!$A$1:$I$1000,5,0),IF(TYPE(INDIRECT(ADDRESS(ROW() + $A$9-7 + (ROW()-11)*4,3,1,1,"Internet")))&gt;1,INDIRECT(ADDRESS(ROW() + $A$9-7 + (ROW()-11)*4,3,1,1,"Internet"))," "))</f>
        <v xml:space="preserve"> </v>
      </c>
      <c r="Y201" s="149">
        <f ca="1">IF(N(U201)=0,9999,VLOOKUP(U201,Hraci!$A$1:$I$1000,8,0))</f>
        <v>9999</v>
      </c>
      <c r="Z201" s="150">
        <f ca="1">IF(N(U201)=0,0,VLOOKUP(U201,Hraci!$A$1:$I$1000,9,0))</f>
        <v>0</v>
      </c>
      <c r="AA201" s="147" t="str">
        <f t="shared" ca="1" si="86"/>
        <v/>
      </c>
      <c r="AB201" s="148" t="str">
        <f ca="1">IF(N(AA201)&gt;0,VLOOKUP(AA201,Hraci!$A$1:$I$1000,2,0)," ")</f>
        <v xml:space="preserve"> </v>
      </c>
      <c r="AC201" s="149" t="str">
        <f ca="1">IF(N(AA201)&gt;0,VLOOKUP(AA201,Hraci!$A$1:$I$1000,3,0)," ")</f>
        <v xml:space="preserve"> </v>
      </c>
      <c r="AD201" s="149" t="str">
        <f ca="1">IF(N(AA201)&gt;0,VLOOKUP(AA201,Hraci!$A$1:$I$1000,5,0)," ")</f>
        <v xml:space="preserve"> </v>
      </c>
      <c r="AE201" s="149">
        <f ca="1">IF(N(AA201)=0,9999,VLOOKUP(AA201,Hraci!$A$1:$I$1000,8,0))</f>
        <v>9999</v>
      </c>
      <c r="AF201" s="150">
        <f ca="1">IF(N(AA201)=0,0,VLOOKUP(AA201,Hraci!$A$1:$I$1000,9,0))</f>
        <v>0</v>
      </c>
      <c r="AG201" s="147"/>
      <c r="AH201" s="151">
        <f ca="1">IF(TYPE(VLOOKUP(H201,Nasazení!$A$3:$E$130,5,0))&lt;4,VLOOKUP(H201,Nasazení!$A$3:$E$130,5,0),0)</f>
        <v>0</v>
      </c>
      <c r="AI201" s="152" t="str">
        <f ca="1">IF(N($AH201)&gt;0,VLOOKUP($AH201,Body!$A$4:$F$259,5,0),"")</f>
        <v/>
      </c>
      <c r="AJ201" s="153" t="str">
        <f ca="1">IF(N($AH201)&gt;0,VLOOKUP($AH201,Body!$A$4:$F$259,6,0),"")</f>
        <v/>
      </c>
      <c r="AK201" s="152" t="str">
        <f ca="1">IF(N($AH201)&gt;0,VLOOKUP($AH201,Body!$A$4:$F$259,2,0),"")</f>
        <v/>
      </c>
      <c r="AL201" s="154" t="str">
        <f t="shared" ca="1" si="87"/>
        <v/>
      </c>
      <c r="AM201" s="155">
        <f t="shared" ca="1" si="88"/>
        <v>0</v>
      </c>
      <c r="AN201" s="72">
        <f ca="1">IF(OR(TYPE(I201)&gt;1,TYPE(MATCH(I201,I202:I$203,0))&gt;1),0,MATCH(I201,I202:I$203,0))+IF(OR(TYPE(I201)&gt;1,TYPE(MATCH(I201,O$11:O$203,0))&gt;1),0,MATCH(I201,O$11:O$203,0))+IF(OR(TYPE(I201)&gt;1,TYPE(MATCH(I201,U$11:U$203,0))&gt;1),0,MATCH(I201,U$11:U$203,0))+IF(OR(TYPE(I201)&gt;1,TYPE(MATCH(I201,AA$11:AA$203,0))&gt;1),0,MATCH(I201,AA$11:AA$203,0))</f>
        <v>0</v>
      </c>
      <c r="AO201" s="72">
        <f ca="1">IF(OR(TYPE(O201)&gt;1,TYPE(MATCH(O201,I$11:I$203,0))&gt;1),0,MATCH(O201,I$11:I$203,0))+IF(OR(TYPE(O201)&gt;1,TYPE(MATCH(O201,O202:O$203,0))&gt;1),0,MATCH(O201,O202:O$203,0))+IF(OR(TYPE(O201)&gt;1,TYPE(MATCH(O201,U$11:U$203,0))&gt;1),0,MATCH(O201,U$11:U$203,0))+IF(OR(TYPE(O201)&gt;1,TYPE(MATCH(O201,AA$11:AA$203,0))&gt;1),0,MATCH(O201,AA$11:AA$203,0))</f>
        <v>0</v>
      </c>
      <c r="AP201" s="72">
        <f ca="1">IF(OR(TYPE(U201)&gt;1,TYPE(MATCH(U201,I$11:I$203,0))&gt;1),0,MATCH(U201,I$11:I$203,0))+IF(OR(TYPE(U201)&gt;1,TYPE(MATCH(U201,O$11:O$203,0))&gt;1),0,MATCH(U201,O$11:O$203,0))+IF(OR(TYPE(U201)&gt;1,TYPE(MATCH(U201,U202:U$203,0))&gt;1),0,MATCH(U201,U202:U$203,0))+IF(OR(TYPE(U201)&gt;1,TYPE(MATCH(U201,AA$11:AA$203,0))&gt;1),0,MATCH(U201,AA$11:AA$203,0))</f>
        <v>0</v>
      </c>
      <c r="AQ201" s="72">
        <f ca="1">IF(OR(TYPE(AA201)&gt;1,TYPE(MATCH(AA201,I$11:I$203,0))&gt;1),0,MATCH(AA201,I$11:I$203,0))+IF(OR(TYPE(AA201)&gt;1,TYPE(MATCH(AA201,O$11:O$203,0))&gt;1),0,MATCH(AA201,O$11:O$203,0))+IF(OR(TYPE(AA201)&gt;1,TYPE(MATCH(AA201,U$11:U$203,0))&gt;1),0,MATCH(U201,U$11:U$203,0))+IF(OR(TYPE(AA201)&gt;1,TYPE(MATCH(AA201,AA202:AA$203,0))&gt;1),0,MATCH(AA201,AA202:AA$203,0))</f>
        <v>0</v>
      </c>
      <c r="AR201" s="72">
        <f t="shared" ca="1" si="89"/>
        <v>0</v>
      </c>
    </row>
    <row r="202" spans="1:44" ht="14.25">
      <c r="A202" s="103">
        <f t="shared" ca="1" si="75"/>
        <v>0</v>
      </c>
      <c r="B202" s="103">
        <f t="shared" ca="1" si="76"/>
        <v>0</v>
      </c>
      <c r="C202" s="156">
        <f t="shared" ca="1" si="77"/>
        <v>0</v>
      </c>
      <c r="D202" s="103">
        <f t="shared" ca="1" si="78"/>
        <v>99999</v>
      </c>
      <c r="E202" s="103">
        <f t="shared" ca="1" si="79"/>
        <v>9999</v>
      </c>
      <c r="F202" s="104" t="str">
        <f t="shared" ca="1" si="80"/>
        <v>00000000000000000000495062</v>
      </c>
      <c r="G202" s="145">
        <f t="shared" ca="1" si="81"/>
        <v>1</v>
      </c>
      <c r="H202" s="146">
        <f t="shared" si="82"/>
        <v>192</v>
      </c>
      <c r="I202" s="147" t="str">
        <f t="shared" ca="1" si="83"/>
        <v/>
      </c>
      <c r="J202" s="148" t="str">
        <f ca="1">IF(N(I202)&gt;0,VLOOKUP(I202,Hraci!$A$1:$I$1000,2,0),IF(TYPE(INDIRECT(ADDRESS(ROW() + $A$9-9 + (ROW()-11)*4,2,1,1,"Internet")))&gt;1,INDIRECT(ADDRESS(ROW() + $A$9-9 + (ROW()-11)*4,2,1,1,"Internet"))," "))</f>
        <v xml:space="preserve"> </v>
      </c>
      <c r="K202" s="149" t="str">
        <f ca="1">IF(N(I202)&gt;0,VLOOKUP(I202,Hraci!$A$1:$I$1000,3,0)," ")</f>
        <v xml:space="preserve"> </v>
      </c>
      <c r="L202" s="149" t="str">
        <f ca="1">IF(N(I202)&gt;0,VLOOKUP(I202,Hraci!$A$1:$I$1000,5,0),IF(TYPE(INDIRECT(ADDRESS(ROW() + $A$9-9 + (ROW()-11)*4,3,1,1,"Internet")))&gt;1,INDIRECT(ADDRESS(ROW() + $A$9-9 + (ROW()-11)*4,3,1,1,"Internet"))," "))</f>
        <v xml:space="preserve"> </v>
      </c>
      <c r="M202" s="149">
        <f ca="1">IF(N(I202)=0,9999,VLOOKUP(I202,Hraci!$A$1:$I$1000,8,0))</f>
        <v>9999</v>
      </c>
      <c r="N202" s="150">
        <f ca="1">IF(N(I202)=0,0,VLOOKUP(I202,Hraci!$A$1:$I$1000,9,0))</f>
        <v>0</v>
      </c>
      <c r="O202" s="147" t="str">
        <f t="shared" ca="1" si="84"/>
        <v/>
      </c>
      <c r="P202" s="148" t="str">
        <f ca="1">IF(N(O202)&gt;0,VLOOKUP(O202,Hraci!$A$1:$I$1000,2,0),IF(TYPE(INDIRECT(ADDRESS(ROW() + $A$9-8 + (ROW()-11)*4,2,1,1,"Internet")))&gt;1,INDIRECT(ADDRESS(ROW() + $A$9-8 + (ROW()-11)*4,2,1,1,"Internet"))," "))</f>
        <v xml:space="preserve"> </v>
      </c>
      <c r="Q202" s="149" t="str">
        <f ca="1">IF(N(O202)&gt;0,VLOOKUP(O202,Hraci!$A$1:$I$1000,3,0)," ")</f>
        <v xml:space="preserve"> </v>
      </c>
      <c r="R202" s="149" t="str">
        <f ca="1">IF(N(O202)&gt;0,VLOOKUP(O202,Hraci!$A$1:$I$1000,5,0),IF(TYPE(INDIRECT(ADDRESS(ROW() + $A$9-8 + (ROW()-11)*4,3,1,1,"Internet")))&gt;1,INDIRECT(ADDRESS(ROW() + $A$9-8 + (ROW()-11)*4,3,1,1,"Internet"))," "))</f>
        <v xml:space="preserve"> </v>
      </c>
      <c r="S202" s="149">
        <f ca="1">IF(N(O202)=0,9999,VLOOKUP(O202,Hraci!$A$1:$I$1000,8,0))</f>
        <v>9999</v>
      </c>
      <c r="T202" s="150">
        <f ca="1">IF(N(O202)=0,0,VLOOKUP(O202,Hraci!$A$1:$I$1000,9,0))</f>
        <v>0</v>
      </c>
      <c r="U202" s="147" t="str">
        <f t="shared" ca="1" si="85"/>
        <v/>
      </c>
      <c r="V202" s="148" t="str">
        <f ca="1">IF(N(U202)&gt;0,VLOOKUP(U202,Hraci!$A$1:$I$1000,2,0),IF(TYPE(INDIRECT(ADDRESS(ROW() + $A$9-7 + (ROW()-11)*4,2,1,1,"Internet")))&gt;1,INDIRECT(ADDRESS(ROW() + $A$9-7 + (ROW()-11)*4,2,1,1,"Internet"))," "))</f>
        <v xml:space="preserve"> </v>
      </c>
      <c r="W202" s="149" t="str">
        <f ca="1">IF(N(U202)&gt;0,VLOOKUP(U202,Hraci!$A$1:$I$1000,3,0)," ")</f>
        <v xml:space="preserve"> </v>
      </c>
      <c r="X202" s="149" t="str">
        <f ca="1">IF(N(U202)&gt;0,VLOOKUP(U202,Hraci!$A$1:$I$1000,5,0),IF(TYPE(INDIRECT(ADDRESS(ROW() + $A$9-7 + (ROW()-11)*4,3,1,1,"Internet")))&gt;1,INDIRECT(ADDRESS(ROW() + $A$9-7 + (ROW()-11)*4,3,1,1,"Internet"))," "))</f>
        <v xml:space="preserve"> </v>
      </c>
      <c r="Y202" s="149">
        <f ca="1">IF(N(U202)=0,9999,VLOOKUP(U202,Hraci!$A$1:$I$1000,8,0))</f>
        <v>9999</v>
      </c>
      <c r="Z202" s="150">
        <f ca="1">IF(N(U202)=0,0,VLOOKUP(U202,Hraci!$A$1:$I$1000,9,0))</f>
        <v>0</v>
      </c>
      <c r="AA202" s="147" t="str">
        <f t="shared" ca="1" si="86"/>
        <v/>
      </c>
      <c r="AB202" s="148" t="str">
        <f ca="1">IF(N(AA202)&gt;0,VLOOKUP(AA202,Hraci!$A$1:$I$1000,2,0)," ")</f>
        <v xml:space="preserve"> </v>
      </c>
      <c r="AC202" s="149" t="str">
        <f ca="1">IF(N(AA202)&gt;0,VLOOKUP(AA202,Hraci!$A$1:$I$1000,3,0)," ")</f>
        <v xml:space="preserve"> </v>
      </c>
      <c r="AD202" s="149" t="str">
        <f ca="1">IF(N(AA202)&gt;0,VLOOKUP(AA202,Hraci!$A$1:$I$1000,5,0)," ")</f>
        <v xml:space="preserve"> </v>
      </c>
      <c r="AE202" s="149">
        <f ca="1">IF(N(AA202)=0,9999,VLOOKUP(AA202,Hraci!$A$1:$I$1000,8,0))</f>
        <v>9999</v>
      </c>
      <c r="AF202" s="150">
        <f ca="1">IF(N(AA202)=0,0,VLOOKUP(AA202,Hraci!$A$1:$I$1000,9,0))</f>
        <v>0</v>
      </c>
      <c r="AG202" s="147"/>
      <c r="AH202" s="151">
        <f ca="1">IF(TYPE(VLOOKUP(H202,Nasazení!$A$3:$E$130,5,0))&lt;4,VLOOKUP(H202,Nasazení!$A$3:$E$130,5,0),0)</f>
        <v>0</v>
      </c>
      <c r="AI202" s="152" t="str">
        <f ca="1">IF(N($AH202)&gt;0,VLOOKUP($AH202,Body!$A$4:$F$259,5,0),"")</f>
        <v/>
      </c>
      <c r="AJ202" s="153" t="str">
        <f ca="1">IF(N($AH202)&gt;0,VLOOKUP($AH202,Body!$A$4:$F$259,6,0),"")</f>
        <v/>
      </c>
      <c r="AK202" s="152" t="str">
        <f ca="1">IF(N($AH202)&gt;0,VLOOKUP($AH202,Body!$A$4:$F$259,2,0),"")</f>
        <v/>
      </c>
      <c r="AL202" s="154" t="str">
        <f t="shared" ca="1" si="87"/>
        <v/>
      </c>
      <c r="AM202" s="155">
        <f t="shared" ca="1" si="88"/>
        <v>0</v>
      </c>
      <c r="AN202" s="72">
        <f ca="1">IF(OR(TYPE(I202)&gt;1,TYPE(MATCH(I202,I$203:I203,0))&gt;1),0,MATCH(I202,I$203:I203,0))+IF(OR(TYPE(I202)&gt;1,TYPE(MATCH(I202,O$11:O$203,0))&gt;1),0,MATCH(I202,O$11:O$203,0))+IF(OR(TYPE(I202)&gt;1,TYPE(MATCH(I202,U$11:U$203,0))&gt;1),0,MATCH(I202,U$11:U$203,0))+IF(OR(TYPE(I202)&gt;1,TYPE(MATCH(I202,AA$11:AA$203,0))&gt;1),0,MATCH(I202,AA$11:AA$203,0))</f>
        <v>0</v>
      </c>
      <c r="AO202" s="72">
        <f ca="1">IF(OR(TYPE(O202)&gt;1,TYPE(MATCH(O202,I$11:I$203,0))&gt;1),0,MATCH(O202,I$11:I$203,0))+IF(OR(TYPE(O202)&gt;1,TYPE(MATCH(O202,O$203:O203,0))&gt;1),0,MATCH(O202,O$203:O203,0))+IF(OR(TYPE(O202)&gt;1,TYPE(MATCH(O202,U$11:U$203,0))&gt;1),0,MATCH(O202,U$11:U$203,0))+IF(OR(TYPE(O202)&gt;1,TYPE(MATCH(O202,AA$11:AA$203,0))&gt;1),0,MATCH(O202,AA$11:AA$203,0))</f>
        <v>0</v>
      </c>
      <c r="AP202" s="72">
        <f ca="1">IF(OR(TYPE(U202)&gt;1,TYPE(MATCH(U202,I$11:I$203,0))&gt;1),0,MATCH(U202,I$11:I$203,0))+IF(OR(TYPE(U202)&gt;1,TYPE(MATCH(U202,O$11:O$203,0))&gt;1),0,MATCH(U202,O$11:O$203,0))+IF(OR(TYPE(U202)&gt;1,TYPE(MATCH(U202,U$203:U203,0))&gt;1),0,MATCH(U202,U$203:U203,0))+IF(OR(TYPE(U202)&gt;1,TYPE(MATCH(U202,AA$11:AA$203,0))&gt;1),0,MATCH(U202,AA$11:AA$203,0))</f>
        <v>0</v>
      </c>
      <c r="AQ202" s="72">
        <f ca="1">IF(OR(TYPE(AA202)&gt;1,TYPE(MATCH(AA202,I$11:I$203,0))&gt;1),0,MATCH(AA202,I$11:I$203,0))+IF(OR(TYPE(AA202)&gt;1,TYPE(MATCH(AA202,O$11:O$203,0))&gt;1),0,MATCH(AA202,O$11:O$203,0))+IF(OR(TYPE(AA202)&gt;1,TYPE(MATCH(AA202,U$11:U$203,0))&gt;1),0,MATCH(U202,U$11:U$203,0))+IF(OR(TYPE(AA202)&gt;1,TYPE(MATCH(AA202,AA$203:AA203,0))&gt;1),0,MATCH(AA202,AA$203:AA203,0))</f>
        <v>0</v>
      </c>
      <c r="AR202" s="72">
        <f t="shared" ca="1" si="89"/>
        <v>0</v>
      </c>
    </row>
  </sheetData>
  <sheetProtection password="CA1B" sheet="1" objects="1" scenarios="1" formatCells="0" formatColumns="0" formatRows="0" autoFilter="0"/>
  <conditionalFormatting sqref="G11:G202">
    <cfRule type="cellIs" dxfId="192" priority="2" operator="equal">
      <formula>0</formula>
    </cfRule>
    <cfRule type="cellIs" dxfId="191" priority="3" operator="notEqual">
      <formula>0</formula>
    </cfRule>
    <cfRule type="expression" dxfId="190" priority="4">
      <formula>IF(B11=0,1,0)</formula>
    </cfRule>
  </conditionalFormatting>
  <conditionalFormatting sqref="I11:I202">
    <cfRule type="expression" dxfId="189" priority="5">
      <formula>$AN11&gt;0</formula>
    </cfRule>
    <cfRule type="expression" dxfId="188" priority="6">
      <formula>IF(OR(LEFT(J11,1)=" ",ISBLANK(J11)),1,0)</formula>
    </cfRule>
  </conditionalFormatting>
  <conditionalFormatting sqref="O11:O202">
    <cfRule type="expression" dxfId="187" priority="7">
      <formula>$AO11&gt;0</formula>
    </cfRule>
    <cfRule type="expression" dxfId="186" priority="8">
      <formula>IF(OR(LEFT(P11,1)=" ",ISBLANK(P11)),1,0)</formula>
    </cfRule>
  </conditionalFormatting>
  <conditionalFormatting sqref="U11:U202">
    <cfRule type="expression" dxfId="185" priority="9">
      <formula>$AP11&gt;0</formula>
    </cfRule>
    <cfRule type="expression" dxfId="184" priority="10">
      <formula>IF(OR(LEFT(V11,1)=" ",ISBLANK(V11)),1,0)</formula>
    </cfRule>
  </conditionalFormatting>
  <conditionalFormatting sqref="AA11:AA202 AG11:AG202">
    <cfRule type="expression" dxfId="183" priority="11">
      <formula>$AQ11&gt;0</formula>
    </cfRule>
    <cfRule type="expression" dxfId="182" priority="12">
      <formula>IF(OR(LEFT(AB11,1)=" ",ISBLANK(AB11)),1,0)</formula>
    </cfRule>
  </conditionalFormatting>
  <conditionalFormatting sqref="J11:J202 P11:P202 V11:V202 AB11:AB202">
    <cfRule type="expression" dxfId="181" priority="13">
      <formula>IF(OR(LEFT(J11,1)=" ",ISBLANK(J11)),1,0)</formula>
    </cfRule>
  </conditionalFormatting>
  <pageMargins left="0.78749999999999998" right="0.78749999999999998" top="0.31527777777777799" bottom="0.31527777777777799" header="0.51180555555555496" footer="0.51180555555555496"/>
  <pageSetup paperSize="9" firstPageNumber="0" fitToHeight="3" orientation="landscape" horizontalDpi="300" verticalDpi="300"/>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zoomScaleNormal="100" workbookViewId="0">
      <selection activeCell="A5" sqref="A5"/>
    </sheetView>
  </sheetViews>
  <sheetFormatPr defaultColWidth="8.7109375" defaultRowHeight="12.75"/>
  <cols>
    <col min="1" max="1" width="8.140625" customWidth="1"/>
    <col min="2" max="2" width="11" customWidth="1"/>
    <col min="5" max="5" width="11.42578125" customWidth="1"/>
  </cols>
  <sheetData>
    <row r="1" spans="1:9">
      <c r="A1" s="515" t="s">
        <v>1804</v>
      </c>
      <c r="B1" s="516"/>
      <c r="C1" s="516"/>
      <c r="D1" s="516"/>
      <c r="E1" s="516"/>
    </row>
    <row r="3" spans="1:9" ht="31.15" customHeight="1">
      <c r="A3" s="528" t="s">
        <v>1805</v>
      </c>
      <c r="B3" s="520" t="s">
        <v>1806</v>
      </c>
      <c r="C3" s="529" t="s">
        <v>1807</v>
      </c>
      <c r="D3" s="530">
        <f ca="1">MAX(D4:D8)</f>
        <v>4</v>
      </c>
      <c r="E3" s="531" t="s">
        <v>1808</v>
      </c>
      <c r="F3" s="532">
        <f ca="1">Start.listina!$K$7</f>
        <v>16</v>
      </c>
      <c r="G3" s="532"/>
      <c r="I3" s="532"/>
    </row>
    <row r="4" spans="1:9">
      <c r="A4">
        <v>9</v>
      </c>
      <c r="B4">
        <v>16</v>
      </c>
      <c r="C4">
        <v>4</v>
      </c>
      <c r="D4" s="308">
        <f ca="1">IF(AND($F$3&gt;=A4,$F$3&lt;=B4),C4,0)</f>
        <v>4</v>
      </c>
    </row>
    <row r="5" spans="1:9">
      <c r="A5">
        <v>17</v>
      </c>
      <c r="B5">
        <v>32</v>
      </c>
      <c r="C5">
        <v>5</v>
      </c>
      <c r="D5" s="308">
        <f ca="1">IF(AND($F$3&gt;=A5,$F$3&lt;=B5),C5,0)</f>
        <v>0</v>
      </c>
    </row>
    <row r="6" spans="1:9">
      <c r="A6">
        <v>33</v>
      </c>
      <c r="B6">
        <v>64</v>
      </c>
      <c r="C6">
        <v>6</v>
      </c>
      <c r="D6" s="308">
        <f ca="1">IF(AND($F$3&gt;=A6,$F$3&lt;=B6),C6,0)</f>
        <v>0</v>
      </c>
    </row>
    <row r="7" spans="1:9">
      <c r="A7">
        <v>65</v>
      </c>
      <c r="B7">
        <v>128</v>
      </c>
      <c r="C7">
        <v>7</v>
      </c>
      <c r="D7" s="308">
        <f ca="1">IF(AND($F$3&gt;=A7,$F$3&lt;=B7),C7,0)</f>
        <v>0</v>
      </c>
    </row>
    <row r="8" spans="1:9">
      <c r="A8">
        <v>129</v>
      </c>
      <c r="B8">
        <v>256</v>
      </c>
      <c r="C8">
        <v>8</v>
      </c>
      <c r="D8" s="308">
        <f ca="1">IF(AND($F$3&gt;=A8,$F$3&lt;=B8),C8,0)</f>
        <v>0</v>
      </c>
    </row>
  </sheetData>
  <conditionalFormatting sqref="D4:D8">
    <cfRule type="cellIs" dxfId="0" priority="2" operator="equal">
      <formula>0</formula>
    </cfRule>
  </conditionalFormatting>
  <pageMargins left="0.78749999999999998" right="0.78749999999999998" top="0.98402777777777795" bottom="0.98402777777777795" header="0.51180555555555496" footer="0.51180555555555496"/>
  <pageSetup paperSize="9" firstPageNumber="0" orientation="portrait" horizontalDpi="300" verticalDpi="30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028"/>
  <sheetViews>
    <sheetView zoomScaleNormal="100" workbookViewId="0">
      <pane ySplit="4" topLeftCell="A5" activePane="bottomLeft" state="frozen"/>
      <selection pane="bottomLeft" activeCell="A5" sqref="A5"/>
    </sheetView>
  </sheetViews>
  <sheetFormatPr defaultColWidth="8.7109375"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c r="A1" s="158" t="s">
        <v>1809</v>
      </c>
      <c r="B1" s="159"/>
      <c r="C1" s="159"/>
      <c r="D1" s="533"/>
      <c r="E1" s="160"/>
      <c r="F1" s="161"/>
      <c r="G1" s="534" t="e">
        <f>'Kvalita turnaje'!#REF!</f>
        <v>#REF!</v>
      </c>
      <c r="H1" s="518" t="s">
        <v>1810</v>
      </c>
      <c r="I1" s="161"/>
    </row>
    <row r="2" spans="1:9" ht="27.75" customHeight="1">
      <c r="A2" s="535">
        <f>Start.listina!$K$2</f>
        <v>20077</v>
      </c>
      <c r="B2" s="536" t="str">
        <f>Start.listina!$K$4</f>
        <v>Polouveský májový turnaj</v>
      </c>
      <c r="C2" s="32"/>
      <c r="D2" s="33"/>
      <c r="E2" s="537" t="str">
        <f>Start.listina!$K$3</f>
        <v>20.06.2020Polouvsí</v>
      </c>
      <c r="G2" s="538">
        <f ca="1">Start.listina!$K$7</f>
        <v>16</v>
      </c>
      <c r="H2" s="518" t="s">
        <v>1794</v>
      </c>
      <c r="I2" s="161"/>
    </row>
    <row r="3" spans="1:9" ht="21.75" customHeight="1">
      <c r="A3" s="161"/>
      <c r="B3" s="161"/>
      <c r="C3" s="161"/>
      <c r="D3" s="161"/>
      <c r="E3" s="161"/>
      <c r="F3" s="161"/>
      <c r="G3" s="161"/>
      <c r="H3" s="161"/>
      <c r="I3" s="161"/>
    </row>
    <row r="4" spans="1:9" ht="24.75" customHeight="1">
      <c r="A4" s="539" t="s">
        <v>1811</v>
      </c>
      <c r="B4" s="540" t="s">
        <v>1611</v>
      </c>
      <c r="C4" s="540" t="s">
        <v>1629</v>
      </c>
      <c r="D4" s="540" t="s">
        <v>1615</v>
      </c>
      <c r="E4" s="540" t="s">
        <v>1455</v>
      </c>
      <c r="F4" s="540"/>
      <c r="G4" s="540" t="s">
        <v>1617</v>
      </c>
      <c r="H4" s="540" t="s">
        <v>1618</v>
      </c>
      <c r="I4" s="541" t="s">
        <v>1619</v>
      </c>
    </row>
    <row r="5" spans="1:9">
      <c r="A5" s="58">
        <f>Start.listina!AH11</f>
        <v>15</v>
      </c>
      <c r="B5" s="58">
        <f ca="1">Start.listina!I11</f>
        <v>15011</v>
      </c>
      <c r="C5" s="58" t="str">
        <f ca="1">Start.listina!J11</f>
        <v>Chmelař</v>
      </c>
      <c r="D5" s="58" t="str">
        <f ca="1">Start.listina!K11</f>
        <v>Ivo</v>
      </c>
      <c r="E5" s="58" t="str">
        <f ca="1">Start.listina!L11</f>
        <v>SKP Kulová osma</v>
      </c>
      <c r="F5" s="58"/>
      <c r="G5" s="542" t="e">
        <f ca="1">IF(N(A5)&gt;0,VLOOKUP(A5,Body!$A$4:$F$259,5,0),"")</f>
        <v>#REF!</v>
      </c>
      <c r="H5" s="161">
        <f ca="1">IF(N(A5)&gt;0,VLOOKUP(A5,Body!$A$4:$F$259,6,0),"")</f>
        <v>0</v>
      </c>
      <c r="I5" s="161">
        <f ca="1">IF(N(A5)&gt;0,VLOOKUP(A5,Body!$A$4:$F$259,2,0),"")</f>
        <v>0.125</v>
      </c>
    </row>
    <row r="6" spans="1:9">
      <c r="A6" s="58"/>
      <c r="B6" s="58">
        <f ca="1">Start.listina!O11</f>
        <v>15010</v>
      </c>
      <c r="C6" s="58" t="str">
        <f ca="1">Start.listina!P11</f>
        <v>Chmelařová</v>
      </c>
      <c r="D6" s="58" t="str">
        <f ca="1">Start.listina!Q11</f>
        <v>Yvetta</v>
      </c>
      <c r="E6" s="58" t="str">
        <f ca="1">Start.listina!R11</f>
        <v>SKP Kulová osma</v>
      </c>
      <c r="F6" s="58"/>
      <c r="G6" s="542"/>
      <c r="H6" s="161"/>
      <c r="I6" s="161"/>
    </row>
    <row r="7" spans="1:9">
      <c r="A7" s="58"/>
      <c r="B7" s="58">
        <f ca="1">Start.listina!U11</f>
        <v>18132</v>
      </c>
      <c r="C7" s="58" t="str">
        <f ca="1">Start.listina!V11</f>
        <v>Vašíček</v>
      </c>
      <c r="D7" s="58" t="str">
        <f ca="1">Start.listina!W11</f>
        <v>Vladimír</v>
      </c>
      <c r="E7" s="58" t="str">
        <f ca="1">Start.listina!X11</f>
        <v>PK Polouvsí</v>
      </c>
      <c r="F7" s="58"/>
      <c r="G7" s="542"/>
      <c r="H7" s="161"/>
      <c r="I7" s="161"/>
    </row>
    <row r="8" spans="1:9">
      <c r="A8" s="58"/>
      <c r="B8" s="58" t="str">
        <f ca="1">Start.listina!AA11</f>
        <v/>
      </c>
      <c r="C8" s="58" t="str">
        <f ca="1">Start.listina!AB11</f>
        <v xml:space="preserve"> </v>
      </c>
      <c r="D8" s="58" t="str">
        <f ca="1">Start.listina!AC11</f>
        <v xml:space="preserve"> </v>
      </c>
      <c r="E8" s="58" t="str">
        <f ca="1">Start.listina!AD11</f>
        <v xml:space="preserve"> </v>
      </c>
      <c r="F8" s="58"/>
      <c r="G8" s="542"/>
      <c r="H8" s="161"/>
      <c r="I8" s="161"/>
    </row>
    <row r="9" spans="1:9">
      <c r="A9" s="58">
        <f>Start.listina!AH12</f>
        <v>1</v>
      </c>
      <c r="B9" s="58">
        <f ca="1">Start.listina!I12</f>
        <v>13005</v>
      </c>
      <c r="C9" s="58" t="str">
        <f ca="1">Start.listina!J12</f>
        <v>Bureš</v>
      </c>
      <c r="D9" s="58" t="str">
        <f ca="1">Start.listina!K12</f>
        <v>Pavel st.</v>
      </c>
      <c r="E9" s="58" t="str">
        <f ca="1">Start.listina!L12</f>
        <v>HAPEK</v>
      </c>
      <c r="F9" s="58"/>
      <c r="G9" s="542" t="e">
        <f ca="1">IF(N(A9)&gt;0,VLOOKUP(A9,Body!$A$4:$F$259,5,0),"")</f>
        <v>#REF!</v>
      </c>
      <c r="H9" s="161">
        <f ca="1">IF(N(A9)&gt;0,VLOOKUP(A9,Body!$A$4:$F$259,6,0),"")</f>
        <v>0</v>
      </c>
      <c r="I9" s="161">
        <f ca="1">IF(N(A9)&gt;0,VLOOKUP(A9,Body!$A$4:$F$259,2,0),"")</f>
        <v>4</v>
      </c>
    </row>
    <row r="10" spans="1:9">
      <c r="A10" s="58"/>
      <c r="B10" s="58">
        <f ca="1">Start.listina!O12</f>
        <v>28055</v>
      </c>
      <c r="C10" s="58" t="str">
        <f ca="1">Start.listina!P12</f>
        <v>Svobodová</v>
      </c>
      <c r="D10" s="58" t="str">
        <f ca="1">Start.listina!Q12</f>
        <v>Lenka</v>
      </c>
      <c r="E10" s="58" t="str">
        <f ca="1">Start.listina!R12</f>
        <v>SKP Hranice VI-Valšovice</v>
      </c>
      <c r="F10" s="58"/>
      <c r="G10" s="542"/>
      <c r="H10" s="161"/>
      <c r="I10" s="161"/>
    </row>
    <row r="11" spans="1:9">
      <c r="A11" s="58"/>
      <c r="B11" s="58">
        <f ca="1">Start.listina!U12</f>
        <v>25054</v>
      </c>
      <c r="C11" s="58" t="str">
        <f ca="1">Start.listina!V12</f>
        <v>Gratcl</v>
      </c>
      <c r="D11" s="58" t="str">
        <f ca="1">Start.listina!W12</f>
        <v>Jiří</v>
      </c>
      <c r="E11" s="58" t="str">
        <f ca="1">Start.listina!X12</f>
        <v>SKP Hranice VI-Valšovice</v>
      </c>
      <c r="F11" s="58"/>
      <c r="G11" s="542"/>
      <c r="H11" s="161"/>
      <c r="I11" s="161"/>
    </row>
    <row r="12" spans="1:9">
      <c r="A12" s="58"/>
      <c r="B12" s="58" t="str">
        <f ca="1">Start.listina!AA12</f>
        <v/>
      </c>
      <c r="C12" s="58" t="str">
        <f ca="1">Start.listina!AB12</f>
        <v xml:space="preserve"> </v>
      </c>
      <c r="D12" s="58" t="str">
        <f ca="1">Start.listina!AC12</f>
        <v xml:space="preserve"> </v>
      </c>
      <c r="E12" s="58" t="str">
        <f ca="1">Start.listina!AD12</f>
        <v xml:space="preserve"> </v>
      </c>
      <c r="F12" s="58"/>
      <c r="G12" s="542"/>
      <c r="H12" s="161"/>
      <c r="I12" s="161"/>
    </row>
    <row r="13" spans="1:9">
      <c r="A13" s="58">
        <f>Start.listina!AH13</f>
        <v>5</v>
      </c>
      <c r="B13" s="58">
        <f ca="1">Start.listina!I13</f>
        <v>15001</v>
      </c>
      <c r="C13" s="58" t="str">
        <f ca="1">Start.listina!J13</f>
        <v>Ulmann</v>
      </c>
      <c r="D13" s="58" t="str">
        <f ca="1">Start.listina!K13</f>
        <v>Jiří</v>
      </c>
      <c r="E13" s="58" t="str">
        <f ca="1">Start.listina!L13</f>
        <v>TOP - ORLOVÁ</v>
      </c>
      <c r="F13" s="58"/>
      <c r="G13" s="542" t="e">
        <f ca="1">IF(N(A13)&gt;0,VLOOKUP(A13,Body!$A$4:$F$259,5,0),"")</f>
        <v>#REF!</v>
      </c>
      <c r="H13" s="161">
        <f ca="1">IF(N(A13)&gt;0,VLOOKUP(A13,Body!$A$4:$F$259,6,0),"")</f>
        <v>0</v>
      </c>
      <c r="I13" s="161">
        <f ca="1">IF(N(A13)&gt;0,VLOOKUP(A13,Body!$A$4:$F$259,2,0),"")</f>
        <v>1.75</v>
      </c>
    </row>
    <row r="14" spans="1:9">
      <c r="A14" s="58"/>
      <c r="B14" s="58">
        <f ca="1">Start.listina!O13</f>
        <v>10058</v>
      </c>
      <c r="C14" s="58" t="str">
        <f ca="1">Start.listina!P13</f>
        <v>Olšár</v>
      </c>
      <c r="D14" s="58" t="str">
        <f ca="1">Start.listina!Q13</f>
        <v>Marek</v>
      </c>
      <c r="E14" s="58" t="str">
        <f ca="1">Start.listina!R13</f>
        <v>TOP - ORLOVÁ</v>
      </c>
      <c r="F14" s="58"/>
      <c r="G14" s="542"/>
      <c r="H14" s="161"/>
      <c r="I14" s="161"/>
    </row>
    <row r="15" spans="1:9">
      <c r="A15" s="58"/>
      <c r="B15" s="58">
        <f ca="1">Start.listina!U13</f>
        <v>98307</v>
      </c>
      <c r="C15" s="58" t="str">
        <f ca="1">Start.listina!V13</f>
        <v>Jurišta</v>
      </c>
      <c r="D15" s="58" t="str">
        <f ca="1">Start.listina!W13</f>
        <v>Kamil</v>
      </c>
      <c r="E15" s="58" t="str">
        <f ca="1">Start.listina!X13</f>
        <v>TOP - ORLOVÁ</v>
      </c>
      <c r="F15" s="58"/>
      <c r="G15" s="542"/>
      <c r="H15" s="161"/>
      <c r="I15" s="161"/>
    </row>
    <row r="16" spans="1:9">
      <c r="A16" s="58"/>
      <c r="B16" s="58" t="str">
        <f ca="1">Start.listina!AA13</f>
        <v/>
      </c>
      <c r="C16" s="58" t="str">
        <f ca="1">Start.listina!AB13</f>
        <v xml:space="preserve"> </v>
      </c>
      <c r="D16" s="58" t="str">
        <f ca="1">Start.listina!AC13</f>
        <v xml:space="preserve"> </v>
      </c>
      <c r="E16" s="58" t="str">
        <f ca="1">Start.listina!AD13</f>
        <v xml:space="preserve"> </v>
      </c>
      <c r="F16" s="58"/>
      <c r="G16" s="542"/>
      <c r="H16" s="161"/>
      <c r="I16" s="161"/>
    </row>
    <row r="17" spans="1:9">
      <c r="A17" s="58">
        <f>Start.listina!AH14</f>
        <v>11</v>
      </c>
      <c r="B17" s="58">
        <f ca="1">Start.listina!I14</f>
        <v>16105</v>
      </c>
      <c r="C17" s="58" t="str">
        <f ca="1">Start.listina!J14</f>
        <v>Krpec</v>
      </c>
      <c r="D17" s="58" t="str">
        <f ca="1">Start.listina!K14</f>
        <v>František</v>
      </c>
      <c r="E17" s="58" t="str">
        <f ca="1">Start.listina!L14</f>
        <v>HRODE KRUMSÍN</v>
      </c>
      <c r="F17" s="58"/>
      <c r="G17" s="542" t="e">
        <f ca="1">IF(N(A17)&gt;0,VLOOKUP(A17,Body!$A$4:$F$259,5,0),"")</f>
        <v>#REF!</v>
      </c>
      <c r="H17" s="161">
        <f ca="1">IF(N(A17)&gt;0,VLOOKUP(A17,Body!$A$4:$F$259,6,0),"")</f>
        <v>0</v>
      </c>
      <c r="I17" s="161">
        <f ca="1">IF(N(A17)&gt;0,VLOOKUP(A17,Body!$A$4:$F$259,2,0),"")</f>
        <v>0.625</v>
      </c>
    </row>
    <row r="18" spans="1:9">
      <c r="A18" s="58"/>
      <c r="B18" s="58">
        <f ca="1">Start.listina!O14</f>
        <v>16106</v>
      </c>
      <c r="C18" s="58" t="str">
        <f ca="1">Start.listina!P14</f>
        <v>Konšel</v>
      </c>
      <c r="D18" s="58" t="str">
        <f ca="1">Start.listina!Q14</f>
        <v>Robin</v>
      </c>
      <c r="E18" s="58" t="str">
        <f ca="1">Start.listina!R14</f>
        <v>HRODE KRUMSÍN</v>
      </c>
      <c r="F18" s="58"/>
      <c r="G18" s="542"/>
      <c r="H18" s="161"/>
      <c r="I18" s="161"/>
    </row>
    <row r="19" spans="1:9">
      <c r="A19" s="58"/>
      <c r="B19" s="58">
        <f ca="1">Start.listina!U14</f>
        <v>17035</v>
      </c>
      <c r="C19" s="58" t="str">
        <f ca="1">Start.listina!V14</f>
        <v>Konšelová</v>
      </c>
      <c r="D19" s="58" t="str">
        <f ca="1">Start.listina!W14</f>
        <v>Lenka</v>
      </c>
      <c r="E19" s="58" t="str">
        <f ca="1">Start.listina!X14</f>
        <v>HAPEK</v>
      </c>
      <c r="F19" s="58"/>
      <c r="G19" s="542"/>
      <c r="H19" s="161"/>
      <c r="I19" s="161"/>
    </row>
    <row r="20" spans="1:9">
      <c r="A20" s="58"/>
      <c r="B20" s="58" t="str">
        <f ca="1">Start.listina!AA14</f>
        <v/>
      </c>
      <c r="C20" s="58" t="str">
        <f ca="1">Start.listina!AB14</f>
        <v xml:space="preserve"> </v>
      </c>
      <c r="D20" s="58" t="str">
        <f ca="1">Start.listina!AC14</f>
        <v xml:space="preserve"> </v>
      </c>
      <c r="E20" s="58" t="str">
        <f ca="1">Start.listina!AD14</f>
        <v xml:space="preserve"> </v>
      </c>
      <c r="F20" s="58"/>
      <c r="G20" s="542"/>
      <c r="H20" s="161"/>
      <c r="I20" s="161"/>
    </row>
    <row r="21" spans="1:9">
      <c r="A21" s="58">
        <f>Start.listina!AH15</f>
        <v>4</v>
      </c>
      <c r="B21" s="58">
        <f ca="1">Start.listina!I15</f>
        <v>10139</v>
      </c>
      <c r="C21" s="58" t="str">
        <f ca="1">Start.listina!J15</f>
        <v>Karásek</v>
      </c>
      <c r="D21" s="58" t="str">
        <f ca="1">Start.listina!K15</f>
        <v>Jiří</v>
      </c>
      <c r="E21" s="58" t="str">
        <f ca="1">Start.listina!L15</f>
        <v>HRODE KRUMSÍN</v>
      </c>
      <c r="F21" s="58"/>
      <c r="G21" s="542" t="e">
        <f ca="1">IF(N(A21)&gt;0,VLOOKUP(A21,Body!$A$4:$F$259,5,0),"")</f>
        <v>#REF!</v>
      </c>
      <c r="H21" s="161">
        <f ca="1">IF(N(A21)&gt;0,VLOOKUP(A21,Body!$A$4:$F$259,6,0),"")</f>
        <v>0</v>
      </c>
      <c r="I21" s="161">
        <f ca="1">IF(N(A21)&gt;0,VLOOKUP(A21,Body!$A$4:$F$259,2,0),"")</f>
        <v>2</v>
      </c>
    </row>
    <row r="22" spans="1:9">
      <c r="A22" s="58"/>
      <c r="B22" s="58">
        <f ca="1">Start.listina!O15</f>
        <v>12047</v>
      </c>
      <c r="C22" s="58" t="str">
        <f ca="1">Start.listina!P15</f>
        <v>Karásková</v>
      </c>
      <c r="D22" s="58" t="str">
        <f ca="1">Start.listina!Q15</f>
        <v>Františka</v>
      </c>
      <c r="E22" s="58" t="str">
        <f ca="1">Start.listina!R15</f>
        <v>HRODE KRUMSÍN</v>
      </c>
      <c r="F22" s="58"/>
      <c r="G22" s="542"/>
      <c r="H22" s="161"/>
      <c r="I22" s="161"/>
    </row>
    <row r="23" spans="1:9">
      <c r="A23" s="58"/>
      <c r="B23" s="58">
        <f ca="1">Start.listina!U15</f>
        <v>98304</v>
      </c>
      <c r="C23" s="58" t="str">
        <f ca="1">Start.listina!V15</f>
        <v>Urbanová</v>
      </c>
      <c r="D23" s="58" t="str">
        <f ca="1">Start.listina!W15</f>
        <v>Bronislava</v>
      </c>
      <c r="E23" s="58" t="str">
        <f ca="1">Start.listina!X15</f>
        <v>1. Starobrněnský PK</v>
      </c>
      <c r="F23" s="58"/>
      <c r="G23" s="542"/>
      <c r="H23" s="161"/>
      <c r="I23" s="161"/>
    </row>
    <row r="24" spans="1:9">
      <c r="A24" s="58"/>
      <c r="B24" s="58" t="str">
        <f ca="1">Start.listina!AA15</f>
        <v/>
      </c>
      <c r="C24" s="58" t="str">
        <f ca="1">Start.listina!AB15</f>
        <v xml:space="preserve"> </v>
      </c>
      <c r="D24" s="58" t="str">
        <f ca="1">Start.listina!AC15</f>
        <v xml:space="preserve"> </v>
      </c>
      <c r="E24" s="58" t="str">
        <f ca="1">Start.listina!AD15</f>
        <v xml:space="preserve"> </v>
      </c>
      <c r="F24" s="58"/>
      <c r="G24" s="542"/>
      <c r="H24" s="161"/>
      <c r="I24" s="161"/>
    </row>
    <row r="25" spans="1:9">
      <c r="A25" s="58">
        <f>Start.listina!AH16</f>
        <v>10</v>
      </c>
      <c r="B25" s="58">
        <f ca="1">Start.listina!I16</f>
        <v>27062</v>
      </c>
      <c r="C25" s="58" t="str">
        <f ca="1">Start.listina!J16</f>
        <v>Mrlina</v>
      </c>
      <c r="D25" s="58" t="str">
        <f ca="1">Start.listina!K16</f>
        <v>Karel</v>
      </c>
      <c r="E25" s="58" t="str">
        <f ca="1">Start.listina!L16</f>
        <v>FENYX Adamov</v>
      </c>
      <c r="F25" s="58"/>
      <c r="G25" s="542" t="e">
        <f ca="1">IF(N(A25)&gt;0,VLOOKUP(A25,Body!$A$4:$F$259,5,0),"")</f>
        <v>#REF!</v>
      </c>
      <c r="H25" s="161">
        <f ca="1">IF(N(A25)&gt;0,VLOOKUP(A25,Body!$A$4:$F$259,6,0),"")</f>
        <v>0</v>
      </c>
      <c r="I25" s="161">
        <f ca="1">IF(N(A25)&gt;0,VLOOKUP(A25,Body!$A$4:$F$259,2,0),"")</f>
        <v>0.75</v>
      </c>
    </row>
    <row r="26" spans="1:9">
      <c r="A26" s="58"/>
      <c r="B26" s="58">
        <f ca="1">Start.listina!O16</f>
        <v>27063</v>
      </c>
      <c r="C26" s="58" t="str">
        <f ca="1">Start.listina!P16</f>
        <v>Mrlinová</v>
      </c>
      <c r="D26" s="58" t="str">
        <f ca="1">Start.listina!Q16</f>
        <v>Jana</v>
      </c>
      <c r="E26" s="58" t="str">
        <f ca="1">Start.listina!R16</f>
        <v>FENYX Adamov</v>
      </c>
      <c r="F26" s="58"/>
      <c r="G26" s="542"/>
      <c r="H26" s="161"/>
      <c r="I26" s="161"/>
    </row>
    <row r="27" spans="1:9">
      <c r="A27" s="58"/>
      <c r="B27" s="58">
        <f ca="1">Start.listina!U16</f>
        <v>11018</v>
      </c>
      <c r="C27" s="58" t="str">
        <f ca="1">Start.listina!V16</f>
        <v>Němec</v>
      </c>
      <c r="D27" s="58" t="str">
        <f ca="1">Start.listina!W16</f>
        <v>Jiří</v>
      </c>
      <c r="E27" s="58" t="str">
        <f ca="1">Start.listina!X16</f>
        <v>FENYX Adamov</v>
      </c>
      <c r="F27" s="58"/>
      <c r="G27" s="542"/>
      <c r="H27" s="161"/>
      <c r="I27" s="161"/>
    </row>
    <row r="28" spans="1:9">
      <c r="A28" s="58"/>
      <c r="B28" s="58" t="str">
        <f ca="1">Start.listina!AA16</f>
        <v/>
      </c>
      <c r="C28" s="58" t="str">
        <f ca="1">Start.listina!AB16</f>
        <v xml:space="preserve"> </v>
      </c>
      <c r="D28" s="58" t="str">
        <f ca="1">Start.listina!AC16</f>
        <v xml:space="preserve"> </v>
      </c>
      <c r="E28" s="58" t="str">
        <f ca="1">Start.listina!AD16</f>
        <v xml:space="preserve"> </v>
      </c>
      <c r="F28" s="58"/>
      <c r="G28" s="542"/>
      <c r="H28" s="161"/>
      <c r="I28" s="161"/>
    </row>
    <row r="29" spans="1:9">
      <c r="A29" s="58">
        <f>Start.listina!AH17</f>
        <v>8</v>
      </c>
      <c r="B29" s="58">
        <f ca="1">Start.listina!I17</f>
        <v>16109</v>
      </c>
      <c r="C29" s="58" t="str">
        <f ca="1">Start.listina!J17</f>
        <v>Sjögren</v>
      </c>
      <c r="D29" s="58" t="str">
        <f ca="1">Start.listina!K17</f>
        <v>Magda</v>
      </c>
      <c r="E29" s="58" t="str">
        <f ca="1">Start.listina!L17</f>
        <v>SKP Kulová osma</v>
      </c>
      <c r="F29" s="58"/>
      <c r="G29" s="542" t="e">
        <f ca="1">IF(N(A29)&gt;0,VLOOKUP(A29,Body!$A$4:$F$259,5,0),"")</f>
        <v>#REF!</v>
      </c>
      <c r="H29" s="161">
        <f ca="1">IF(N(A29)&gt;0,VLOOKUP(A29,Body!$A$4:$F$259,6,0),"")</f>
        <v>0</v>
      </c>
      <c r="I29" s="161">
        <f ca="1">IF(N(A29)&gt;0,VLOOKUP(A29,Body!$A$4:$F$259,2,0),"")</f>
        <v>1</v>
      </c>
    </row>
    <row r="30" spans="1:9">
      <c r="A30" s="58"/>
      <c r="B30" s="58">
        <f ca="1">Start.listina!O17</f>
        <v>13078</v>
      </c>
      <c r="C30" s="58" t="str">
        <f ca="1">Start.listina!P17</f>
        <v>Kotová</v>
      </c>
      <c r="D30" s="58" t="str">
        <f ca="1">Start.listina!Q17</f>
        <v>Jiřina</v>
      </c>
      <c r="E30" s="58" t="str">
        <f ca="1">Start.listina!R17</f>
        <v>UBU Únětice</v>
      </c>
      <c r="F30" s="58"/>
      <c r="G30" s="542"/>
      <c r="H30" s="161"/>
      <c r="I30" s="161"/>
    </row>
    <row r="31" spans="1:9">
      <c r="A31" s="58"/>
      <c r="B31" s="58">
        <f ca="1">Start.listina!U17</f>
        <v>13077</v>
      </c>
      <c r="C31" s="58" t="str">
        <f ca="1">Start.listina!V17</f>
        <v>Kot</v>
      </c>
      <c r="D31" s="58" t="str">
        <f ca="1">Start.listina!W17</f>
        <v>Pavel</v>
      </c>
      <c r="E31" s="58" t="str">
        <f ca="1">Start.listina!X17</f>
        <v>UBU Únětice</v>
      </c>
      <c r="F31" s="58"/>
      <c r="G31" s="542"/>
      <c r="H31" s="161"/>
      <c r="I31" s="161"/>
    </row>
    <row r="32" spans="1:9">
      <c r="A32" s="58"/>
      <c r="B32" s="58" t="str">
        <f ca="1">Start.listina!AA17</f>
        <v/>
      </c>
      <c r="C32" s="58" t="str">
        <f ca="1">Start.listina!AB17</f>
        <v xml:space="preserve"> </v>
      </c>
      <c r="D32" s="58" t="str">
        <f ca="1">Start.listina!AC17</f>
        <v xml:space="preserve"> </v>
      </c>
      <c r="E32" s="58" t="str">
        <f ca="1">Start.listina!AD17</f>
        <v xml:space="preserve"> </v>
      </c>
      <c r="F32" s="58"/>
      <c r="G32" s="542"/>
      <c r="H32" s="161"/>
      <c r="I32" s="161"/>
    </row>
    <row r="33" spans="1:9">
      <c r="A33" s="58">
        <f>Start.listina!AH18</f>
        <v>12</v>
      </c>
      <c r="B33" s="58">
        <f ca="1">Start.listina!I18</f>
        <v>96005</v>
      </c>
      <c r="C33" s="58" t="str">
        <f ca="1">Start.listina!J18</f>
        <v>Bukovčík</v>
      </c>
      <c r="D33" s="58" t="str">
        <f ca="1">Start.listina!K18</f>
        <v>Jan</v>
      </c>
      <c r="E33" s="58" t="str">
        <f ca="1">Start.listina!L18</f>
        <v>PAK Albrechtice</v>
      </c>
      <c r="F33" s="58"/>
      <c r="G33" s="542" t="e">
        <f ca="1">IF(N(A33)&gt;0,VLOOKUP(A33,Body!$A$4:$F$259,5,0),"")</f>
        <v>#REF!</v>
      </c>
      <c r="H33" s="161">
        <f ca="1">IF(N(A33)&gt;0,VLOOKUP(A33,Body!$A$4:$F$259,6,0),"")</f>
        <v>0</v>
      </c>
      <c r="I33" s="161">
        <f ca="1">IF(N(A33)&gt;0,VLOOKUP(A33,Body!$A$4:$F$259,2,0),"")</f>
        <v>0.5</v>
      </c>
    </row>
    <row r="34" spans="1:9">
      <c r="A34" s="58"/>
      <c r="B34" s="58">
        <f ca="1">Start.listina!O18</f>
        <v>23060</v>
      </c>
      <c r="C34" s="58" t="str">
        <f ca="1">Start.listina!P18</f>
        <v>Ševčík</v>
      </c>
      <c r="D34" s="58" t="str">
        <f ca="1">Start.listina!Q18</f>
        <v>Jaroslav</v>
      </c>
      <c r="E34" s="58" t="str">
        <f ca="1">Start.listina!R18</f>
        <v>PAK Albrechtice</v>
      </c>
      <c r="F34" s="58"/>
      <c r="G34" s="542"/>
      <c r="H34" s="161"/>
      <c r="I34" s="161"/>
    </row>
    <row r="35" spans="1:9">
      <c r="A35" s="58"/>
      <c r="B35" s="58">
        <f ca="1">Start.listina!U18</f>
        <v>26034</v>
      </c>
      <c r="C35" s="58" t="str">
        <f ca="1">Start.listina!V18</f>
        <v>Vajčovec</v>
      </c>
      <c r="D35" s="58" t="str">
        <f ca="1">Start.listina!W18</f>
        <v>Kamil</v>
      </c>
      <c r="E35" s="58" t="str">
        <f ca="1">Start.listina!X18</f>
        <v>PAK Albrechtice</v>
      </c>
      <c r="F35" s="58"/>
      <c r="G35" s="542"/>
      <c r="H35" s="161"/>
      <c r="I35" s="161"/>
    </row>
    <row r="36" spans="1:9">
      <c r="A36" s="58"/>
      <c r="B36" s="58" t="str">
        <f ca="1">Start.listina!AA18</f>
        <v/>
      </c>
      <c r="C36" s="58" t="str">
        <f ca="1">Start.listina!AB18</f>
        <v xml:space="preserve"> </v>
      </c>
      <c r="D36" s="58" t="str">
        <f ca="1">Start.listina!AC18</f>
        <v xml:space="preserve"> </v>
      </c>
      <c r="E36" s="58" t="str">
        <f ca="1">Start.listina!AD18</f>
        <v xml:space="preserve"> </v>
      </c>
      <c r="F36" s="58"/>
      <c r="G36" s="542"/>
      <c r="H36" s="161"/>
      <c r="I36" s="161"/>
    </row>
    <row r="37" spans="1:9">
      <c r="A37" s="58">
        <f>Start.listina!AH19</f>
        <v>2</v>
      </c>
      <c r="B37" s="58">
        <f ca="1">Start.listina!I19</f>
        <v>17060</v>
      </c>
      <c r="C37" s="58" t="str">
        <f ca="1">Start.listina!J19</f>
        <v>Bejšovec</v>
      </c>
      <c r="D37" s="58" t="str">
        <f ca="1">Start.listina!K19</f>
        <v>Petr</v>
      </c>
      <c r="E37" s="58" t="str">
        <f ca="1">Start.listina!L19</f>
        <v>PK Sokol Medlánky</v>
      </c>
      <c r="F37" s="58"/>
      <c r="G37" s="542" t="e">
        <f ca="1">IF(N(A37)&gt;0,VLOOKUP(A37,Body!$A$4:$F$259,5,0),"")</f>
        <v>#REF!</v>
      </c>
      <c r="H37" s="161">
        <f ca="1">IF(N(A37)&gt;0,VLOOKUP(A37,Body!$A$4:$F$259,6,0),"")</f>
        <v>0</v>
      </c>
      <c r="I37" s="161">
        <f ca="1">IF(N(A37)&gt;0,VLOOKUP(A37,Body!$A$4:$F$259,2,0),"")</f>
        <v>3</v>
      </c>
    </row>
    <row r="38" spans="1:9">
      <c r="A38" s="58"/>
      <c r="B38" s="58">
        <f ca="1">Start.listina!O19</f>
        <v>16033</v>
      </c>
      <c r="C38" s="58" t="str">
        <f ca="1">Start.listina!P19</f>
        <v>Buchta</v>
      </c>
      <c r="D38" s="58" t="str">
        <f ca="1">Start.listina!Q19</f>
        <v>Jan</v>
      </c>
      <c r="E38" s="58" t="str">
        <f ca="1">Start.listina!R19</f>
        <v>PEPEK</v>
      </c>
      <c r="F38" s="58"/>
      <c r="G38" s="542"/>
      <c r="H38" s="161"/>
      <c r="I38" s="161"/>
    </row>
    <row r="39" spans="1:9">
      <c r="A39" s="58"/>
      <c r="B39" s="58">
        <f ca="1">Start.listina!U19</f>
        <v>17061</v>
      </c>
      <c r="C39" s="58" t="str">
        <f ca="1">Start.listina!V19</f>
        <v>Botek</v>
      </c>
      <c r="D39" s="58" t="str">
        <f ca="1">Start.listina!W19</f>
        <v>Jan</v>
      </c>
      <c r="E39" s="58" t="str">
        <f ca="1">Start.listina!X19</f>
        <v>PK Sokol Medlánky</v>
      </c>
      <c r="F39" s="58"/>
      <c r="G39" s="542"/>
      <c r="H39" s="161"/>
      <c r="I39" s="161"/>
    </row>
    <row r="40" spans="1:9">
      <c r="A40" s="58"/>
      <c r="B40" s="58" t="str">
        <f ca="1">Start.listina!AA19</f>
        <v/>
      </c>
      <c r="C40" s="58" t="str">
        <f ca="1">Start.listina!AB19</f>
        <v xml:space="preserve"> </v>
      </c>
      <c r="D40" s="58" t="str">
        <f ca="1">Start.listina!AC19</f>
        <v xml:space="preserve"> </v>
      </c>
      <c r="E40" s="58" t="str">
        <f ca="1">Start.listina!AD19</f>
        <v xml:space="preserve"> </v>
      </c>
      <c r="F40" s="58"/>
      <c r="G40" s="542"/>
      <c r="H40" s="161"/>
      <c r="I40" s="161"/>
    </row>
    <row r="41" spans="1:9">
      <c r="A41" s="58">
        <f>Start.listina!AH20</f>
        <v>9</v>
      </c>
      <c r="B41" s="58">
        <f ca="1">Start.listina!I20</f>
        <v>11044</v>
      </c>
      <c r="C41" s="58" t="str">
        <f ca="1">Start.listina!J20</f>
        <v>Ilgner</v>
      </c>
      <c r="D41" s="58" t="str">
        <f ca="1">Start.listina!K20</f>
        <v>Vladimír</v>
      </c>
      <c r="E41" s="58" t="str">
        <f ca="1">Start.listina!L20</f>
        <v>1. Starobrněnský PK</v>
      </c>
      <c r="F41" s="58"/>
      <c r="G41" s="542" t="e">
        <f ca="1">IF(N(A41)&gt;0,VLOOKUP(A41,Body!$A$4:$F$259,5,0),"")</f>
        <v>#REF!</v>
      </c>
      <c r="H41" s="161">
        <f ca="1">IF(N(A41)&gt;0,VLOOKUP(A41,Body!$A$4:$F$259,6,0),"")</f>
        <v>0</v>
      </c>
      <c r="I41" s="161">
        <f ca="1">IF(N(A41)&gt;0,VLOOKUP(A41,Body!$A$4:$F$259,2,0),"")</f>
        <v>0.875</v>
      </c>
    </row>
    <row r="42" spans="1:9">
      <c r="A42" s="58"/>
      <c r="B42" s="58">
        <f ca="1">Start.listina!O20</f>
        <v>28005</v>
      </c>
      <c r="C42" s="58" t="str">
        <f ca="1">Start.listina!P20</f>
        <v>Blažej</v>
      </c>
      <c r="D42" s="58" t="str">
        <f ca="1">Start.listina!Q20</f>
        <v>Petr</v>
      </c>
      <c r="E42" s="58" t="str">
        <f ca="1">Start.listina!R20</f>
        <v>1. Starobrněnský PK</v>
      </c>
      <c r="F42" s="58"/>
      <c r="G42" s="542"/>
      <c r="H42" s="161"/>
      <c r="I42" s="161"/>
    </row>
    <row r="43" spans="1:9">
      <c r="A43" s="58"/>
      <c r="B43" s="58">
        <f ca="1">Start.listina!U20</f>
        <v>11045</v>
      </c>
      <c r="C43" s="58" t="str">
        <f ca="1">Start.listina!V20</f>
        <v>Krtička</v>
      </c>
      <c r="D43" s="58" t="str">
        <f ca="1">Start.listina!W20</f>
        <v>Jiří</v>
      </c>
      <c r="E43" s="58" t="str">
        <f ca="1">Start.listina!X20</f>
        <v>1. Starobrněnský PK</v>
      </c>
      <c r="F43" s="58"/>
      <c r="G43" s="542"/>
      <c r="H43" s="161"/>
      <c r="I43" s="161"/>
    </row>
    <row r="44" spans="1:9">
      <c r="A44" s="58"/>
      <c r="B44" s="58" t="str">
        <f ca="1">Start.listina!AA20</f>
        <v/>
      </c>
      <c r="C44" s="58" t="str">
        <f ca="1">Start.listina!AB20</f>
        <v xml:space="preserve"> </v>
      </c>
      <c r="D44" s="58" t="str">
        <f ca="1">Start.listina!AC20</f>
        <v xml:space="preserve"> </v>
      </c>
      <c r="E44" s="58" t="str">
        <f ca="1">Start.listina!AD20</f>
        <v xml:space="preserve"> </v>
      </c>
      <c r="F44" s="58"/>
      <c r="G44" s="542"/>
      <c r="H44" s="161"/>
      <c r="I44" s="161"/>
    </row>
    <row r="45" spans="1:9">
      <c r="A45" s="58">
        <f>Start.listina!AH21</f>
        <v>6</v>
      </c>
      <c r="B45" s="58">
        <f ca="1">Start.listina!I21</f>
        <v>18071</v>
      </c>
      <c r="C45" s="58" t="str">
        <f ca="1">Start.listina!J21</f>
        <v>Koudelka</v>
      </c>
      <c r="D45" s="58" t="str">
        <f ca="1">Start.listina!K21</f>
        <v>Josef</v>
      </c>
      <c r="E45" s="58" t="str">
        <f ca="1">Start.listina!L21</f>
        <v>PK Polouvsí</v>
      </c>
      <c r="F45" s="58"/>
      <c r="G45" s="542" t="e">
        <f ca="1">IF(N(A45)&gt;0,VLOOKUP(A45,Body!$A$4:$F$259,5,0),"")</f>
        <v>#REF!</v>
      </c>
      <c r="H45" s="161">
        <f ca="1">IF(N(A45)&gt;0,VLOOKUP(A45,Body!$A$4:$F$259,6,0),"")</f>
        <v>0</v>
      </c>
      <c r="I45" s="161">
        <f ca="1">IF(N(A45)&gt;0,VLOOKUP(A45,Body!$A$4:$F$259,2,0),"")</f>
        <v>1.5</v>
      </c>
    </row>
    <row r="46" spans="1:9">
      <c r="A46" s="58"/>
      <c r="B46" s="58">
        <f ca="1">Start.listina!O21</f>
        <v>18070</v>
      </c>
      <c r="C46" s="58" t="str">
        <f ca="1">Start.listina!P21</f>
        <v>Koudelková</v>
      </c>
      <c r="D46" s="58" t="str">
        <f ca="1">Start.listina!Q21</f>
        <v>Magdaléna</v>
      </c>
      <c r="E46" s="58" t="str">
        <f ca="1">Start.listina!R21</f>
        <v>PK Polouvsí</v>
      </c>
      <c r="F46" s="58"/>
      <c r="G46" s="542"/>
      <c r="H46" s="161"/>
      <c r="I46" s="161"/>
    </row>
    <row r="47" spans="1:9">
      <c r="A47" s="58"/>
      <c r="B47" s="58">
        <f ca="1">Start.listina!U21</f>
        <v>18131</v>
      </c>
      <c r="C47" s="58" t="str">
        <f ca="1">Start.listina!V21</f>
        <v>Marečková</v>
      </c>
      <c r="D47" s="58" t="str">
        <f ca="1">Start.listina!W21</f>
        <v>Yvonne</v>
      </c>
      <c r="E47" s="58" t="str">
        <f ca="1">Start.listina!X21</f>
        <v>Orel Řečkovice</v>
      </c>
      <c r="F47" s="58"/>
      <c r="G47" s="542"/>
      <c r="H47" s="161"/>
      <c r="I47" s="161"/>
    </row>
    <row r="48" spans="1:9">
      <c r="A48" s="58"/>
      <c r="B48" s="58" t="str">
        <f ca="1">Start.listina!AA21</f>
        <v/>
      </c>
      <c r="C48" s="58" t="str">
        <f ca="1">Start.listina!AB21</f>
        <v xml:space="preserve"> </v>
      </c>
      <c r="D48" s="58" t="str">
        <f ca="1">Start.listina!AC21</f>
        <v xml:space="preserve"> </v>
      </c>
      <c r="E48" s="58" t="str">
        <f ca="1">Start.listina!AD21</f>
        <v xml:space="preserve"> </v>
      </c>
      <c r="F48" s="58"/>
      <c r="G48" s="542"/>
      <c r="H48" s="161"/>
      <c r="I48" s="161"/>
    </row>
    <row r="49" spans="1:9">
      <c r="A49" s="58">
        <f>Start.listina!AH22</f>
        <v>7</v>
      </c>
      <c r="B49" s="58">
        <f ca="1">Start.listina!I22</f>
        <v>18124</v>
      </c>
      <c r="C49" s="58" t="str">
        <f ca="1">Start.listina!J22</f>
        <v>Valošková</v>
      </c>
      <c r="D49" s="58" t="str">
        <f ca="1">Start.listina!K22</f>
        <v>Sára</v>
      </c>
      <c r="E49" s="58" t="str">
        <f ca="1">Start.listina!L22</f>
        <v>PK Polouvsí</v>
      </c>
      <c r="F49" s="58"/>
      <c r="G49" s="542" t="e">
        <f ca="1">IF(N(A49)&gt;0,VLOOKUP(A49,Body!$A$4:$F$259,5,0),"")</f>
        <v>#REF!</v>
      </c>
      <c r="H49" s="161">
        <f ca="1">IF(N(A49)&gt;0,VLOOKUP(A49,Body!$A$4:$F$259,6,0),"")</f>
        <v>0</v>
      </c>
      <c r="I49" s="161">
        <f ca="1">IF(N(A49)&gt;0,VLOOKUP(A49,Body!$A$4:$F$259,2,0),"")</f>
        <v>1.25</v>
      </c>
    </row>
    <row r="50" spans="1:9">
      <c r="A50" s="58"/>
      <c r="B50" s="58">
        <f ca="1">Start.listina!O22</f>
        <v>18072</v>
      </c>
      <c r="C50" s="58" t="str">
        <f ca="1">Start.listina!P22</f>
        <v>Ondryhal</v>
      </c>
      <c r="D50" s="58" t="str">
        <f ca="1">Start.listina!Q22</f>
        <v>Lukáš</v>
      </c>
      <c r="E50" s="58" t="str">
        <f ca="1">Start.listina!R22</f>
        <v>PK Polouvsí</v>
      </c>
      <c r="F50" s="58"/>
      <c r="G50" s="542"/>
      <c r="H50" s="161"/>
      <c r="I50" s="161"/>
    </row>
    <row r="51" spans="1:9">
      <c r="A51" s="58"/>
      <c r="B51" s="58">
        <f ca="1">Start.listina!U22</f>
        <v>19034</v>
      </c>
      <c r="C51" s="58" t="str">
        <f ca="1">Start.listina!V22</f>
        <v>Valošek</v>
      </c>
      <c r="D51" s="58" t="str">
        <f ca="1">Start.listina!W22</f>
        <v>Hugo</v>
      </c>
      <c r="E51" s="58" t="str">
        <f ca="1">Start.listina!X22</f>
        <v>PK Polouvsí</v>
      </c>
      <c r="F51" s="58"/>
      <c r="G51" s="542"/>
      <c r="H51" s="161"/>
      <c r="I51" s="161"/>
    </row>
    <row r="52" spans="1:9">
      <c r="A52" s="58"/>
      <c r="B52" s="58" t="str">
        <f ca="1">Start.listina!AA22</f>
        <v/>
      </c>
      <c r="C52" s="58" t="str">
        <f ca="1">Start.listina!AB22</f>
        <v xml:space="preserve"> </v>
      </c>
      <c r="D52" s="58" t="str">
        <f ca="1">Start.listina!AC22</f>
        <v xml:space="preserve"> </v>
      </c>
      <c r="E52" s="58" t="str">
        <f ca="1">Start.listina!AD22</f>
        <v xml:space="preserve"> </v>
      </c>
      <c r="F52" s="58"/>
      <c r="G52" s="542"/>
      <c r="H52" s="161"/>
      <c r="I52" s="161"/>
    </row>
    <row r="53" spans="1:9">
      <c r="A53" s="58">
        <f>Start.listina!AH23</f>
        <v>13</v>
      </c>
      <c r="B53" s="58">
        <f ca="1">Start.listina!I23</f>
        <v>13011</v>
      </c>
      <c r="C53" s="58" t="str">
        <f ca="1">Start.listina!J23</f>
        <v>Navrátil</v>
      </c>
      <c r="D53" s="58" t="str">
        <f ca="1">Start.listina!K23</f>
        <v>Petr</v>
      </c>
      <c r="E53" s="58" t="str">
        <f ca="1">Start.listina!L23</f>
        <v>HAPEK</v>
      </c>
      <c r="F53" s="58"/>
      <c r="G53" s="542" t="e">
        <f ca="1">IF(N(A53)&gt;0,VLOOKUP(A53,Body!$A$4:$F$259,5,0),"")</f>
        <v>#REF!</v>
      </c>
      <c r="H53" s="161">
        <f ca="1">IF(N(A53)&gt;0,VLOOKUP(A53,Body!$A$4:$F$259,6,0),"")</f>
        <v>0</v>
      </c>
      <c r="I53" s="161">
        <f ca="1">IF(N(A53)&gt;0,VLOOKUP(A53,Body!$A$4:$F$259,2,0),"")</f>
        <v>0.375</v>
      </c>
    </row>
    <row r="54" spans="1:9">
      <c r="A54" s="58"/>
      <c r="B54" s="58">
        <f ca="1">Start.listina!O23</f>
        <v>20554</v>
      </c>
      <c r="C54" s="58" t="str">
        <f ca="1">Start.listina!P23</f>
        <v>Ptáček</v>
      </c>
      <c r="D54" s="58" t="str">
        <f ca="1">Start.listina!Q23</f>
        <v>Luboš</v>
      </c>
      <c r="E54" s="58" t="str">
        <f ca="1">Start.listina!R23</f>
        <v>HRODE KRUMSÍN</v>
      </c>
      <c r="F54" s="58"/>
      <c r="G54" s="542"/>
      <c r="H54" s="161"/>
      <c r="I54" s="161"/>
    </row>
    <row r="55" spans="1:9">
      <c r="A55" s="58"/>
      <c r="B55" s="58">
        <f ca="1">Start.listina!U23</f>
        <v>28056</v>
      </c>
      <c r="C55" s="58" t="str">
        <f ca="1">Start.listina!V23</f>
        <v>Blažejová</v>
      </c>
      <c r="D55" s="58" t="str">
        <f ca="1">Start.listina!W23</f>
        <v>Eva</v>
      </c>
      <c r="E55" s="58" t="str">
        <f ca="1">Start.listina!X23</f>
        <v>1. Starobrněnský PK</v>
      </c>
      <c r="F55" s="58"/>
      <c r="G55" s="542"/>
      <c r="H55" s="161"/>
      <c r="I55" s="161"/>
    </row>
    <row r="56" spans="1:9">
      <c r="A56" s="58"/>
      <c r="B56" s="58" t="str">
        <f ca="1">Start.listina!AA23</f>
        <v/>
      </c>
      <c r="C56" s="58" t="str">
        <f ca="1">Start.listina!AB23</f>
        <v xml:space="preserve"> </v>
      </c>
      <c r="D56" s="58" t="str">
        <f ca="1">Start.listina!AC23</f>
        <v xml:space="preserve"> </v>
      </c>
      <c r="E56" s="58" t="str">
        <f ca="1">Start.listina!AD23</f>
        <v xml:space="preserve"> </v>
      </c>
      <c r="F56" s="58"/>
      <c r="G56" s="542"/>
      <c r="H56" s="161"/>
      <c r="I56" s="161"/>
    </row>
    <row r="57" spans="1:9">
      <c r="A57" s="58">
        <f>Start.listina!AH24</f>
        <v>16</v>
      </c>
      <c r="B57" s="58">
        <f ca="1">Start.listina!I24</f>
        <v>29023</v>
      </c>
      <c r="C57" s="58" t="str">
        <f ca="1">Start.listina!J24</f>
        <v>Suk</v>
      </c>
      <c r="D57" s="58" t="str">
        <f ca="1">Start.listina!K24</f>
        <v>Miroslav</v>
      </c>
      <c r="E57" s="58" t="str">
        <f ca="1">Start.listina!L24</f>
        <v>SKP Hranice VI-Valšovice</v>
      </c>
      <c r="F57" s="58"/>
      <c r="G57" s="542" t="e">
        <f ca="1">IF(N(A57)&gt;0,VLOOKUP(A57,Body!$A$4:$F$259,5,0),"")</f>
        <v>#REF!</v>
      </c>
      <c r="H57" s="161">
        <f ca="1">IF(N(A57)&gt;0,VLOOKUP(A57,Body!$A$4:$F$259,6,0),"")</f>
        <v>0</v>
      </c>
      <c r="I57" s="161">
        <f ca="1">IF(N(A57)&gt;0,VLOOKUP(A57,Body!$A$4:$F$259,2,0),"")</f>
        <v>0</v>
      </c>
    </row>
    <row r="58" spans="1:9">
      <c r="A58" s="58"/>
      <c r="B58" s="58">
        <f ca="1">Start.listina!O24</f>
        <v>13066</v>
      </c>
      <c r="C58" s="58" t="str">
        <f ca="1">Start.listina!P24</f>
        <v>Ondruška</v>
      </c>
      <c r="D58" s="58" t="str">
        <f ca="1">Start.listina!Q24</f>
        <v>Pavel</v>
      </c>
      <c r="E58" s="58" t="str">
        <f ca="1">Start.listina!R24</f>
        <v>SKP Hranice VI-Valšovice</v>
      </c>
      <c r="F58" s="58"/>
      <c r="G58" s="542"/>
      <c r="H58" s="161"/>
      <c r="I58" s="161"/>
    </row>
    <row r="59" spans="1:9">
      <c r="A59" s="58"/>
      <c r="B59" s="58">
        <f ca="1">Start.listina!U24</f>
        <v>10144</v>
      </c>
      <c r="C59" s="58" t="str">
        <f ca="1">Start.listina!V24</f>
        <v>Ježíšek</v>
      </c>
      <c r="D59" s="58" t="str">
        <f ca="1">Start.listina!W24</f>
        <v>Jan</v>
      </c>
      <c r="E59" s="58" t="str">
        <f ca="1">Start.listina!X24</f>
        <v>SKP Hranice VI-Valšovice</v>
      </c>
      <c r="F59" s="58"/>
      <c r="G59" s="542"/>
      <c r="H59" s="161"/>
      <c r="I59" s="161"/>
    </row>
    <row r="60" spans="1:9">
      <c r="A60" s="58"/>
      <c r="B60" s="58" t="str">
        <f ca="1">Start.listina!AA24</f>
        <v/>
      </c>
      <c r="C60" s="58" t="str">
        <f ca="1">Start.listina!AB24</f>
        <v xml:space="preserve"> </v>
      </c>
      <c r="D60" s="58" t="str">
        <f ca="1">Start.listina!AC24</f>
        <v xml:space="preserve"> </v>
      </c>
      <c r="E60" s="58" t="str">
        <f ca="1">Start.listina!AD24</f>
        <v xml:space="preserve"> </v>
      </c>
      <c r="F60" s="58"/>
      <c r="G60" s="542"/>
      <c r="H60" s="161"/>
      <c r="I60" s="161"/>
    </row>
    <row r="61" spans="1:9">
      <c r="A61" s="58">
        <f>Start.listina!AH25</f>
        <v>14</v>
      </c>
      <c r="B61" s="58">
        <f ca="1">Start.listina!I25</f>
        <v>11013</v>
      </c>
      <c r="C61" s="58" t="str">
        <f ca="1">Start.listina!J25</f>
        <v>Suková</v>
      </c>
      <c r="D61" s="58" t="str">
        <f ca="1">Start.listina!K25</f>
        <v>Eva</v>
      </c>
      <c r="E61" s="58" t="str">
        <f ca="1">Start.listina!L25</f>
        <v>SKP Hranice VI-Valšovice</v>
      </c>
      <c r="F61" s="58"/>
      <c r="G61" s="542" t="e">
        <f ca="1">IF(N(A61)&gt;0,VLOOKUP(A61,Body!$A$4:$F$259,5,0),"")</f>
        <v>#REF!</v>
      </c>
      <c r="H61" s="161">
        <f ca="1">IF(N(A61)&gt;0,VLOOKUP(A61,Body!$A$4:$F$259,6,0),"")</f>
        <v>0</v>
      </c>
      <c r="I61" s="161">
        <f ca="1">IF(N(A61)&gt;0,VLOOKUP(A61,Body!$A$4:$F$259,2,0),"")</f>
        <v>0.25</v>
      </c>
    </row>
    <row r="62" spans="1:9">
      <c r="A62" s="58"/>
      <c r="B62" s="58">
        <f ca="1">Start.listina!O25</f>
        <v>11014</v>
      </c>
      <c r="C62" s="58" t="str">
        <f ca="1">Start.listina!P25</f>
        <v>Ježíšková</v>
      </c>
      <c r="D62" s="58" t="str">
        <f ca="1">Start.listina!Q25</f>
        <v>Božena</v>
      </c>
      <c r="E62" s="58" t="str">
        <f ca="1">Start.listina!R25</f>
        <v>SKP Hranice VI-Valšovice</v>
      </c>
      <c r="F62" s="58"/>
      <c r="G62" s="542"/>
      <c r="H62" s="161"/>
      <c r="I62" s="161"/>
    </row>
    <row r="63" spans="1:9">
      <c r="A63" s="58"/>
      <c r="B63" s="58">
        <f ca="1">Start.listina!U25</f>
        <v>20553</v>
      </c>
      <c r="C63" s="58" t="str">
        <f ca="1">Start.listina!V25</f>
        <v>Jahnová</v>
      </c>
      <c r="D63" s="58" t="str">
        <f ca="1">Start.listina!W25</f>
        <v>Monika</v>
      </c>
      <c r="E63" s="58" t="str">
        <f ca="1">Start.listina!X25</f>
        <v>SKP Hranice VI-Valšovice</v>
      </c>
      <c r="F63" s="58"/>
      <c r="G63" s="542"/>
      <c r="H63" s="161"/>
      <c r="I63" s="161"/>
    </row>
    <row r="64" spans="1:9">
      <c r="A64" s="58"/>
      <c r="B64" s="58" t="str">
        <f ca="1">Start.listina!AA25</f>
        <v/>
      </c>
      <c r="C64" s="58" t="str">
        <f ca="1">Start.listina!AB25</f>
        <v xml:space="preserve"> </v>
      </c>
      <c r="D64" s="58" t="str">
        <f ca="1">Start.listina!AC25</f>
        <v xml:space="preserve"> </v>
      </c>
      <c r="E64" s="58" t="str">
        <f ca="1">Start.listina!AD25</f>
        <v xml:space="preserve"> </v>
      </c>
      <c r="F64" s="58"/>
      <c r="G64" s="542"/>
      <c r="H64" s="161"/>
      <c r="I64" s="161"/>
    </row>
    <row r="65" spans="1:9">
      <c r="A65" s="58">
        <f>Start.listina!AH26</f>
        <v>3</v>
      </c>
      <c r="B65" s="58">
        <f ca="1">Start.listina!I26</f>
        <v>18067</v>
      </c>
      <c r="C65" s="58" t="str">
        <f ca="1">Start.listina!J26</f>
        <v>Vrzal</v>
      </c>
      <c r="D65" s="58" t="str">
        <f ca="1">Start.listina!K26</f>
        <v>Radomír</v>
      </c>
      <c r="E65" s="58" t="str">
        <f ca="1">Start.listina!L26</f>
        <v>PK Polouvsí</v>
      </c>
      <c r="F65" s="58"/>
      <c r="G65" s="542" t="e">
        <f ca="1">IF(N(A65)&gt;0,VLOOKUP(A65,Body!$A$4:$F$259,5,0),"")</f>
        <v>#REF!</v>
      </c>
      <c r="H65" s="161">
        <f ca="1">IF(N(A65)&gt;0,VLOOKUP(A65,Body!$A$4:$F$259,6,0),"")</f>
        <v>0</v>
      </c>
      <c r="I65" s="161">
        <f ca="1">IF(N(A65)&gt;0,VLOOKUP(A65,Body!$A$4:$F$259,2,0),"")</f>
        <v>2.5</v>
      </c>
    </row>
    <row r="66" spans="1:9">
      <c r="A66" s="58"/>
      <c r="B66" s="58">
        <f ca="1">Start.listina!O26</f>
        <v>18069</v>
      </c>
      <c r="C66" s="58" t="str">
        <f ca="1">Start.listina!P26</f>
        <v>Gráfik</v>
      </c>
      <c r="D66" s="58" t="str">
        <f ca="1">Start.listina!Q26</f>
        <v>Jiří</v>
      </c>
      <c r="E66" s="58" t="str">
        <f ca="1">Start.listina!R26</f>
        <v>PK Polouvsí</v>
      </c>
      <c r="F66" s="58"/>
      <c r="G66" s="542"/>
      <c r="H66" s="161"/>
      <c r="I66" s="161"/>
    </row>
    <row r="67" spans="1:9">
      <c r="A67" s="58"/>
      <c r="B67" s="58" t="str">
        <f ca="1">Start.listina!U26</f>
        <v/>
      </c>
      <c r="C67" s="58" t="str">
        <f ca="1">Start.listina!V26</f>
        <v>Jarda Knápek</v>
      </c>
      <c r="D67" s="58" t="str">
        <f ca="1">Start.listina!W26</f>
        <v xml:space="preserve"> </v>
      </c>
      <c r="E67" s="58" t="str">
        <f ca="1">Start.listina!X26</f>
        <v xml:space="preserve"> </v>
      </c>
      <c r="F67" s="58"/>
      <c r="G67" s="542"/>
      <c r="H67" s="161"/>
      <c r="I67" s="161"/>
    </row>
    <row r="68" spans="1:9">
      <c r="A68" s="58"/>
      <c r="B68" s="58" t="str">
        <f ca="1">Start.listina!AA26</f>
        <v/>
      </c>
      <c r="C68" s="58" t="str">
        <f ca="1">Start.listina!AB26</f>
        <v xml:space="preserve"> </v>
      </c>
      <c r="D68" s="58" t="str">
        <f ca="1">Start.listina!AC26</f>
        <v xml:space="preserve"> </v>
      </c>
      <c r="E68" s="58" t="str">
        <f ca="1">Start.listina!AD26</f>
        <v xml:space="preserve"> </v>
      </c>
      <c r="F68" s="58"/>
      <c r="G68" s="542"/>
      <c r="H68" s="161"/>
      <c r="I68" s="161"/>
    </row>
    <row r="69" spans="1:9">
      <c r="A69" s="58">
        <f ca="1">Start.listina!AH27</f>
        <v>0</v>
      </c>
      <c r="B69" s="58" t="str">
        <f ca="1">Start.listina!I27</f>
        <v/>
      </c>
      <c r="C69" s="58" t="str">
        <f ca="1">Start.listina!J27</f>
        <v xml:space="preserve"> </v>
      </c>
      <c r="D69" s="58" t="str">
        <f ca="1">Start.listina!K27</f>
        <v xml:space="preserve"> </v>
      </c>
      <c r="E69" s="58" t="str">
        <f ca="1">Start.listina!L27</f>
        <v xml:space="preserve"> </v>
      </c>
      <c r="F69" s="58"/>
      <c r="G69" s="542" t="str">
        <f ca="1">IF(N(A69)&gt;0,VLOOKUP(A69,Body!$A$4:$F$259,5,0),"")</f>
        <v/>
      </c>
      <c r="H69" s="161" t="str">
        <f ca="1">IF(N(A69)&gt;0,VLOOKUP(A69,Body!$A$4:$F$259,6,0),"")</f>
        <v/>
      </c>
      <c r="I69" s="161" t="str">
        <f ca="1">IF(N(A69)&gt;0,VLOOKUP(A69,Body!$A$4:$F$259,2,0),"")</f>
        <v/>
      </c>
    </row>
    <row r="70" spans="1:9">
      <c r="A70" s="58"/>
      <c r="B70" s="58" t="str">
        <f ca="1">Start.listina!O27</f>
        <v/>
      </c>
      <c r="C70" s="58" t="str">
        <f ca="1">Start.listina!P27</f>
        <v xml:space="preserve"> </v>
      </c>
      <c r="D70" s="58" t="str">
        <f ca="1">Start.listina!Q27</f>
        <v xml:space="preserve"> </v>
      </c>
      <c r="E70" s="58" t="str">
        <f ca="1">Start.listina!R27</f>
        <v xml:space="preserve"> </v>
      </c>
      <c r="F70" s="58"/>
      <c r="G70" s="542"/>
      <c r="H70" s="161"/>
      <c r="I70" s="161"/>
    </row>
    <row r="71" spans="1:9">
      <c r="A71" s="58"/>
      <c r="B71" s="58" t="str">
        <f ca="1">Start.listina!U27</f>
        <v/>
      </c>
      <c r="C71" s="58" t="str">
        <f ca="1">Start.listina!V27</f>
        <v xml:space="preserve"> </v>
      </c>
      <c r="D71" s="58" t="str">
        <f ca="1">Start.listina!W27</f>
        <v xml:space="preserve"> </v>
      </c>
      <c r="E71" s="58" t="str">
        <f ca="1">Start.listina!X27</f>
        <v xml:space="preserve"> </v>
      </c>
      <c r="F71" s="58"/>
      <c r="G71" s="542"/>
      <c r="H71" s="161"/>
      <c r="I71" s="161"/>
    </row>
    <row r="72" spans="1:9">
      <c r="A72" s="58"/>
      <c r="B72" s="58" t="str">
        <f ca="1">Start.listina!AA27</f>
        <v/>
      </c>
      <c r="C72" s="58" t="str">
        <f ca="1">Start.listina!AB27</f>
        <v xml:space="preserve"> </v>
      </c>
      <c r="D72" s="58" t="str">
        <f ca="1">Start.listina!AC27</f>
        <v xml:space="preserve"> </v>
      </c>
      <c r="E72" s="58" t="str">
        <f ca="1">Start.listina!AD27</f>
        <v xml:space="preserve"> </v>
      </c>
      <c r="F72" s="58"/>
      <c r="G72" s="542"/>
      <c r="H72" s="161"/>
      <c r="I72" s="161"/>
    </row>
    <row r="73" spans="1:9">
      <c r="A73" s="58">
        <f ca="1">Start.listina!AH28</f>
        <v>0</v>
      </c>
      <c r="B73" s="58" t="str">
        <f ca="1">Start.listina!I28</f>
        <v/>
      </c>
      <c r="C73" s="58" t="str">
        <f ca="1">Start.listina!J28</f>
        <v xml:space="preserve"> </v>
      </c>
      <c r="D73" s="58" t="str">
        <f ca="1">Start.listina!K28</f>
        <v xml:space="preserve"> </v>
      </c>
      <c r="E73" s="58" t="str">
        <f ca="1">Start.listina!L28</f>
        <v xml:space="preserve"> </v>
      </c>
      <c r="F73" s="58"/>
      <c r="G73" s="542" t="str">
        <f ca="1">IF(N(A73)&gt;0,VLOOKUP(A73,Body!$A$4:$F$259,5,0),"")</f>
        <v/>
      </c>
      <c r="H73" s="161" t="str">
        <f ca="1">IF(N(A73)&gt;0,VLOOKUP(A73,Body!$A$4:$F$259,6,0),"")</f>
        <v/>
      </c>
      <c r="I73" s="161" t="str">
        <f ca="1">IF(N(A73)&gt;0,VLOOKUP(A73,Body!$A$4:$F$259,2,0),"")</f>
        <v/>
      </c>
    </row>
    <row r="74" spans="1:9">
      <c r="A74" s="58"/>
      <c r="B74" s="58" t="str">
        <f ca="1">Start.listina!O28</f>
        <v/>
      </c>
      <c r="C74" s="58" t="str">
        <f ca="1">Start.listina!P28</f>
        <v xml:space="preserve"> </v>
      </c>
      <c r="D74" s="58" t="str">
        <f ca="1">Start.listina!Q28</f>
        <v xml:space="preserve"> </v>
      </c>
      <c r="E74" s="58" t="str">
        <f ca="1">Start.listina!R28</f>
        <v xml:space="preserve"> </v>
      </c>
      <c r="F74" s="58"/>
      <c r="G74" s="542"/>
      <c r="H74" s="161"/>
      <c r="I74" s="161"/>
    </row>
    <row r="75" spans="1:9">
      <c r="A75" s="58"/>
      <c r="B75" s="58" t="str">
        <f ca="1">Start.listina!U28</f>
        <v/>
      </c>
      <c r="C75" s="58" t="str">
        <f ca="1">Start.listina!V28</f>
        <v xml:space="preserve"> </v>
      </c>
      <c r="D75" s="58" t="str">
        <f ca="1">Start.listina!W28</f>
        <v xml:space="preserve"> </v>
      </c>
      <c r="E75" s="58" t="str">
        <f ca="1">Start.listina!X28</f>
        <v xml:space="preserve"> </v>
      </c>
      <c r="F75" s="58"/>
      <c r="G75" s="542"/>
      <c r="H75" s="161"/>
      <c r="I75" s="161"/>
    </row>
    <row r="76" spans="1:9">
      <c r="A76" s="58"/>
      <c r="B76" s="58" t="str">
        <f ca="1">Start.listina!AA28</f>
        <v/>
      </c>
      <c r="C76" s="58" t="str">
        <f ca="1">Start.listina!AB28</f>
        <v xml:space="preserve"> </v>
      </c>
      <c r="D76" s="58" t="str">
        <f ca="1">Start.listina!AC28</f>
        <v xml:space="preserve"> </v>
      </c>
      <c r="E76" s="58" t="str">
        <f ca="1">Start.listina!AD28</f>
        <v xml:space="preserve"> </v>
      </c>
      <c r="F76" s="58"/>
      <c r="G76" s="542"/>
      <c r="H76" s="161"/>
      <c r="I76" s="161"/>
    </row>
    <row r="77" spans="1:9">
      <c r="A77" s="58">
        <f ca="1">Start.listina!AH29</f>
        <v>0</v>
      </c>
      <c r="B77" s="58" t="str">
        <f ca="1">Start.listina!I29</f>
        <v/>
      </c>
      <c r="C77" s="58" t="str">
        <f ca="1">Start.listina!J29</f>
        <v xml:space="preserve"> </v>
      </c>
      <c r="D77" s="58" t="str">
        <f ca="1">Start.listina!K29</f>
        <v xml:space="preserve"> </v>
      </c>
      <c r="E77" s="58" t="str">
        <f ca="1">Start.listina!L29</f>
        <v xml:space="preserve"> </v>
      </c>
      <c r="F77" s="58"/>
      <c r="G77" s="542" t="str">
        <f ca="1">IF(N(A77)&gt;0,VLOOKUP(A77,Body!$A$4:$F$259,5,0),"")</f>
        <v/>
      </c>
      <c r="H77" s="161" t="str">
        <f ca="1">IF(N(A77)&gt;0,VLOOKUP(A77,Body!$A$4:$F$259,6,0),"")</f>
        <v/>
      </c>
      <c r="I77" s="161" t="str">
        <f ca="1">IF(N(A77)&gt;0,VLOOKUP(A77,Body!$A$4:$F$259,2,0),"")</f>
        <v/>
      </c>
    </row>
    <row r="78" spans="1:9">
      <c r="A78" s="58"/>
      <c r="B78" s="58" t="str">
        <f ca="1">Start.listina!O29</f>
        <v/>
      </c>
      <c r="C78" s="58" t="str">
        <f ca="1">Start.listina!P29</f>
        <v xml:space="preserve"> </v>
      </c>
      <c r="D78" s="58" t="str">
        <f ca="1">Start.listina!Q29</f>
        <v xml:space="preserve"> </v>
      </c>
      <c r="E78" s="58" t="str">
        <f ca="1">Start.listina!R29</f>
        <v xml:space="preserve"> </v>
      </c>
      <c r="F78" s="58"/>
      <c r="G78" s="542"/>
      <c r="H78" s="161"/>
      <c r="I78" s="161"/>
    </row>
    <row r="79" spans="1:9">
      <c r="A79" s="58"/>
      <c r="B79" s="58" t="str">
        <f ca="1">Start.listina!U29</f>
        <v/>
      </c>
      <c r="C79" s="58" t="str">
        <f ca="1">Start.listina!V29</f>
        <v xml:space="preserve"> </v>
      </c>
      <c r="D79" s="58" t="str">
        <f ca="1">Start.listina!W29</f>
        <v xml:space="preserve"> </v>
      </c>
      <c r="E79" s="58" t="str">
        <f ca="1">Start.listina!X29</f>
        <v xml:space="preserve"> </v>
      </c>
      <c r="F79" s="58"/>
      <c r="G79" s="542"/>
      <c r="H79" s="161"/>
      <c r="I79" s="161"/>
    </row>
    <row r="80" spans="1:9">
      <c r="A80" s="58"/>
      <c r="B80" s="58" t="str">
        <f ca="1">Start.listina!AA29</f>
        <v/>
      </c>
      <c r="C80" s="58" t="str">
        <f ca="1">Start.listina!AB29</f>
        <v xml:space="preserve"> </v>
      </c>
      <c r="D80" s="58" t="str">
        <f ca="1">Start.listina!AC29</f>
        <v xml:space="preserve"> </v>
      </c>
      <c r="E80" s="58" t="str">
        <f ca="1">Start.listina!AD29</f>
        <v xml:space="preserve"> </v>
      </c>
      <c r="F80" s="58"/>
      <c r="G80" s="542"/>
      <c r="H80" s="161"/>
      <c r="I80" s="161"/>
    </row>
    <row r="81" spans="1:9">
      <c r="A81" s="58">
        <f ca="1">Start.listina!AH30</f>
        <v>0</v>
      </c>
      <c r="B81" s="58" t="str">
        <f ca="1">Start.listina!I30</f>
        <v/>
      </c>
      <c r="C81" s="58" t="str">
        <f ca="1">Start.listina!J30</f>
        <v xml:space="preserve"> </v>
      </c>
      <c r="D81" s="58" t="str">
        <f ca="1">Start.listina!K30</f>
        <v xml:space="preserve"> </v>
      </c>
      <c r="E81" s="58" t="str">
        <f ca="1">Start.listina!L30</f>
        <v xml:space="preserve"> </v>
      </c>
      <c r="F81" s="58"/>
      <c r="G81" s="542" t="str">
        <f ca="1">IF(N(A81)&gt;0,VLOOKUP(A81,Body!$A$4:$F$259,5,0),"")</f>
        <v/>
      </c>
      <c r="H81" s="161" t="str">
        <f ca="1">IF(N(A81)&gt;0,VLOOKUP(A81,Body!$A$4:$F$259,6,0),"")</f>
        <v/>
      </c>
      <c r="I81" s="161" t="str">
        <f ca="1">IF(N(A81)&gt;0,VLOOKUP(A81,Body!$A$4:$F$259,2,0),"")</f>
        <v/>
      </c>
    </row>
    <row r="82" spans="1:9">
      <c r="A82" s="58"/>
      <c r="B82" s="58" t="str">
        <f ca="1">Start.listina!O30</f>
        <v/>
      </c>
      <c r="C82" s="58" t="str">
        <f ca="1">Start.listina!P30</f>
        <v xml:space="preserve"> </v>
      </c>
      <c r="D82" s="58" t="str">
        <f ca="1">Start.listina!Q30</f>
        <v xml:space="preserve"> </v>
      </c>
      <c r="E82" s="58" t="str">
        <f ca="1">Start.listina!R30</f>
        <v xml:space="preserve"> </v>
      </c>
      <c r="F82" s="58"/>
      <c r="G82" s="542"/>
      <c r="H82" s="161"/>
      <c r="I82" s="161"/>
    </row>
    <row r="83" spans="1:9">
      <c r="A83" s="58"/>
      <c r="B83" s="58" t="str">
        <f ca="1">Start.listina!U30</f>
        <v/>
      </c>
      <c r="C83" s="58" t="str">
        <f ca="1">Start.listina!V30</f>
        <v xml:space="preserve"> </v>
      </c>
      <c r="D83" s="58" t="str">
        <f ca="1">Start.listina!W30</f>
        <v xml:space="preserve"> </v>
      </c>
      <c r="E83" s="58" t="str">
        <f ca="1">Start.listina!X30</f>
        <v xml:space="preserve"> </v>
      </c>
      <c r="F83" s="58"/>
      <c r="G83" s="542"/>
      <c r="H83" s="161"/>
      <c r="I83" s="161"/>
    </row>
    <row r="84" spans="1:9">
      <c r="A84" s="58"/>
      <c r="B84" s="58" t="str">
        <f ca="1">Start.listina!AA30</f>
        <v/>
      </c>
      <c r="C84" s="58" t="str">
        <f ca="1">Start.listina!AB30</f>
        <v xml:space="preserve"> </v>
      </c>
      <c r="D84" s="58" t="str">
        <f ca="1">Start.listina!AC30</f>
        <v xml:space="preserve"> </v>
      </c>
      <c r="E84" s="58" t="str">
        <f ca="1">Start.listina!AD30</f>
        <v xml:space="preserve"> </v>
      </c>
      <c r="F84" s="58"/>
      <c r="G84" s="542"/>
      <c r="H84" s="161"/>
      <c r="I84" s="161"/>
    </row>
    <row r="85" spans="1:9">
      <c r="A85" s="58">
        <f ca="1">Start.listina!AH31</f>
        <v>0</v>
      </c>
      <c r="B85" s="58" t="str">
        <f ca="1">Start.listina!I31</f>
        <v/>
      </c>
      <c r="C85" s="58" t="str">
        <f ca="1">Start.listina!J31</f>
        <v xml:space="preserve"> </v>
      </c>
      <c r="D85" s="58" t="str">
        <f ca="1">Start.listina!K31</f>
        <v xml:space="preserve"> </v>
      </c>
      <c r="E85" s="58" t="str">
        <f ca="1">Start.listina!L31</f>
        <v xml:space="preserve"> </v>
      </c>
      <c r="F85" s="58"/>
      <c r="G85" s="542" t="str">
        <f ca="1">IF(N(A85)&gt;0,VLOOKUP(A85,Body!$A$4:$F$259,5,0),"")</f>
        <v/>
      </c>
      <c r="H85" s="161" t="str">
        <f ca="1">IF(N(A85)&gt;0,VLOOKUP(A85,Body!$A$4:$F$259,6,0),"")</f>
        <v/>
      </c>
      <c r="I85" s="161" t="str">
        <f ca="1">IF(N(A85)&gt;0,VLOOKUP(A85,Body!$A$4:$F$259,2,0),"")</f>
        <v/>
      </c>
    </row>
    <row r="86" spans="1:9">
      <c r="A86" s="58"/>
      <c r="B86" s="58" t="str">
        <f ca="1">Start.listina!O31</f>
        <v/>
      </c>
      <c r="C86" s="58" t="str">
        <f ca="1">Start.listina!P31</f>
        <v xml:space="preserve"> </v>
      </c>
      <c r="D86" s="58" t="str">
        <f ca="1">Start.listina!Q31</f>
        <v xml:space="preserve"> </v>
      </c>
      <c r="E86" s="58" t="str">
        <f ca="1">Start.listina!R31</f>
        <v xml:space="preserve"> </v>
      </c>
      <c r="F86" s="58"/>
      <c r="G86" s="542"/>
      <c r="H86" s="161"/>
      <c r="I86" s="161"/>
    </row>
    <row r="87" spans="1:9">
      <c r="A87" s="58"/>
      <c r="B87" s="58" t="str">
        <f ca="1">Start.listina!U31</f>
        <v/>
      </c>
      <c r="C87" s="58" t="str">
        <f ca="1">Start.listina!V31</f>
        <v xml:space="preserve"> </v>
      </c>
      <c r="D87" s="58" t="str">
        <f ca="1">Start.listina!W31</f>
        <v xml:space="preserve"> </v>
      </c>
      <c r="E87" s="58" t="str">
        <f ca="1">Start.listina!X31</f>
        <v xml:space="preserve"> </v>
      </c>
      <c r="F87" s="58"/>
      <c r="G87" s="542"/>
      <c r="H87" s="161"/>
      <c r="I87" s="161"/>
    </row>
    <row r="88" spans="1:9">
      <c r="A88" s="58"/>
      <c r="B88" s="58" t="str">
        <f ca="1">Start.listina!AA31</f>
        <v/>
      </c>
      <c r="C88" s="58" t="str">
        <f ca="1">Start.listina!AB31</f>
        <v xml:space="preserve"> </v>
      </c>
      <c r="D88" s="58" t="str">
        <f ca="1">Start.listina!AC31</f>
        <v xml:space="preserve"> </v>
      </c>
      <c r="E88" s="58" t="str">
        <f ca="1">Start.listina!AD31</f>
        <v xml:space="preserve"> </v>
      </c>
      <c r="F88" s="58"/>
      <c r="G88" s="542"/>
      <c r="H88" s="161"/>
      <c r="I88" s="161"/>
    </row>
    <row r="89" spans="1:9">
      <c r="A89" s="58">
        <f ca="1">Start.listina!AH32</f>
        <v>0</v>
      </c>
      <c r="B89" s="58" t="str">
        <f ca="1">Start.listina!I32</f>
        <v/>
      </c>
      <c r="C89" s="58" t="str">
        <f ca="1">Start.listina!J32</f>
        <v xml:space="preserve"> </v>
      </c>
      <c r="D89" s="58" t="str">
        <f ca="1">Start.listina!K32</f>
        <v xml:space="preserve"> </v>
      </c>
      <c r="E89" s="58" t="str">
        <f ca="1">Start.listina!L32</f>
        <v xml:space="preserve"> </v>
      </c>
      <c r="F89" s="58"/>
      <c r="G89" s="542" t="str">
        <f ca="1">IF(N(A89)&gt;0,VLOOKUP(A89,Body!$A$4:$F$259,5,0),"")</f>
        <v/>
      </c>
      <c r="H89" s="161" t="str">
        <f ca="1">IF(N(A89)&gt;0,VLOOKUP(A89,Body!$A$4:$F$259,6,0),"")</f>
        <v/>
      </c>
      <c r="I89" s="161" t="str">
        <f ca="1">IF(N(A89)&gt;0,VLOOKUP(A89,Body!$A$4:$F$259,2,0),"")</f>
        <v/>
      </c>
    </row>
    <row r="90" spans="1:9">
      <c r="A90" s="58"/>
      <c r="B90" s="58" t="str">
        <f ca="1">Start.listina!O32</f>
        <v/>
      </c>
      <c r="C90" s="58" t="str">
        <f ca="1">Start.listina!P32</f>
        <v xml:space="preserve"> </v>
      </c>
      <c r="D90" s="58" t="str">
        <f ca="1">Start.listina!Q32</f>
        <v xml:space="preserve"> </v>
      </c>
      <c r="E90" s="58" t="str">
        <f ca="1">Start.listina!R32</f>
        <v xml:space="preserve"> </v>
      </c>
      <c r="F90" s="58"/>
      <c r="G90" s="542"/>
      <c r="H90" s="161"/>
      <c r="I90" s="161"/>
    </row>
    <row r="91" spans="1:9">
      <c r="A91" s="58"/>
      <c r="B91" s="58" t="str">
        <f ca="1">Start.listina!U32</f>
        <v/>
      </c>
      <c r="C91" s="58" t="str">
        <f ca="1">Start.listina!V32</f>
        <v xml:space="preserve"> </v>
      </c>
      <c r="D91" s="58" t="str">
        <f ca="1">Start.listina!W32</f>
        <v xml:space="preserve"> </v>
      </c>
      <c r="E91" s="58" t="str">
        <f ca="1">Start.listina!X32</f>
        <v xml:space="preserve"> </v>
      </c>
      <c r="F91" s="58"/>
      <c r="G91" s="542"/>
      <c r="H91" s="161"/>
      <c r="I91" s="161"/>
    </row>
    <row r="92" spans="1:9">
      <c r="A92" s="58"/>
      <c r="B92" s="58" t="str">
        <f ca="1">Start.listina!AA32</f>
        <v/>
      </c>
      <c r="C92" s="58" t="str">
        <f ca="1">Start.listina!AB32</f>
        <v xml:space="preserve"> </v>
      </c>
      <c r="D92" s="58" t="str">
        <f ca="1">Start.listina!AC32</f>
        <v xml:space="preserve"> </v>
      </c>
      <c r="E92" s="58" t="str">
        <f ca="1">Start.listina!AD32</f>
        <v xml:space="preserve"> </v>
      </c>
      <c r="F92" s="58"/>
      <c r="G92" s="542"/>
      <c r="H92" s="161"/>
      <c r="I92" s="161"/>
    </row>
    <row r="93" spans="1:9">
      <c r="A93" s="58">
        <f ca="1">Start.listina!AH33</f>
        <v>0</v>
      </c>
      <c r="B93" s="58" t="str">
        <f ca="1">Start.listina!I33</f>
        <v/>
      </c>
      <c r="C93" s="58" t="str">
        <f ca="1">Start.listina!J33</f>
        <v xml:space="preserve"> </v>
      </c>
      <c r="D93" s="58" t="str">
        <f ca="1">Start.listina!K33</f>
        <v xml:space="preserve"> </v>
      </c>
      <c r="E93" s="58" t="str">
        <f ca="1">Start.listina!L33</f>
        <v xml:space="preserve"> </v>
      </c>
      <c r="F93" s="58"/>
      <c r="G93" s="542" t="str">
        <f ca="1">IF(N(A93)&gt;0,VLOOKUP(A93,Body!$A$4:$F$259,5,0),"")</f>
        <v/>
      </c>
      <c r="H93" s="161" t="str">
        <f ca="1">IF(N(A93)&gt;0,VLOOKUP(A93,Body!$A$4:$F$259,6,0),"")</f>
        <v/>
      </c>
      <c r="I93" s="161" t="str">
        <f ca="1">IF(N(A93)&gt;0,VLOOKUP(A93,Body!$A$4:$F$259,2,0),"")</f>
        <v/>
      </c>
    </row>
    <row r="94" spans="1:9">
      <c r="A94" s="58"/>
      <c r="B94" s="58" t="str">
        <f ca="1">Start.listina!O33</f>
        <v/>
      </c>
      <c r="C94" s="58" t="str">
        <f ca="1">Start.listina!P33</f>
        <v xml:space="preserve"> </v>
      </c>
      <c r="D94" s="58" t="str">
        <f ca="1">Start.listina!Q33</f>
        <v xml:space="preserve"> </v>
      </c>
      <c r="E94" s="58" t="str">
        <f ca="1">Start.listina!R33</f>
        <v xml:space="preserve"> </v>
      </c>
      <c r="F94" s="58"/>
      <c r="G94" s="542"/>
      <c r="H94" s="161"/>
      <c r="I94" s="161"/>
    </row>
    <row r="95" spans="1:9">
      <c r="A95" s="58"/>
      <c r="B95" s="58" t="str">
        <f ca="1">Start.listina!U33</f>
        <v/>
      </c>
      <c r="C95" s="58" t="str">
        <f ca="1">Start.listina!V33</f>
        <v xml:space="preserve"> </v>
      </c>
      <c r="D95" s="58" t="str">
        <f ca="1">Start.listina!W33</f>
        <v xml:space="preserve"> </v>
      </c>
      <c r="E95" s="58" t="str">
        <f ca="1">Start.listina!X33</f>
        <v xml:space="preserve"> </v>
      </c>
      <c r="F95" s="58"/>
      <c r="G95" s="542"/>
      <c r="H95" s="161"/>
      <c r="I95" s="161"/>
    </row>
    <row r="96" spans="1:9">
      <c r="A96" s="58"/>
      <c r="B96" s="58" t="str">
        <f ca="1">Start.listina!AA33</f>
        <v/>
      </c>
      <c r="C96" s="58" t="str">
        <f ca="1">Start.listina!AB33</f>
        <v xml:space="preserve"> </v>
      </c>
      <c r="D96" s="58" t="str">
        <f ca="1">Start.listina!AC33</f>
        <v xml:space="preserve"> </v>
      </c>
      <c r="E96" s="58" t="str">
        <f ca="1">Start.listina!AD33</f>
        <v xml:space="preserve"> </v>
      </c>
      <c r="F96" s="58"/>
      <c r="G96" s="542"/>
      <c r="H96" s="161"/>
      <c r="I96" s="161"/>
    </row>
    <row r="97" spans="1:9">
      <c r="A97" s="58">
        <f ca="1">Start.listina!AH34</f>
        <v>0</v>
      </c>
      <c r="B97" s="58" t="str">
        <f ca="1">Start.listina!I34</f>
        <v/>
      </c>
      <c r="C97" s="58" t="str">
        <f ca="1">Start.listina!J34</f>
        <v xml:space="preserve"> </v>
      </c>
      <c r="D97" s="58" t="str">
        <f ca="1">Start.listina!K34</f>
        <v xml:space="preserve"> </v>
      </c>
      <c r="E97" s="58" t="str">
        <f ca="1">Start.listina!L34</f>
        <v xml:space="preserve"> </v>
      </c>
      <c r="F97" s="58"/>
      <c r="G97" s="542" t="str">
        <f ca="1">IF(N(A97)&gt;0,VLOOKUP(A97,Body!$A$4:$F$259,5,0),"")</f>
        <v/>
      </c>
      <c r="H97" s="161" t="str">
        <f ca="1">IF(N(A97)&gt;0,VLOOKUP(A97,Body!$A$4:$F$259,6,0),"")</f>
        <v/>
      </c>
      <c r="I97" s="161" t="str">
        <f ca="1">IF(N(A97)&gt;0,VLOOKUP(A97,Body!$A$4:$F$259,2,0),"")</f>
        <v/>
      </c>
    </row>
    <row r="98" spans="1:9">
      <c r="A98" s="58"/>
      <c r="B98" s="58" t="str">
        <f ca="1">Start.listina!O34</f>
        <v/>
      </c>
      <c r="C98" s="58" t="str">
        <f ca="1">Start.listina!P34</f>
        <v xml:space="preserve"> </v>
      </c>
      <c r="D98" s="58" t="str">
        <f ca="1">Start.listina!Q34</f>
        <v xml:space="preserve"> </v>
      </c>
      <c r="E98" s="58" t="str">
        <f ca="1">Start.listina!R34</f>
        <v xml:space="preserve"> </v>
      </c>
      <c r="F98" s="58"/>
      <c r="G98" s="542"/>
      <c r="H98" s="161"/>
      <c r="I98" s="161"/>
    </row>
    <row r="99" spans="1:9">
      <c r="A99" s="58"/>
      <c r="B99" s="58" t="str">
        <f ca="1">Start.listina!U34</f>
        <v/>
      </c>
      <c r="C99" s="58" t="str">
        <f ca="1">Start.listina!V34</f>
        <v xml:space="preserve"> </v>
      </c>
      <c r="D99" s="58" t="str">
        <f ca="1">Start.listina!W34</f>
        <v xml:space="preserve"> </v>
      </c>
      <c r="E99" s="58" t="str">
        <f ca="1">Start.listina!X34</f>
        <v xml:space="preserve"> </v>
      </c>
      <c r="F99" s="58"/>
      <c r="G99" s="542"/>
      <c r="H99" s="161"/>
      <c r="I99" s="161"/>
    </row>
    <row r="100" spans="1:9">
      <c r="A100" s="58"/>
      <c r="B100" s="58" t="str">
        <f ca="1">Start.listina!AA34</f>
        <v/>
      </c>
      <c r="C100" s="58" t="str">
        <f ca="1">Start.listina!AB34</f>
        <v xml:space="preserve"> </v>
      </c>
      <c r="D100" s="58" t="str">
        <f ca="1">Start.listina!AC34</f>
        <v xml:space="preserve"> </v>
      </c>
      <c r="E100" s="58" t="str">
        <f ca="1">Start.listina!AD34</f>
        <v xml:space="preserve"> </v>
      </c>
      <c r="F100" s="58"/>
      <c r="G100" s="542"/>
      <c r="H100" s="161"/>
      <c r="I100" s="161"/>
    </row>
    <row r="101" spans="1:9">
      <c r="A101" s="58">
        <f ca="1">Start.listina!AH35</f>
        <v>0</v>
      </c>
      <c r="B101" s="58" t="str">
        <f ca="1">Start.listina!I35</f>
        <v/>
      </c>
      <c r="C101" s="58" t="str">
        <f ca="1">Start.listina!J35</f>
        <v xml:space="preserve"> </v>
      </c>
      <c r="D101" s="58" t="str">
        <f ca="1">Start.listina!K35</f>
        <v xml:space="preserve"> </v>
      </c>
      <c r="E101" s="58" t="str">
        <f ca="1">Start.listina!L35</f>
        <v xml:space="preserve"> </v>
      </c>
      <c r="F101" s="58"/>
      <c r="G101" s="542" t="str">
        <f ca="1">IF(N(A101)&gt;0,VLOOKUP(A101,Body!$A$4:$F$259,5,0),"")</f>
        <v/>
      </c>
      <c r="H101" s="161" t="str">
        <f ca="1">IF(N(A101)&gt;0,VLOOKUP(A101,Body!$A$4:$F$259,6,0),"")</f>
        <v/>
      </c>
      <c r="I101" s="161" t="str">
        <f ca="1">IF(N(A101)&gt;0,VLOOKUP(A101,Body!$A$4:$F$259,2,0),"")</f>
        <v/>
      </c>
    </row>
    <row r="102" spans="1:9">
      <c r="A102" s="58"/>
      <c r="B102" s="58" t="str">
        <f ca="1">Start.listina!O35</f>
        <v/>
      </c>
      <c r="C102" s="58" t="str">
        <f ca="1">Start.listina!P35</f>
        <v xml:space="preserve"> </v>
      </c>
      <c r="D102" s="58" t="str">
        <f ca="1">Start.listina!Q35</f>
        <v xml:space="preserve"> </v>
      </c>
      <c r="E102" s="58" t="str">
        <f ca="1">Start.listina!R35</f>
        <v xml:space="preserve"> </v>
      </c>
      <c r="F102" s="58"/>
      <c r="G102" s="542"/>
      <c r="H102" s="161"/>
      <c r="I102" s="161"/>
    </row>
    <row r="103" spans="1:9">
      <c r="A103" s="58"/>
      <c r="B103" s="58" t="str">
        <f ca="1">Start.listina!U35</f>
        <v/>
      </c>
      <c r="C103" s="58" t="str">
        <f ca="1">Start.listina!V35</f>
        <v xml:space="preserve"> </v>
      </c>
      <c r="D103" s="58" t="str">
        <f ca="1">Start.listina!W35</f>
        <v xml:space="preserve"> </v>
      </c>
      <c r="E103" s="58" t="str">
        <f ca="1">Start.listina!X35</f>
        <v xml:space="preserve"> </v>
      </c>
      <c r="F103" s="58"/>
      <c r="G103" s="542"/>
      <c r="H103" s="161"/>
      <c r="I103" s="161"/>
    </row>
    <row r="104" spans="1:9">
      <c r="A104" s="58"/>
      <c r="B104" s="58" t="str">
        <f ca="1">Start.listina!AA35</f>
        <v/>
      </c>
      <c r="C104" s="58" t="str">
        <f ca="1">Start.listina!AB35</f>
        <v xml:space="preserve"> </v>
      </c>
      <c r="D104" s="58" t="str">
        <f ca="1">Start.listina!AC35</f>
        <v xml:space="preserve"> </v>
      </c>
      <c r="E104" s="58" t="str">
        <f ca="1">Start.listina!AD35</f>
        <v xml:space="preserve"> </v>
      </c>
      <c r="F104" s="58"/>
      <c r="G104" s="542"/>
      <c r="H104" s="161"/>
      <c r="I104" s="161"/>
    </row>
    <row r="105" spans="1:9">
      <c r="A105" s="58">
        <f ca="1">Start.listina!AH36</f>
        <v>0</v>
      </c>
      <c r="B105" s="58" t="str">
        <f ca="1">Start.listina!I36</f>
        <v/>
      </c>
      <c r="C105" s="58" t="str">
        <f ca="1">Start.listina!J36</f>
        <v xml:space="preserve"> </v>
      </c>
      <c r="D105" s="58" t="str">
        <f ca="1">Start.listina!K36</f>
        <v xml:space="preserve"> </v>
      </c>
      <c r="E105" s="58" t="str">
        <f ca="1">Start.listina!L36</f>
        <v xml:space="preserve"> </v>
      </c>
      <c r="F105" s="58"/>
      <c r="G105" s="542" t="str">
        <f ca="1">IF(N(A105)&gt;0,VLOOKUP(A105,Body!$A$4:$F$259,5,0),"")</f>
        <v/>
      </c>
      <c r="H105" s="161" t="str">
        <f ca="1">IF(N(A105)&gt;0,VLOOKUP(A105,Body!$A$4:$F$259,6,0),"")</f>
        <v/>
      </c>
      <c r="I105" s="161" t="str">
        <f ca="1">IF(N(A105)&gt;0,VLOOKUP(A105,Body!$A$4:$F$259,2,0),"")</f>
        <v/>
      </c>
    </row>
    <row r="106" spans="1:9">
      <c r="A106" s="58"/>
      <c r="B106" s="58" t="str">
        <f ca="1">Start.listina!O36</f>
        <v/>
      </c>
      <c r="C106" s="58" t="str">
        <f ca="1">Start.listina!P36</f>
        <v xml:space="preserve"> </v>
      </c>
      <c r="D106" s="58" t="str">
        <f ca="1">Start.listina!Q36</f>
        <v xml:space="preserve"> </v>
      </c>
      <c r="E106" s="58" t="str">
        <f ca="1">Start.listina!R36</f>
        <v xml:space="preserve"> </v>
      </c>
      <c r="F106" s="58"/>
      <c r="G106" s="542"/>
      <c r="H106" s="161"/>
      <c r="I106" s="161"/>
    </row>
    <row r="107" spans="1:9">
      <c r="A107" s="58"/>
      <c r="B107" s="58" t="str">
        <f ca="1">Start.listina!U36</f>
        <v/>
      </c>
      <c r="C107" s="58" t="str">
        <f ca="1">Start.listina!V36</f>
        <v xml:space="preserve"> </v>
      </c>
      <c r="D107" s="58" t="str">
        <f ca="1">Start.listina!W36</f>
        <v xml:space="preserve"> </v>
      </c>
      <c r="E107" s="58" t="str">
        <f ca="1">Start.listina!X36</f>
        <v xml:space="preserve"> </v>
      </c>
      <c r="F107" s="58"/>
      <c r="G107" s="542"/>
      <c r="H107" s="161"/>
      <c r="I107" s="161"/>
    </row>
    <row r="108" spans="1:9">
      <c r="A108" s="58"/>
      <c r="B108" s="58" t="str">
        <f ca="1">Start.listina!AA36</f>
        <v/>
      </c>
      <c r="C108" s="58" t="str">
        <f ca="1">Start.listina!AB36</f>
        <v xml:space="preserve"> </v>
      </c>
      <c r="D108" s="58" t="str">
        <f ca="1">Start.listina!AC36</f>
        <v xml:space="preserve"> </v>
      </c>
      <c r="E108" s="58" t="str">
        <f ca="1">Start.listina!AD36</f>
        <v xml:space="preserve"> </v>
      </c>
      <c r="F108" s="58"/>
      <c r="G108" s="542"/>
      <c r="H108" s="161"/>
      <c r="I108" s="161"/>
    </row>
    <row r="109" spans="1:9">
      <c r="A109" s="58">
        <f ca="1">Start.listina!AH37</f>
        <v>0</v>
      </c>
      <c r="B109" s="58" t="str">
        <f ca="1">Start.listina!I37</f>
        <v/>
      </c>
      <c r="C109" s="58" t="str">
        <f ca="1">Start.listina!J37</f>
        <v xml:space="preserve"> </v>
      </c>
      <c r="D109" s="58" t="str">
        <f ca="1">Start.listina!K37</f>
        <v xml:space="preserve"> </v>
      </c>
      <c r="E109" s="58" t="str">
        <f ca="1">Start.listina!L37</f>
        <v xml:space="preserve"> </v>
      </c>
      <c r="F109" s="58"/>
      <c r="G109" s="542" t="str">
        <f ca="1">IF(N(A109)&gt;0,VLOOKUP(A109,Body!$A$4:$F$259,5,0),"")</f>
        <v/>
      </c>
      <c r="H109" s="161" t="str">
        <f ca="1">IF(N(A109)&gt;0,VLOOKUP(A109,Body!$A$4:$F$259,6,0),"")</f>
        <v/>
      </c>
      <c r="I109" s="161" t="str">
        <f ca="1">IF(N(A109)&gt;0,VLOOKUP(A109,Body!$A$4:$F$259,2,0),"")</f>
        <v/>
      </c>
    </row>
    <row r="110" spans="1:9">
      <c r="A110" s="58"/>
      <c r="B110" s="58" t="str">
        <f ca="1">Start.listina!O37</f>
        <v/>
      </c>
      <c r="C110" s="58" t="str">
        <f ca="1">Start.listina!P37</f>
        <v xml:space="preserve"> </v>
      </c>
      <c r="D110" s="58" t="str">
        <f ca="1">Start.listina!Q37</f>
        <v xml:space="preserve"> </v>
      </c>
      <c r="E110" s="58" t="str">
        <f ca="1">Start.listina!R37</f>
        <v xml:space="preserve"> </v>
      </c>
      <c r="F110" s="58"/>
      <c r="G110" s="542"/>
      <c r="H110" s="161"/>
      <c r="I110" s="161"/>
    </row>
    <row r="111" spans="1:9">
      <c r="A111" s="58"/>
      <c r="B111" s="58" t="str">
        <f ca="1">Start.listina!U37</f>
        <v/>
      </c>
      <c r="C111" s="58" t="str">
        <f ca="1">Start.listina!V37</f>
        <v xml:space="preserve"> </v>
      </c>
      <c r="D111" s="58" t="str">
        <f ca="1">Start.listina!W37</f>
        <v xml:space="preserve"> </v>
      </c>
      <c r="E111" s="58" t="str">
        <f ca="1">Start.listina!X37</f>
        <v xml:space="preserve"> </v>
      </c>
      <c r="F111" s="58"/>
      <c r="G111" s="542"/>
      <c r="H111" s="161"/>
      <c r="I111" s="161"/>
    </row>
    <row r="112" spans="1:9">
      <c r="A112" s="58"/>
      <c r="B112" s="58" t="str">
        <f ca="1">Start.listina!AA37</f>
        <v/>
      </c>
      <c r="C112" s="58" t="str">
        <f ca="1">Start.listina!AB37</f>
        <v xml:space="preserve"> </v>
      </c>
      <c r="D112" s="58" t="str">
        <f ca="1">Start.listina!AC37</f>
        <v xml:space="preserve"> </v>
      </c>
      <c r="E112" s="58" t="str">
        <f ca="1">Start.listina!AD37</f>
        <v xml:space="preserve"> </v>
      </c>
      <c r="F112" s="58"/>
      <c r="G112" s="542"/>
      <c r="H112" s="161"/>
      <c r="I112" s="161"/>
    </row>
    <row r="113" spans="1:9">
      <c r="A113" s="58">
        <f ca="1">Start.listina!AH38</f>
        <v>0</v>
      </c>
      <c r="B113" s="58" t="str">
        <f ca="1">Start.listina!I38</f>
        <v/>
      </c>
      <c r="C113" s="58" t="str">
        <f ca="1">Start.listina!J38</f>
        <v xml:space="preserve"> </v>
      </c>
      <c r="D113" s="58" t="str">
        <f ca="1">Start.listina!K38</f>
        <v xml:space="preserve"> </v>
      </c>
      <c r="E113" s="58" t="str">
        <f ca="1">Start.listina!L38</f>
        <v xml:space="preserve"> </v>
      </c>
      <c r="F113" s="58"/>
      <c r="G113" s="542" t="str">
        <f ca="1">IF(N(A113)&gt;0,VLOOKUP(A113,Body!$A$4:$F$259,5,0),"")</f>
        <v/>
      </c>
      <c r="H113" s="161" t="str">
        <f ca="1">IF(N(A113)&gt;0,VLOOKUP(A113,Body!$A$4:$F$259,6,0),"")</f>
        <v/>
      </c>
      <c r="I113" s="161" t="str">
        <f ca="1">IF(N(A113)&gt;0,VLOOKUP(A113,Body!$A$4:$F$259,2,0),"")</f>
        <v/>
      </c>
    </row>
    <row r="114" spans="1:9">
      <c r="A114" s="58"/>
      <c r="B114" s="58" t="str">
        <f ca="1">Start.listina!O38</f>
        <v/>
      </c>
      <c r="C114" s="58" t="str">
        <f ca="1">Start.listina!P38</f>
        <v xml:space="preserve"> </v>
      </c>
      <c r="D114" s="58" t="str">
        <f ca="1">Start.listina!Q38</f>
        <v xml:space="preserve"> </v>
      </c>
      <c r="E114" s="58" t="str">
        <f ca="1">Start.listina!R38</f>
        <v xml:space="preserve"> </v>
      </c>
      <c r="F114" s="58"/>
      <c r="G114" s="542"/>
      <c r="H114" s="161"/>
      <c r="I114" s="161"/>
    </row>
    <row r="115" spans="1:9">
      <c r="A115" s="58"/>
      <c r="B115" s="58" t="str">
        <f ca="1">Start.listina!U38</f>
        <v/>
      </c>
      <c r="C115" s="58" t="str">
        <f ca="1">Start.listina!V38</f>
        <v xml:space="preserve"> </v>
      </c>
      <c r="D115" s="58" t="str">
        <f ca="1">Start.listina!W38</f>
        <v xml:space="preserve"> </v>
      </c>
      <c r="E115" s="58" t="str">
        <f ca="1">Start.listina!X38</f>
        <v xml:space="preserve"> </v>
      </c>
      <c r="F115" s="58"/>
      <c r="G115" s="542"/>
      <c r="H115" s="161"/>
      <c r="I115" s="161"/>
    </row>
    <row r="116" spans="1:9">
      <c r="A116" s="58"/>
      <c r="B116" s="58" t="str">
        <f ca="1">Start.listina!AA38</f>
        <v/>
      </c>
      <c r="C116" s="58" t="str">
        <f ca="1">Start.listina!AB38</f>
        <v xml:space="preserve"> </v>
      </c>
      <c r="D116" s="58" t="str">
        <f ca="1">Start.listina!AC38</f>
        <v xml:space="preserve"> </v>
      </c>
      <c r="E116" s="58" t="str">
        <f ca="1">Start.listina!AD38</f>
        <v xml:space="preserve"> </v>
      </c>
      <c r="F116" s="58"/>
      <c r="G116" s="542"/>
      <c r="H116" s="161"/>
      <c r="I116" s="161"/>
    </row>
    <row r="117" spans="1:9">
      <c r="A117" s="58">
        <f ca="1">Start.listina!AH39</f>
        <v>0</v>
      </c>
      <c r="B117" s="58" t="str">
        <f ca="1">Start.listina!I39</f>
        <v/>
      </c>
      <c r="C117" s="543" t="str">
        <f ca="1">Start.listina!J39</f>
        <v xml:space="preserve"> </v>
      </c>
      <c r="D117" s="58" t="str">
        <f ca="1">Start.listina!K39</f>
        <v xml:space="preserve"> </v>
      </c>
      <c r="E117" s="58" t="str">
        <f ca="1">Start.listina!L39</f>
        <v xml:space="preserve"> </v>
      </c>
      <c r="F117" s="58"/>
      <c r="G117" s="542" t="str">
        <f ca="1">IF(N(A117)&gt;0,VLOOKUP(A117,Body!$A$4:$F$259,5,0),"")</f>
        <v/>
      </c>
      <c r="H117" s="161" t="str">
        <f ca="1">IF(N(A117)&gt;0,VLOOKUP(A117,Body!$A$4:$F$259,6,0),"")</f>
        <v/>
      </c>
      <c r="I117" s="161" t="str">
        <f ca="1">IF(N(A117)&gt;0,VLOOKUP(A117,Body!$A$4:$F$259,2,0),"")</f>
        <v/>
      </c>
    </row>
    <row r="118" spans="1:9">
      <c r="A118" s="58"/>
      <c r="B118" s="58" t="str">
        <f ca="1">Start.listina!O39</f>
        <v/>
      </c>
      <c r="C118" s="58" t="str">
        <f ca="1">Start.listina!P39</f>
        <v xml:space="preserve"> </v>
      </c>
      <c r="D118" s="58" t="str">
        <f ca="1">Start.listina!Q39</f>
        <v xml:space="preserve"> </v>
      </c>
      <c r="E118" s="58" t="str">
        <f ca="1">Start.listina!R39</f>
        <v xml:space="preserve"> </v>
      </c>
      <c r="F118" s="58"/>
      <c r="G118" s="542"/>
      <c r="H118" s="161"/>
      <c r="I118" s="161"/>
    </row>
    <row r="119" spans="1:9">
      <c r="A119" s="58"/>
      <c r="B119" s="58" t="str">
        <f ca="1">Start.listina!U39</f>
        <v/>
      </c>
      <c r="C119" s="58" t="str">
        <f ca="1">Start.listina!V39</f>
        <v xml:space="preserve"> </v>
      </c>
      <c r="D119" s="58" t="str">
        <f ca="1">Start.listina!W39</f>
        <v xml:space="preserve"> </v>
      </c>
      <c r="E119" s="58" t="str">
        <f ca="1">Start.listina!X39</f>
        <v xml:space="preserve"> </v>
      </c>
      <c r="F119" s="58"/>
      <c r="G119" s="542"/>
      <c r="H119" s="161"/>
      <c r="I119" s="161"/>
    </row>
    <row r="120" spans="1:9">
      <c r="A120" s="58"/>
      <c r="B120" s="58" t="str">
        <f ca="1">Start.listina!AA39</f>
        <v/>
      </c>
      <c r="C120" s="58" t="str">
        <f ca="1">Start.listina!AB39</f>
        <v xml:space="preserve"> </v>
      </c>
      <c r="D120" s="58" t="str">
        <f ca="1">Start.listina!AC39</f>
        <v xml:space="preserve"> </v>
      </c>
      <c r="E120" s="58" t="str">
        <f ca="1">Start.listina!AD39</f>
        <v xml:space="preserve"> </v>
      </c>
      <c r="F120" s="58"/>
      <c r="G120" s="542"/>
      <c r="H120" s="161"/>
      <c r="I120" s="161"/>
    </row>
    <row r="121" spans="1:9">
      <c r="A121" s="58">
        <f ca="1">Start.listina!AH40</f>
        <v>0</v>
      </c>
      <c r="B121" s="58" t="str">
        <f ca="1">Start.listina!I40</f>
        <v/>
      </c>
      <c r="C121" s="543" t="str">
        <f ca="1">Start.listina!J40</f>
        <v xml:space="preserve"> </v>
      </c>
      <c r="D121" s="58" t="str">
        <f ca="1">Start.listina!K40</f>
        <v xml:space="preserve"> </v>
      </c>
      <c r="E121" s="58" t="str">
        <f ca="1">Start.listina!L40</f>
        <v xml:space="preserve"> </v>
      </c>
      <c r="F121" s="58"/>
      <c r="G121" s="542" t="str">
        <f ca="1">IF(N(A121)&gt;0,VLOOKUP(A121,Body!$A$4:$F$259,5,0),"")</f>
        <v/>
      </c>
      <c r="H121" s="161" t="str">
        <f ca="1">IF(N(A121)&gt;0,VLOOKUP(A121,Body!$A$4:$F$259,6,0),"")</f>
        <v/>
      </c>
      <c r="I121" s="161" t="str">
        <f ca="1">IF(N(A121)&gt;0,VLOOKUP(A121,Body!$A$4:$F$259,2,0),"")</f>
        <v/>
      </c>
    </row>
    <row r="122" spans="1:9">
      <c r="A122" s="58"/>
      <c r="B122" s="58" t="str">
        <f ca="1">Start.listina!O40</f>
        <v/>
      </c>
      <c r="C122" s="58" t="str">
        <f ca="1">Start.listina!P40</f>
        <v xml:space="preserve"> </v>
      </c>
      <c r="D122" s="58" t="str">
        <f ca="1">Start.listina!Q40</f>
        <v xml:space="preserve"> </v>
      </c>
      <c r="E122" s="58" t="str">
        <f ca="1">Start.listina!R40</f>
        <v xml:space="preserve"> </v>
      </c>
      <c r="F122" s="58"/>
      <c r="G122" s="542"/>
      <c r="H122" s="161"/>
      <c r="I122" s="161"/>
    </row>
    <row r="123" spans="1:9">
      <c r="A123" s="58"/>
      <c r="B123" s="58" t="str">
        <f ca="1">Start.listina!U40</f>
        <v/>
      </c>
      <c r="C123" s="58" t="str">
        <f ca="1">Start.listina!V40</f>
        <v xml:space="preserve"> </v>
      </c>
      <c r="D123" s="58" t="str">
        <f ca="1">Start.listina!W40</f>
        <v xml:space="preserve"> </v>
      </c>
      <c r="E123" s="58" t="str">
        <f ca="1">Start.listina!X40</f>
        <v xml:space="preserve"> </v>
      </c>
      <c r="F123" s="58"/>
      <c r="G123" s="542"/>
      <c r="H123" s="161"/>
      <c r="I123" s="161"/>
    </row>
    <row r="124" spans="1:9">
      <c r="A124" s="58"/>
      <c r="B124" s="58" t="str">
        <f ca="1">Start.listina!AA40</f>
        <v/>
      </c>
      <c r="C124" s="58" t="str">
        <f ca="1">Start.listina!AB40</f>
        <v xml:space="preserve"> </v>
      </c>
      <c r="D124" s="58" t="str">
        <f ca="1">Start.listina!AC40</f>
        <v xml:space="preserve"> </v>
      </c>
      <c r="E124" s="58" t="str">
        <f ca="1">Start.listina!AD40</f>
        <v xml:space="preserve"> </v>
      </c>
      <c r="F124" s="58"/>
      <c r="G124" s="542"/>
      <c r="H124" s="161"/>
      <c r="I124" s="161"/>
    </row>
    <row r="125" spans="1:9">
      <c r="A125" s="58">
        <f ca="1">Start.listina!AH41</f>
        <v>0</v>
      </c>
      <c r="B125" s="58" t="str">
        <f ca="1">Start.listina!I41</f>
        <v/>
      </c>
      <c r="C125" s="543" t="str">
        <f ca="1">Start.listina!J41</f>
        <v xml:space="preserve"> </v>
      </c>
      <c r="D125" s="58" t="str">
        <f ca="1">Start.listina!K41</f>
        <v xml:space="preserve"> </v>
      </c>
      <c r="E125" s="58" t="str">
        <f ca="1">Start.listina!L41</f>
        <v xml:space="preserve"> </v>
      </c>
      <c r="F125" s="58"/>
      <c r="G125" s="542" t="str">
        <f ca="1">IF(N(A125)&gt;0,VLOOKUP(A125,Body!$A$4:$F$259,5,0),"")</f>
        <v/>
      </c>
      <c r="H125" s="161" t="str">
        <f ca="1">IF(N(A125)&gt;0,VLOOKUP(A125,Body!$A$4:$F$259,6,0),"")</f>
        <v/>
      </c>
      <c r="I125" s="161" t="str">
        <f ca="1">IF(N(A125)&gt;0,VLOOKUP(A125,Body!$A$4:$F$259,2,0),"")</f>
        <v/>
      </c>
    </row>
    <row r="126" spans="1:9">
      <c r="A126" s="58"/>
      <c r="B126" s="58" t="str">
        <f ca="1">Start.listina!O41</f>
        <v/>
      </c>
      <c r="C126" s="58" t="str">
        <f ca="1">Start.listina!P41</f>
        <v xml:space="preserve"> </v>
      </c>
      <c r="D126" s="58" t="str">
        <f ca="1">Start.listina!Q41</f>
        <v xml:space="preserve"> </v>
      </c>
      <c r="E126" s="58" t="str">
        <f ca="1">Start.listina!R41</f>
        <v xml:space="preserve"> </v>
      </c>
      <c r="F126" s="58"/>
      <c r="G126" s="542"/>
      <c r="H126" s="161"/>
      <c r="I126" s="161"/>
    </row>
    <row r="127" spans="1:9">
      <c r="A127" s="58"/>
      <c r="B127" s="58" t="str">
        <f ca="1">Start.listina!U41</f>
        <v/>
      </c>
      <c r="C127" s="58" t="str">
        <f ca="1">Start.listina!V41</f>
        <v xml:space="preserve"> </v>
      </c>
      <c r="D127" s="58" t="str">
        <f ca="1">Start.listina!W41</f>
        <v xml:space="preserve"> </v>
      </c>
      <c r="E127" s="58" t="str">
        <f ca="1">Start.listina!X41</f>
        <v xml:space="preserve"> </v>
      </c>
      <c r="F127" s="58"/>
      <c r="G127" s="542"/>
      <c r="H127" s="161"/>
      <c r="I127" s="161"/>
    </row>
    <row r="128" spans="1:9">
      <c r="A128" s="58"/>
      <c r="B128" s="58" t="str">
        <f ca="1">Start.listina!AA41</f>
        <v/>
      </c>
      <c r="C128" s="58" t="str">
        <f ca="1">Start.listina!AB41</f>
        <v xml:space="preserve"> </v>
      </c>
      <c r="D128" s="58" t="str">
        <f ca="1">Start.listina!AC41</f>
        <v xml:space="preserve"> </v>
      </c>
      <c r="E128" s="58" t="str">
        <f ca="1">Start.listina!AD41</f>
        <v xml:space="preserve"> </v>
      </c>
      <c r="F128" s="58"/>
      <c r="G128" s="542"/>
      <c r="H128" s="161"/>
      <c r="I128" s="161"/>
    </row>
    <row r="129" spans="1:9">
      <c r="A129" s="58">
        <f ca="1">Start.listina!AH42</f>
        <v>0</v>
      </c>
      <c r="B129" s="58" t="str">
        <f ca="1">Start.listina!I42</f>
        <v/>
      </c>
      <c r="C129" s="543" t="str">
        <f ca="1">Start.listina!J42</f>
        <v xml:space="preserve"> </v>
      </c>
      <c r="D129" s="58" t="str">
        <f ca="1">Start.listina!K42</f>
        <v xml:space="preserve"> </v>
      </c>
      <c r="E129" s="58" t="str">
        <f ca="1">Start.listina!L42</f>
        <v xml:space="preserve"> </v>
      </c>
      <c r="F129" s="58"/>
      <c r="G129" s="542" t="str">
        <f ca="1">IF(N(A129)&gt;0,VLOOKUP(A129,Body!$A$4:$F$259,5,0),"")</f>
        <v/>
      </c>
      <c r="H129" s="161" t="str">
        <f ca="1">IF(N(A129)&gt;0,VLOOKUP(A129,Body!$A$4:$F$259,6,0),"")</f>
        <v/>
      </c>
      <c r="I129" s="161" t="str">
        <f ca="1">IF(N(A129)&gt;0,VLOOKUP(A129,Body!$A$4:$F$259,2,0),"")</f>
        <v/>
      </c>
    </row>
    <row r="130" spans="1:9">
      <c r="A130" s="58"/>
      <c r="B130" s="58" t="str">
        <f ca="1">Start.listina!O42</f>
        <v/>
      </c>
      <c r="C130" s="58" t="str">
        <f ca="1">Start.listina!P42</f>
        <v xml:space="preserve"> </v>
      </c>
      <c r="D130" s="58" t="str">
        <f ca="1">Start.listina!Q42</f>
        <v xml:space="preserve"> </v>
      </c>
      <c r="E130" s="58" t="str">
        <f ca="1">Start.listina!R42</f>
        <v xml:space="preserve"> </v>
      </c>
      <c r="F130" s="58"/>
      <c r="G130" s="542"/>
      <c r="H130" s="161"/>
      <c r="I130" s="161"/>
    </row>
    <row r="131" spans="1:9">
      <c r="A131" s="58"/>
      <c r="B131" s="58" t="str">
        <f ca="1">Start.listina!U42</f>
        <v/>
      </c>
      <c r="C131" s="58" t="str">
        <f ca="1">Start.listina!V42</f>
        <v xml:space="preserve"> </v>
      </c>
      <c r="D131" s="58" t="str">
        <f ca="1">Start.listina!W42</f>
        <v xml:space="preserve"> </v>
      </c>
      <c r="E131" s="58" t="str">
        <f ca="1">Start.listina!X42</f>
        <v xml:space="preserve"> </v>
      </c>
      <c r="F131" s="58"/>
      <c r="G131" s="542"/>
      <c r="H131" s="161"/>
      <c r="I131" s="161"/>
    </row>
    <row r="132" spans="1:9">
      <c r="A132" s="58"/>
      <c r="B132" s="58" t="str">
        <f ca="1">Start.listina!AA42</f>
        <v/>
      </c>
      <c r="C132" s="58" t="str">
        <f ca="1">Start.listina!AB42</f>
        <v xml:space="preserve"> </v>
      </c>
      <c r="D132" s="58" t="str">
        <f ca="1">Start.listina!AC42</f>
        <v xml:space="preserve"> </v>
      </c>
      <c r="E132" s="58" t="str">
        <f ca="1">Start.listina!AD42</f>
        <v xml:space="preserve"> </v>
      </c>
      <c r="F132" s="58"/>
      <c r="G132" s="542"/>
      <c r="H132" s="161"/>
      <c r="I132" s="161"/>
    </row>
    <row r="133" spans="1:9">
      <c r="A133" s="58">
        <f ca="1">Start.listina!AH43</f>
        <v>0</v>
      </c>
      <c r="B133" s="58" t="str">
        <f ca="1">Start.listina!I43</f>
        <v/>
      </c>
      <c r="C133" s="543" t="str">
        <f ca="1">Start.listina!J43</f>
        <v xml:space="preserve"> </v>
      </c>
      <c r="D133" s="58" t="str">
        <f ca="1">Start.listina!K43</f>
        <v xml:space="preserve"> </v>
      </c>
      <c r="E133" s="58" t="str">
        <f ca="1">Start.listina!L43</f>
        <v xml:space="preserve"> </v>
      </c>
      <c r="F133" s="58"/>
      <c r="G133" s="542" t="str">
        <f ca="1">IF(N(A133)&gt;0,VLOOKUP(A133,Body!$A$4:$F$259,5,0),"")</f>
        <v/>
      </c>
      <c r="H133" s="161" t="str">
        <f ca="1">IF(N(A133)&gt;0,VLOOKUP(A133,Body!$A$4:$F$259,6,0),"")</f>
        <v/>
      </c>
      <c r="I133" s="161" t="str">
        <f ca="1">IF(N(A133)&gt;0,VLOOKUP(A133,Body!$A$4:$F$259,2,0),"")</f>
        <v/>
      </c>
    </row>
    <row r="134" spans="1:9">
      <c r="A134" s="58"/>
      <c r="B134" s="58" t="str">
        <f ca="1">Start.listina!O43</f>
        <v/>
      </c>
      <c r="C134" s="58" t="str">
        <f ca="1">Start.listina!P43</f>
        <v xml:space="preserve"> </v>
      </c>
      <c r="D134" s="58" t="str">
        <f ca="1">Start.listina!Q43</f>
        <v xml:space="preserve"> </v>
      </c>
      <c r="E134" s="58" t="str">
        <f ca="1">Start.listina!R43</f>
        <v xml:space="preserve"> </v>
      </c>
      <c r="F134" s="58"/>
      <c r="G134" s="542"/>
      <c r="H134" s="161"/>
      <c r="I134" s="161"/>
    </row>
    <row r="135" spans="1:9">
      <c r="A135" s="58"/>
      <c r="B135" s="58" t="str">
        <f ca="1">Start.listina!U43</f>
        <v/>
      </c>
      <c r="C135" s="58" t="str">
        <f ca="1">Start.listina!V43</f>
        <v xml:space="preserve"> </v>
      </c>
      <c r="D135" s="58" t="str">
        <f ca="1">Start.listina!W43</f>
        <v xml:space="preserve"> </v>
      </c>
      <c r="E135" s="58" t="str">
        <f ca="1">Start.listina!X43</f>
        <v xml:space="preserve"> </v>
      </c>
      <c r="F135" s="58"/>
      <c r="G135" s="542"/>
      <c r="H135" s="161"/>
      <c r="I135" s="161"/>
    </row>
    <row r="136" spans="1:9">
      <c r="A136" s="58"/>
      <c r="B136" s="58" t="str">
        <f ca="1">Start.listina!AA43</f>
        <v/>
      </c>
      <c r="C136" s="58" t="str">
        <f ca="1">Start.listina!AB43</f>
        <v xml:space="preserve"> </v>
      </c>
      <c r="D136" s="58" t="str">
        <f ca="1">Start.listina!AC43</f>
        <v xml:space="preserve"> </v>
      </c>
      <c r="E136" s="58" t="str">
        <f ca="1">Start.listina!AD43</f>
        <v xml:space="preserve"> </v>
      </c>
      <c r="F136" s="58"/>
      <c r="G136" s="542"/>
      <c r="H136" s="161"/>
      <c r="I136" s="161"/>
    </row>
    <row r="137" spans="1:9">
      <c r="A137" s="58">
        <f ca="1">Start.listina!AH44</f>
        <v>0</v>
      </c>
      <c r="B137" s="58" t="str">
        <f ca="1">Start.listina!I44</f>
        <v/>
      </c>
      <c r="C137" s="543" t="str">
        <f ca="1">Start.listina!J44</f>
        <v xml:space="preserve"> </v>
      </c>
      <c r="D137" s="58" t="str">
        <f ca="1">Start.listina!K44</f>
        <v xml:space="preserve"> </v>
      </c>
      <c r="E137" s="58" t="str">
        <f ca="1">Start.listina!L44</f>
        <v xml:space="preserve"> </v>
      </c>
      <c r="F137" s="58"/>
      <c r="G137" s="542" t="str">
        <f ca="1">IF(N(A137)&gt;0,VLOOKUP(A137,Body!$A$4:$F$259,5,0),"")</f>
        <v/>
      </c>
      <c r="H137" s="161" t="str">
        <f ca="1">IF(N(A137)&gt;0,VLOOKUP(A137,Body!$A$4:$F$259,6,0),"")</f>
        <v/>
      </c>
      <c r="I137" s="161" t="str">
        <f ca="1">IF(N(A137)&gt;0,VLOOKUP(A137,Body!$A$4:$F$259,2,0),"")</f>
        <v/>
      </c>
    </row>
    <row r="138" spans="1:9">
      <c r="A138" s="58"/>
      <c r="B138" s="58" t="str">
        <f ca="1">Start.listina!O44</f>
        <v/>
      </c>
      <c r="C138" s="58" t="str">
        <f ca="1">Start.listina!P44</f>
        <v xml:space="preserve"> </v>
      </c>
      <c r="D138" s="58" t="str">
        <f ca="1">Start.listina!Q44</f>
        <v xml:space="preserve"> </v>
      </c>
      <c r="E138" s="58" t="str">
        <f ca="1">Start.listina!R44</f>
        <v xml:space="preserve"> </v>
      </c>
      <c r="F138" s="58"/>
      <c r="G138" s="542"/>
      <c r="H138" s="161"/>
      <c r="I138" s="161"/>
    </row>
    <row r="139" spans="1:9">
      <c r="A139" s="58"/>
      <c r="B139" s="58" t="str">
        <f ca="1">Start.listina!U44</f>
        <v/>
      </c>
      <c r="C139" s="58" t="str">
        <f ca="1">Start.listina!V44</f>
        <v xml:space="preserve"> </v>
      </c>
      <c r="D139" s="58" t="str">
        <f ca="1">Start.listina!W44</f>
        <v xml:space="preserve"> </v>
      </c>
      <c r="E139" s="58" t="str">
        <f ca="1">Start.listina!X44</f>
        <v xml:space="preserve"> </v>
      </c>
      <c r="F139" s="58"/>
      <c r="G139" s="542"/>
      <c r="H139" s="161"/>
      <c r="I139" s="161"/>
    </row>
    <row r="140" spans="1:9">
      <c r="A140" s="58"/>
      <c r="B140" s="58" t="str">
        <f ca="1">Start.listina!AA44</f>
        <v/>
      </c>
      <c r="C140" s="58" t="str">
        <f ca="1">Start.listina!AB44</f>
        <v xml:space="preserve"> </v>
      </c>
      <c r="D140" s="58" t="str">
        <f ca="1">Start.listina!AC44</f>
        <v xml:space="preserve"> </v>
      </c>
      <c r="E140" s="58" t="str">
        <f ca="1">Start.listina!AD44</f>
        <v xml:space="preserve"> </v>
      </c>
      <c r="F140" s="58"/>
      <c r="G140" s="542"/>
      <c r="H140" s="161"/>
      <c r="I140" s="161"/>
    </row>
    <row r="141" spans="1:9">
      <c r="A141" s="58">
        <f ca="1">Start.listina!AH45</f>
        <v>0</v>
      </c>
      <c r="B141" s="58" t="str">
        <f ca="1">Start.listina!I45</f>
        <v/>
      </c>
      <c r="C141" s="543" t="str">
        <f ca="1">Start.listina!J45</f>
        <v xml:space="preserve"> </v>
      </c>
      <c r="D141" s="58" t="str">
        <f ca="1">Start.listina!K45</f>
        <v xml:space="preserve"> </v>
      </c>
      <c r="E141" s="58" t="str">
        <f ca="1">Start.listina!L45</f>
        <v xml:space="preserve"> </v>
      </c>
      <c r="F141" s="58"/>
      <c r="G141" s="542" t="str">
        <f ca="1">IF(N(A141)&gt;0,VLOOKUP(A141,Body!$A$4:$F$259,5,0),"")</f>
        <v/>
      </c>
      <c r="H141" s="161" t="str">
        <f ca="1">IF(N(A141)&gt;0,VLOOKUP(A141,Body!$A$4:$F$259,6,0),"")</f>
        <v/>
      </c>
      <c r="I141" s="161" t="str">
        <f ca="1">IF(N(A141)&gt;0,VLOOKUP(A141,Body!$A$4:$F$259,2,0),"")</f>
        <v/>
      </c>
    </row>
    <row r="142" spans="1:9">
      <c r="A142" s="58"/>
      <c r="B142" s="58" t="str">
        <f ca="1">Start.listina!O45</f>
        <v/>
      </c>
      <c r="C142" s="58" t="str">
        <f ca="1">Start.listina!P45</f>
        <v xml:space="preserve"> </v>
      </c>
      <c r="D142" s="58" t="str">
        <f ca="1">Start.listina!Q45</f>
        <v xml:space="preserve"> </v>
      </c>
      <c r="E142" s="58" t="str">
        <f ca="1">Start.listina!R45</f>
        <v xml:space="preserve"> </v>
      </c>
      <c r="F142" s="58"/>
      <c r="G142" s="542"/>
      <c r="H142" s="161"/>
      <c r="I142" s="161"/>
    </row>
    <row r="143" spans="1:9">
      <c r="A143" s="58"/>
      <c r="B143" s="58" t="str">
        <f ca="1">Start.listina!U45</f>
        <v/>
      </c>
      <c r="C143" s="58" t="str">
        <f ca="1">Start.listina!V45</f>
        <v xml:space="preserve"> </v>
      </c>
      <c r="D143" s="58" t="str">
        <f ca="1">Start.listina!W45</f>
        <v xml:space="preserve"> </v>
      </c>
      <c r="E143" s="58" t="str">
        <f ca="1">Start.listina!X45</f>
        <v xml:space="preserve"> </v>
      </c>
      <c r="F143" s="58"/>
      <c r="G143" s="542"/>
      <c r="H143" s="161"/>
      <c r="I143" s="161"/>
    </row>
    <row r="144" spans="1:9">
      <c r="A144" s="58"/>
      <c r="B144" s="58" t="str">
        <f ca="1">Start.listina!AA45</f>
        <v/>
      </c>
      <c r="C144" s="58" t="str">
        <f ca="1">Start.listina!AB45</f>
        <v xml:space="preserve"> </v>
      </c>
      <c r="D144" s="58" t="str">
        <f ca="1">Start.listina!AC45</f>
        <v xml:space="preserve"> </v>
      </c>
      <c r="E144" s="58" t="str">
        <f ca="1">Start.listina!AD45</f>
        <v xml:space="preserve"> </v>
      </c>
      <c r="F144" s="58"/>
      <c r="G144" s="542"/>
      <c r="H144" s="161"/>
      <c r="I144" s="161"/>
    </row>
    <row r="145" spans="1:9">
      <c r="A145" s="58">
        <f ca="1">Start.listina!AH46</f>
        <v>0</v>
      </c>
      <c r="B145" s="58" t="str">
        <f ca="1">Start.listina!I46</f>
        <v/>
      </c>
      <c r="C145" s="543" t="str">
        <f ca="1">Start.listina!J46</f>
        <v xml:space="preserve"> </v>
      </c>
      <c r="D145" s="58" t="str">
        <f ca="1">Start.listina!K46</f>
        <v xml:space="preserve"> </v>
      </c>
      <c r="E145" s="58" t="str">
        <f ca="1">Start.listina!L46</f>
        <v xml:space="preserve"> </v>
      </c>
      <c r="F145" s="58"/>
      <c r="G145" s="542" t="str">
        <f ca="1">IF(N(A145)&gt;0,VLOOKUP(A145,Body!$A$4:$F$259,5,0),"")</f>
        <v/>
      </c>
      <c r="H145" s="161" t="str">
        <f ca="1">IF(N(A145)&gt;0,VLOOKUP(A145,Body!$A$4:$F$259,6,0),"")</f>
        <v/>
      </c>
      <c r="I145" s="161" t="str">
        <f ca="1">IF(N(A145)&gt;0,VLOOKUP(A145,Body!$A$4:$F$259,2,0),"")</f>
        <v/>
      </c>
    </row>
    <row r="146" spans="1:9">
      <c r="A146" s="58"/>
      <c r="B146" s="58" t="str">
        <f ca="1">Start.listina!O46</f>
        <v/>
      </c>
      <c r="C146" s="58" t="str">
        <f ca="1">Start.listina!P46</f>
        <v xml:space="preserve"> </v>
      </c>
      <c r="D146" s="58" t="str">
        <f ca="1">Start.listina!Q46</f>
        <v xml:space="preserve"> </v>
      </c>
      <c r="E146" s="58" t="str">
        <f ca="1">Start.listina!R46</f>
        <v xml:space="preserve"> </v>
      </c>
      <c r="F146" s="58"/>
      <c r="G146" s="542"/>
      <c r="H146" s="161"/>
      <c r="I146" s="161"/>
    </row>
    <row r="147" spans="1:9">
      <c r="A147" s="58"/>
      <c r="B147" s="58" t="str">
        <f ca="1">Start.listina!U46</f>
        <v/>
      </c>
      <c r="C147" s="58" t="str">
        <f ca="1">Start.listina!V46</f>
        <v xml:space="preserve"> </v>
      </c>
      <c r="D147" s="58" t="str">
        <f ca="1">Start.listina!W46</f>
        <v xml:space="preserve"> </v>
      </c>
      <c r="E147" s="58" t="str">
        <f ca="1">Start.listina!X46</f>
        <v xml:space="preserve"> </v>
      </c>
      <c r="F147" s="58"/>
      <c r="G147" s="542"/>
      <c r="H147" s="161"/>
      <c r="I147" s="161"/>
    </row>
    <row r="148" spans="1:9">
      <c r="A148" s="58"/>
      <c r="B148" s="58" t="str">
        <f ca="1">Start.listina!AA46</f>
        <v/>
      </c>
      <c r="C148" s="58" t="str">
        <f ca="1">Start.listina!AB46</f>
        <v xml:space="preserve"> </v>
      </c>
      <c r="D148" s="58" t="str">
        <f ca="1">Start.listina!AC46</f>
        <v xml:space="preserve"> </v>
      </c>
      <c r="E148" s="58" t="str">
        <f ca="1">Start.listina!AD46</f>
        <v xml:space="preserve"> </v>
      </c>
      <c r="F148" s="58"/>
      <c r="G148" s="542"/>
      <c r="H148" s="161"/>
      <c r="I148" s="161"/>
    </row>
    <row r="149" spans="1:9">
      <c r="A149" s="58">
        <f ca="1">Start.listina!AH47</f>
        <v>0</v>
      </c>
      <c r="B149" s="58" t="str">
        <f ca="1">Start.listina!I47</f>
        <v/>
      </c>
      <c r="C149" s="543" t="str">
        <f ca="1">Start.listina!J47</f>
        <v xml:space="preserve"> </v>
      </c>
      <c r="D149" s="58" t="str">
        <f ca="1">Start.listina!K47</f>
        <v xml:space="preserve"> </v>
      </c>
      <c r="E149" s="58" t="str">
        <f ca="1">Start.listina!L47</f>
        <v xml:space="preserve"> </v>
      </c>
      <c r="F149" s="58"/>
      <c r="G149" s="542" t="str">
        <f ca="1">IF(N(A149)&gt;0,VLOOKUP(A149,Body!$A$4:$F$259,5,0),"")</f>
        <v/>
      </c>
      <c r="H149" s="161" t="str">
        <f ca="1">IF(N(A149)&gt;0,VLOOKUP(A149,Body!$A$4:$F$259,6,0),"")</f>
        <v/>
      </c>
      <c r="I149" s="161" t="str">
        <f ca="1">IF(N(A149)&gt;0,VLOOKUP(A149,Body!$A$4:$F$259,2,0),"")</f>
        <v/>
      </c>
    </row>
    <row r="150" spans="1:9">
      <c r="A150" s="58"/>
      <c r="B150" s="58" t="str">
        <f ca="1">Start.listina!O47</f>
        <v/>
      </c>
      <c r="C150" s="58" t="str">
        <f ca="1">Start.listina!P47</f>
        <v xml:space="preserve"> </v>
      </c>
      <c r="D150" s="58" t="str">
        <f ca="1">Start.listina!Q47</f>
        <v xml:space="preserve"> </v>
      </c>
      <c r="E150" s="58" t="str">
        <f ca="1">Start.listina!R47</f>
        <v xml:space="preserve"> </v>
      </c>
      <c r="F150" s="58"/>
      <c r="G150" s="542"/>
      <c r="H150" s="161"/>
      <c r="I150" s="161"/>
    </row>
    <row r="151" spans="1:9">
      <c r="A151" s="58"/>
      <c r="B151" s="58" t="str">
        <f ca="1">Start.listina!U47</f>
        <v/>
      </c>
      <c r="C151" s="58" t="str">
        <f ca="1">Start.listina!V47</f>
        <v xml:space="preserve"> </v>
      </c>
      <c r="D151" s="58" t="str">
        <f ca="1">Start.listina!W47</f>
        <v xml:space="preserve"> </v>
      </c>
      <c r="E151" s="58" t="str">
        <f ca="1">Start.listina!X47</f>
        <v xml:space="preserve"> </v>
      </c>
      <c r="F151" s="58"/>
      <c r="G151" s="542"/>
      <c r="H151" s="161"/>
      <c r="I151" s="161"/>
    </row>
    <row r="152" spans="1:9">
      <c r="A152" s="58"/>
      <c r="B152" s="58" t="str">
        <f ca="1">Start.listina!AA47</f>
        <v/>
      </c>
      <c r="C152" s="58" t="str">
        <f ca="1">Start.listina!AB47</f>
        <v xml:space="preserve"> </v>
      </c>
      <c r="D152" s="58" t="str">
        <f ca="1">Start.listina!AC47</f>
        <v xml:space="preserve"> </v>
      </c>
      <c r="E152" s="58" t="str">
        <f ca="1">Start.listina!AD47</f>
        <v xml:space="preserve"> </v>
      </c>
      <c r="F152" s="58"/>
      <c r="G152" s="542"/>
      <c r="H152" s="161"/>
      <c r="I152" s="161"/>
    </row>
    <row r="153" spans="1:9">
      <c r="A153" s="58">
        <f ca="1">Start.listina!AH48</f>
        <v>0</v>
      </c>
      <c r="B153" s="58" t="str">
        <f ca="1">Start.listina!I48</f>
        <v/>
      </c>
      <c r="C153" s="543" t="str">
        <f ca="1">Start.listina!J48</f>
        <v xml:space="preserve"> </v>
      </c>
      <c r="D153" s="58" t="str">
        <f ca="1">Start.listina!K48</f>
        <v xml:space="preserve"> </v>
      </c>
      <c r="E153" s="58" t="str">
        <f ca="1">Start.listina!L48</f>
        <v xml:space="preserve"> </v>
      </c>
      <c r="F153" s="58"/>
      <c r="G153" s="542" t="str">
        <f ca="1">IF(N(A153)&gt;0,VLOOKUP(A153,Body!$A$4:$F$259,5,0),"")</f>
        <v/>
      </c>
      <c r="H153" s="161" t="str">
        <f ca="1">IF(N(A153)&gt;0,VLOOKUP(A153,Body!$A$4:$F$259,6,0),"")</f>
        <v/>
      </c>
      <c r="I153" s="161" t="str">
        <f ca="1">IF(N(A153)&gt;0,VLOOKUP(A153,Body!$A$4:$F$259,2,0),"")</f>
        <v/>
      </c>
    </row>
    <row r="154" spans="1:9">
      <c r="A154" s="58"/>
      <c r="B154" s="58" t="str">
        <f ca="1">Start.listina!O48</f>
        <v/>
      </c>
      <c r="C154" s="58" t="str">
        <f ca="1">Start.listina!P48</f>
        <v xml:space="preserve"> </v>
      </c>
      <c r="D154" s="58" t="str">
        <f ca="1">Start.listina!Q48</f>
        <v xml:space="preserve"> </v>
      </c>
      <c r="E154" s="58" t="str">
        <f ca="1">Start.listina!R48</f>
        <v xml:space="preserve"> </v>
      </c>
      <c r="F154" s="58"/>
      <c r="G154" s="542"/>
      <c r="H154" s="161"/>
      <c r="I154" s="161"/>
    </row>
    <row r="155" spans="1:9">
      <c r="A155" s="58"/>
      <c r="B155" s="58" t="str">
        <f ca="1">Start.listina!U48</f>
        <v/>
      </c>
      <c r="C155" s="58" t="str">
        <f ca="1">Start.listina!V48</f>
        <v xml:space="preserve"> </v>
      </c>
      <c r="D155" s="58" t="str">
        <f ca="1">Start.listina!W48</f>
        <v xml:space="preserve"> </v>
      </c>
      <c r="E155" s="58" t="str">
        <f ca="1">Start.listina!X48</f>
        <v xml:space="preserve"> </v>
      </c>
      <c r="F155" s="58"/>
      <c r="G155" s="542"/>
      <c r="H155" s="161"/>
      <c r="I155" s="161"/>
    </row>
    <row r="156" spans="1:9">
      <c r="A156" s="58"/>
      <c r="B156" s="58" t="str">
        <f ca="1">Start.listina!AA48</f>
        <v/>
      </c>
      <c r="C156" s="58" t="str">
        <f ca="1">Start.listina!AB48</f>
        <v xml:space="preserve"> </v>
      </c>
      <c r="D156" s="58" t="str">
        <f ca="1">Start.listina!AC48</f>
        <v xml:space="preserve"> </v>
      </c>
      <c r="E156" s="58" t="str">
        <f ca="1">Start.listina!AD48</f>
        <v xml:space="preserve"> </v>
      </c>
      <c r="F156" s="58"/>
      <c r="G156" s="542"/>
      <c r="H156" s="161"/>
      <c r="I156" s="161"/>
    </row>
    <row r="157" spans="1:9">
      <c r="A157" s="58">
        <f ca="1">Start.listina!AH49</f>
        <v>0</v>
      </c>
      <c r="B157" s="58" t="str">
        <f ca="1">Start.listina!I49</f>
        <v/>
      </c>
      <c r="C157" s="543" t="str">
        <f ca="1">Start.listina!J49</f>
        <v xml:space="preserve"> </v>
      </c>
      <c r="D157" s="58" t="str">
        <f ca="1">Start.listina!K49</f>
        <v xml:space="preserve"> </v>
      </c>
      <c r="E157" s="58" t="str">
        <f ca="1">Start.listina!L49</f>
        <v xml:space="preserve"> </v>
      </c>
      <c r="F157" s="58"/>
      <c r="G157" s="542" t="str">
        <f ca="1">IF(N(A157)&gt;0,VLOOKUP(A157,Body!$A$4:$F$259,5,0),"")</f>
        <v/>
      </c>
      <c r="H157" s="161" t="str">
        <f ca="1">IF(N(A157)&gt;0,VLOOKUP(A157,Body!$A$4:$F$259,6,0),"")</f>
        <v/>
      </c>
      <c r="I157" s="161" t="str">
        <f ca="1">IF(N(A157)&gt;0,VLOOKUP(A157,Body!$A$4:$F$259,2,0),"")</f>
        <v/>
      </c>
    </row>
    <row r="158" spans="1:9">
      <c r="A158" s="58"/>
      <c r="B158" s="58" t="str">
        <f ca="1">Start.listina!O49</f>
        <v/>
      </c>
      <c r="C158" s="58" t="str">
        <f ca="1">Start.listina!P49</f>
        <v xml:space="preserve"> </v>
      </c>
      <c r="D158" s="58" t="str">
        <f ca="1">Start.listina!Q49</f>
        <v xml:space="preserve"> </v>
      </c>
      <c r="E158" s="58" t="str">
        <f ca="1">Start.listina!R49</f>
        <v xml:space="preserve"> </v>
      </c>
      <c r="F158" s="58"/>
      <c r="G158" s="542"/>
      <c r="H158" s="161"/>
      <c r="I158" s="161"/>
    </row>
    <row r="159" spans="1:9">
      <c r="A159" s="58"/>
      <c r="B159" s="58" t="str">
        <f ca="1">Start.listina!U49</f>
        <v/>
      </c>
      <c r="C159" s="58" t="str">
        <f ca="1">Start.listina!V49</f>
        <v xml:space="preserve"> </v>
      </c>
      <c r="D159" s="58" t="str">
        <f ca="1">Start.listina!W49</f>
        <v xml:space="preserve"> </v>
      </c>
      <c r="E159" s="58" t="str">
        <f ca="1">Start.listina!X49</f>
        <v xml:space="preserve"> </v>
      </c>
      <c r="F159" s="58"/>
      <c r="G159" s="542"/>
      <c r="H159" s="161"/>
      <c r="I159" s="161"/>
    </row>
    <row r="160" spans="1:9">
      <c r="A160" s="58"/>
      <c r="B160" s="58" t="str">
        <f ca="1">Start.listina!AA49</f>
        <v/>
      </c>
      <c r="C160" s="58" t="str">
        <f ca="1">Start.listina!AB49</f>
        <v xml:space="preserve"> </v>
      </c>
      <c r="D160" s="58" t="str">
        <f ca="1">Start.listina!AC49</f>
        <v xml:space="preserve"> </v>
      </c>
      <c r="E160" s="58" t="str">
        <f ca="1">Start.listina!AD49</f>
        <v xml:space="preserve"> </v>
      </c>
      <c r="F160" s="58"/>
      <c r="G160" s="542"/>
      <c r="H160" s="161"/>
      <c r="I160" s="161"/>
    </row>
    <row r="161" spans="1:9">
      <c r="A161" s="58">
        <f ca="1">Start.listina!AH50</f>
        <v>0</v>
      </c>
      <c r="B161" s="58" t="str">
        <f ca="1">Start.listina!I50</f>
        <v/>
      </c>
      <c r="C161" s="543" t="str">
        <f ca="1">Start.listina!J50</f>
        <v xml:space="preserve"> </v>
      </c>
      <c r="D161" s="58" t="str">
        <f ca="1">Start.listina!K50</f>
        <v xml:space="preserve"> </v>
      </c>
      <c r="E161" s="58" t="str">
        <f ca="1">Start.listina!L50</f>
        <v xml:space="preserve"> </v>
      </c>
      <c r="F161" s="58"/>
      <c r="G161" s="542" t="str">
        <f ca="1">IF(N(A161)&gt;0,VLOOKUP(A161,Body!$A$4:$F$259,5,0),"")</f>
        <v/>
      </c>
      <c r="H161" s="161" t="str">
        <f ca="1">IF(N(A161)&gt;0,VLOOKUP(A161,Body!$A$4:$F$259,6,0),"")</f>
        <v/>
      </c>
      <c r="I161" s="161" t="str">
        <f ca="1">IF(N(A161)&gt;0,VLOOKUP(A161,Body!$A$4:$F$259,2,0),"")</f>
        <v/>
      </c>
    </row>
    <row r="162" spans="1:9">
      <c r="A162" s="58"/>
      <c r="B162" s="58" t="str">
        <f ca="1">Start.listina!O50</f>
        <v/>
      </c>
      <c r="C162" s="58" t="str">
        <f ca="1">Start.listina!P50</f>
        <v xml:space="preserve"> </v>
      </c>
      <c r="D162" s="58" t="str">
        <f ca="1">Start.listina!Q50</f>
        <v xml:space="preserve"> </v>
      </c>
      <c r="E162" s="58" t="str">
        <f ca="1">Start.listina!R50</f>
        <v xml:space="preserve"> </v>
      </c>
      <c r="F162" s="58"/>
      <c r="G162" s="542"/>
      <c r="H162" s="161"/>
      <c r="I162" s="161"/>
    </row>
    <row r="163" spans="1:9">
      <c r="A163" s="58"/>
      <c r="B163" s="58" t="str">
        <f ca="1">Start.listina!U50</f>
        <v/>
      </c>
      <c r="C163" s="58" t="str">
        <f ca="1">Start.listina!V50</f>
        <v xml:space="preserve"> </v>
      </c>
      <c r="D163" s="58" t="str">
        <f ca="1">Start.listina!W50</f>
        <v xml:space="preserve"> </v>
      </c>
      <c r="E163" s="58" t="str">
        <f ca="1">Start.listina!X50</f>
        <v xml:space="preserve"> </v>
      </c>
      <c r="F163" s="58"/>
      <c r="G163" s="542"/>
      <c r="H163" s="161"/>
      <c r="I163" s="161"/>
    </row>
    <row r="164" spans="1:9">
      <c r="A164" s="58"/>
      <c r="B164" s="58" t="str">
        <f ca="1">Start.listina!AA50</f>
        <v/>
      </c>
      <c r="C164" s="58" t="str">
        <f ca="1">Start.listina!AB50</f>
        <v xml:space="preserve"> </v>
      </c>
      <c r="D164" s="58" t="str">
        <f ca="1">Start.listina!AC50</f>
        <v xml:space="preserve"> </v>
      </c>
      <c r="E164" s="58" t="str">
        <f ca="1">Start.listina!AD50</f>
        <v xml:space="preserve"> </v>
      </c>
      <c r="F164" s="58"/>
      <c r="G164" s="542"/>
      <c r="H164" s="161"/>
      <c r="I164" s="161"/>
    </row>
    <row r="165" spans="1:9">
      <c r="A165" s="58">
        <f ca="1">Start.listina!AH51</f>
        <v>0</v>
      </c>
      <c r="B165" s="58" t="str">
        <f ca="1">Start.listina!I51</f>
        <v/>
      </c>
      <c r="C165" s="543" t="str">
        <f ca="1">Start.listina!J51</f>
        <v xml:space="preserve"> </v>
      </c>
      <c r="D165" s="58" t="str">
        <f ca="1">Start.listina!K51</f>
        <v xml:space="preserve"> </v>
      </c>
      <c r="E165" s="58" t="str">
        <f ca="1">Start.listina!L51</f>
        <v xml:space="preserve"> </v>
      </c>
      <c r="F165" s="58"/>
      <c r="G165" s="542" t="str">
        <f ca="1">IF(N(A165)&gt;0,VLOOKUP(A165,Body!$A$4:$F$259,5,0),"")</f>
        <v/>
      </c>
      <c r="H165" s="161" t="str">
        <f ca="1">IF(N(A165)&gt;0,VLOOKUP(A165,Body!$A$4:$F$259,6,0),"")</f>
        <v/>
      </c>
      <c r="I165" s="161" t="str">
        <f ca="1">IF(N(A165)&gt;0,VLOOKUP(A165,Body!$A$4:$F$259,2,0),"")</f>
        <v/>
      </c>
    </row>
    <row r="166" spans="1:9">
      <c r="A166" s="58"/>
      <c r="B166" s="58" t="str">
        <f ca="1">Start.listina!O51</f>
        <v/>
      </c>
      <c r="C166" s="58" t="str">
        <f ca="1">Start.listina!P51</f>
        <v xml:space="preserve"> </v>
      </c>
      <c r="D166" s="58" t="str">
        <f ca="1">Start.listina!Q51</f>
        <v xml:space="preserve"> </v>
      </c>
      <c r="E166" s="58" t="str">
        <f ca="1">Start.listina!R51</f>
        <v xml:space="preserve"> </v>
      </c>
      <c r="F166" s="58"/>
      <c r="G166" s="542"/>
      <c r="H166" s="161"/>
      <c r="I166" s="161"/>
    </row>
    <row r="167" spans="1:9">
      <c r="A167" s="58"/>
      <c r="B167" s="58" t="str">
        <f ca="1">Start.listina!U51</f>
        <v/>
      </c>
      <c r="C167" s="58" t="str">
        <f ca="1">Start.listina!V51</f>
        <v xml:space="preserve"> </v>
      </c>
      <c r="D167" s="58" t="str">
        <f ca="1">Start.listina!W51</f>
        <v xml:space="preserve"> </v>
      </c>
      <c r="E167" s="58" t="str">
        <f ca="1">Start.listina!X51</f>
        <v xml:space="preserve"> </v>
      </c>
      <c r="F167" s="58"/>
      <c r="G167" s="542"/>
      <c r="H167" s="161"/>
      <c r="I167" s="161"/>
    </row>
    <row r="168" spans="1:9">
      <c r="A168" s="58"/>
      <c r="B168" s="58" t="str">
        <f ca="1">Start.listina!AA51</f>
        <v/>
      </c>
      <c r="C168" s="58" t="str">
        <f ca="1">Start.listina!AB51</f>
        <v xml:space="preserve"> </v>
      </c>
      <c r="D168" s="58" t="str">
        <f ca="1">Start.listina!AC51</f>
        <v xml:space="preserve"> </v>
      </c>
      <c r="E168" s="58" t="str">
        <f ca="1">Start.listina!AD51</f>
        <v xml:space="preserve"> </v>
      </c>
      <c r="F168" s="58"/>
      <c r="G168" s="542"/>
      <c r="H168" s="161"/>
      <c r="I168" s="161"/>
    </row>
    <row r="169" spans="1:9">
      <c r="A169" s="58">
        <f ca="1">Start.listina!AH52</f>
        <v>0</v>
      </c>
      <c r="B169" s="58" t="str">
        <f ca="1">Start.listina!I52</f>
        <v/>
      </c>
      <c r="C169" s="543" t="str">
        <f ca="1">Start.listina!J52</f>
        <v xml:space="preserve"> </v>
      </c>
      <c r="D169" s="58" t="str">
        <f ca="1">Start.listina!K52</f>
        <v xml:space="preserve"> </v>
      </c>
      <c r="E169" s="58" t="str">
        <f ca="1">Start.listina!L52</f>
        <v xml:space="preserve"> </v>
      </c>
      <c r="F169" s="58"/>
      <c r="G169" s="542" t="str">
        <f ca="1">IF(N(A169)&gt;0,VLOOKUP(A169,Body!$A$4:$F$259,5,0),"")</f>
        <v/>
      </c>
      <c r="H169" s="161" t="str">
        <f ca="1">IF(N(A169)&gt;0,VLOOKUP(A169,Body!$A$4:$F$259,6,0),"")</f>
        <v/>
      </c>
      <c r="I169" s="161" t="str">
        <f ca="1">IF(N(A169)&gt;0,VLOOKUP(A169,Body!$A$4:$F$259,2,0),"")</f>
        <v/>
      </c>
    </row>
    <row r="170" spans="1:9">
      <c r="A170" s="58"/>
      <c r="B170" s="58" t="str">
        <f ca="1">Start.listina!O52</f>
        <v/>
      </c>
      <c r="C170" s="58" t="str">
        <f ca="1">Start.listina!P52</f>
        <v xml:space="preserve"> </v>
      </c>
      <c r="D170" s="58" t="str">
        <f ca="1">Start.listina!Q52</f>
        <v xml:space="preserve"> </v>
      </c>
      <c r="E170" s="58" t="str">
        <f ca="1">Start.listina!R52</f>
        <v xml:space="preserve"> </v>
      </c>
      <c r="F170" s="58"/>
      <c r="G170" s="542"/>
      <c r="H170" s="161"/>
      <c r="I170" s="161"/>
    </row>
    <row r="171" spans="1:9">
      <c r="A171" s="58"/>
      <c r="B171" s="58" t="str">
        <f ca="1">Start.listina!U52</f>
        <v/>
      </c>
      <c r="C171" s="58" t="str">
        <f ca="1">Start.listina!V52</f>
        <v xml:space="preserve"> </v>
      </c>
      <c r="D171" s="58" t="str">
        <f ca="1">Start.listina!W52</f>
        <v xml:space="preserve"> </v>
      </c>
      <c r="E171" s="58" t="str">
        <f ca="1">Start.listina!X52</f>
        <v xml:space="preserve"> </v>
      </c>
      <c r="F171" s="58"/>
      <c r="G171" s="542"/>
      <c r="H171" s="161"/>
      <c r="I171" s="161"/>
    </row>
    <row r="172" spans="1:9">
      <c r="A172" s="58"/>
      <c r="B172" s="58" t="str">
        <f ca="1">Start.listina!AA52</f>
        <v/>
      </c>
      <c r="C172" s="58" t="str">
        <f ca="1">Start.listina!AB52</f>
        <v xml:space="preserve"> </v>
      </c>
      <c r="D172" s="58" t="str">
        <f ca="1">Start.listina!AC52</f>
        <v xml:space="preserve"> </v>
      </c>
      <c r="E172" s="58" t="str">
        <f ca="1">Start.listina!AD52</f>
        <v xml:space="preserve"> </v>
      </c>
      <c r="F172" s="58"/>
      <c r="G172" s="542"/>
      <c r="H172" s="161"/>
      <c r="I172" s="161"/>
    </row>
    <row r="173" spans="1:9">
      <c r="A173" s="58">
        <f ca="1">Start.listina!AH53</f>
        <v>0</v>
      </c>
      <c r="B173" s="58" t="str">
        <f ca="1">Start.listina!I53</f>
        <v/>
      </c>
      <c r="C173" s="543" t="str">
        <f ca="1">Start.listina!J53</f>
        <v xml:space="preserve"> </v>
      </c>
      <c r="D173" s="58" t="str">
        <f ca="1">Start.listina!K53</f>
        <v xml:space="preserve"> </v>
      </c>
      <c r="E173" s="58" t="str">
        <f ca="1">Start.listina!L53</f>
        <v xml:space="preserve"> </v>
      </c>
      <c r="F173" s="58"/>
      <c r="G173" s="542" t="str">
        <f ca="1">IF(N(A173)&gt;0,VLOOKUP(A173,Body!$A$4:$F$259,5,0),"")</f>
        <v/>
      </c>
      <c r="H173" s="161" t="str">
        <f ca="1">IF(N(A173)&gt;0,VLOOKUP(A173,Body!$A$4:$F$259,6,0),"")</f>
        <v/>
      </c>
      <c r="I173" s="161" t="str">
        <f ca="1">IF(N(A173)&gt;0,VLOOKUP(A173,Body!$A$4:$F$259,2,0),"")</f>
        <v/>
      </c>
    </row>
    <row r="174" spans="1:9">
      <c r="A174" s="58"/>
      <c r="B174" s="58" t="str">
        <f ca="1">Start.listina!O53</f>
        <v/>
      </c>
      <c r="C174" s="58" t="str">
        <f ca="1">Start.listina!P53</f>
        <v xml:space="preserve"> </v>
      </c>
      <c r="D174" s="58" t="str">
        <f ca="1">Start.listina!Q53</f>
        <v xml:space="preserve"> </v>
      </c>
      <c r="E174" s="58" t="str">
        <f ca="1">Start.listina!R53</f>
        <v xml:space="preserve"> </v>
      </c>
      <c r="F174" s="58"/>
      <c r="G174" s="542"/>
      <c r="H174" s="161"/>
      <c r="I174" s="161"/>
    </row>
    <row r="175" spans="1:9">
      <c r="A175" s="58"/>
      <c r="B175" s="58" t="str">
        <f ca="1">Start.listina!U53</f>
        <v/>
      </c>
      <c r="C175" s="58" t="str">
        <f ca="1">Start.listina!V53</f>
        <v xml:space="preserve"> </v>
      </c>
      <c r="D175" s="58" t="str">
        <f ca="1">Start.listina!W53</f>
        <v xml:space="preserve"> </v>
      </c>
      <c r="E175" s="58" t="str">
        <f ca="1">Start.listina!X53</f>
        <v xml:space="preserve"> </v>
      </c>
      <c r="F175" s="58"/>
      <c r="G175" s="542"/>
      <c r="H175" s="161"/>
      <c r="I175" s="161"/>
    </row>
    <row r="176" spans="1:9">
      <c r="A176" s="58"/>
      <c r="B176" s="58" t="str">
        <f ca="1">Start.listina!AA53</f>
        <v/>
      </c>
      <c r="C176" s="58" t="str">
        <f ca="1">Start.listina!AB53</f>
        <v xml:space="preserve"> </v>
      </c>
      <c r="D176" s="58" t="str">
        <f ca="1">Start.listina!AC53</f>
        <v xml:space="preserve"> </v>
      </c>
      <c r="E176" s="58" t="str">
        <f ca="1">Start.listina!AD53</f>
        <v xml:space="preserve"> </v>
      </c>
      <c r="F176" s="58"/>
      <c r="G176" s="542"/>
      <c r="H176" s="161"/>
      <c r="I176" s="161"/>
    </row>
    <row r="177" spans="1:9">
      <c r="A177" s="58">
        <f ca="1">Start.listina!AH54</f>
        <v>0</v>
      </c>
      <c r="B177" s="58" t="str">
        <f ca="1">Start.listina!I54</f>
        <v/>
      </c>
      <c r="C177" s="543" t="str">
        <f ca="1">Start.listina!J54</f>
        <v xml:space="preserve"> </v>
      </c>
      <c r="D177" s="58" t="str">
        <f ca="1">Start.listina!K54</f>
        <v xml:space="preserve"> </v>
      </c>
      <c r="E177" s="58" t="str">
        <f ca="1">Start.listina!L54</f>
        <v xml:space="preserve"> </v>
      </c>
      <c r="F177" s="58"/>
      <c r="G177" s="542" t="str">
        <f ca="1">IF(N(A177)&gt;0,VLOOKUP(A177,Body!$A$4:$F$259,5,0),"")</f>
        <v/>
      </c>
      <c r="H177" s="161" t="str">
        <f ca="1">IF(N(A177)&gt;0,VLOOKUP(A177,Body!$A$4:$F$259,6,0),"")</f>
        <v/>
      </c>
      <c r="I177" s="161" t="str">
        <f ca="1">IF(N(A177)&gt;0,VLOOKUP(A177,Body!$A$4:$F$259,2,0),"")</f>
        <v/>
      </c>
    </row>
    <row r="178" spans="1:9">
      <c r="A178" s="58"/>
      <c r="B178" s="58" t="str">
        <f ca="1">Start.listina!O54</f>
        <v/>
      </c>
      <c r="C178" s="58" t="str">
        <f ca="1">Start.listina!P54</f>
        <v xml:space="preserve"> </v>
      </c>
      <c r="D178" s="58" t="str">
        <f ca="1">Start.listina!Q54</f>
        <v xml:space="preserve"> </v>
      </c>
      <c r="E178" s="58" t="str">
        <f ca="1">Start.listina!R54</f>
        <v xml:space="preserve"> </v>
      </c>
      <c r="F178" s="58"/>
      <c r="G178" s="542"/>
      <c r="H178" s="161"/>
      <c r="I178" s="161"/>
    </row>
    <row r="179" spans="1:9">
      <c r="A179" s="58"/>
      <c r="B179" s="58" t="str">
        <f ca="1">Start.listina!U54</f>
        <v/>
      </c>
      <c r="C179" s="58" t="str">
        <f ca="1">Start.listina!V54</f>
        <v xml:space="preserve"> </v>
      </c>
      <c r="D179" s="58" t="str">
        <f ca="1">Start.listina!W54</f>
        <v xml:space="preserve"> </v>
      </c>
      <c r="E179" s="58" t="str">
        <f ca="1">Start.listina!X54</f>
        <v xml:space="preserve"> </v>
      </c>
      <c r="F179" s="58"/>
      <c r="G179" s="542"/>
      <c r="H179" s="161"/>
      <c r="I179" s="161"/>
    </row>
    <row r="180" spans="1:9">
      <c r="A180" s="58"/>
      <c r="B180" s="58" t="str">
        <f ca="1">Start.listina!AA54</f>
        <v/>
      </c>
      <c r="C180" s="58" t="str">
        <f ca="1">Start.listina!AB54</f>
        <v xml:space="preserve"> </v>
      </c>
      <c r="D180" s="58" t="str">
        <f ca="1">Start.listina!AC54</f>
        <v xml:space="preserve"> </v>
      </c>
      <c r="E180" s="58" t="str">
        <f ca="1">Start.listina!AD54</f>
        <v xml:space="preserve"> </v>
      </c>
      <c r="F180" s="58"/>
      <c r="G180" s="542"/>
      <c r="H180" s="161"/>
      <c r="I180" s="161"/>
    </row>
    <row r="181" spans="1:9">
      <c r="A181" s="58">
        <f ca="1">Start.listina!AH55</f>
        <v>0</v>
      </c>
      <c r="B181" s="58" t="str">
        <f ca="1">Start.listina!I55</f>
        <v/>
      </c>
      <c r="C181" s="543" t="str">
        <f ca="1">Start.listina!J55</f>
        <v xml:space="preserve"> </v>
      </c>
      <c r="D181" s="58" t="str">
        <f ca="1">Start.listina!K55</f>
        <v xml:space="preserve"> </v>
      </c>
      <c r="E181" s="58" t="str">
        <f ca="1">Start.listina!L55</f>
        <v xml:space="preserve"> </v>
      </c>
      <c r="F181" s="58"/>
      <c r="G181" s="542" t="str">
        <f ca="1">IF(N(A181)&gt;0,VLOOKUP(A181,Body!$A$4:$F$259,5,0),"")</f>
        <v/>
      </c>
      <c r="H181" s="161" t="str">
        <f ca="1">IF(N(A181)&gt;0,VLOOKUP(A181,Body!$A$4:$F$259,6,0),"")</f>
        <v/>
      </c>
      <c r="I181" s="161" t="str">
        <f ca="1">IF(N(A181)&gt;0,VLOOKUP(A181,Body!$A$4:$F$259,2,0),"")</f>
        <v/>
      </c>
    </row>
    <row r="182" spans="1:9">
      <c r="A182" s="58"/>
      <c r="B182" s="58" t="str">
        <f ca="1">Start.listina!O55</f>
        <v/>
      </c>
      <c r="C182" s="58" t="str">
        <f ca="1">Start.listina!P55</f>
        <v xml:space="preserve"> </v>
      </c>
      <c r="D182" s="58" t="str">
        <f ca="1">Start.listina!Q55</f>
        <v xml:space="preserve"> </v>
      </c>
      <c r="E182" s="58" t="str">
        <f ca="1">Start.listina!R55</f>
        <v xml:space="preserve"> </v>
      </c>
      <c r="F182" s="58"/>
      <c r="G182" s="542"/>
      <c r="H182" s="161"/>
      <c r="I182" s="161"/>
    </row>
    <row r="183" spans="1:9">
      <c r="A183" s="58"/>
      <c r="B183" s="58" t="str">
        <f ca="1">Start.listina!U55</f>
        <v/>
      </c>
      <c r="C183" s="58" t="str">
        <f ca="1">Start.listina!V55</f>
        <v xml:space="preserve"> </v>
      </c>
      <c r="D183" s="58" t="str">
        <f ca="1">Start.listina!W55</f>
        <v xml:space="preserve"> </v>
      </c>
      <c r="E183" s="58" t="str">
        <f ca="1">Start.listina!X55</f>
        <v xml:space="preserve"> </v>
      </c>
      <c r="F183" s="58"/>
      <c r="G183" s="542"/>
      <c r="H183" s="161"/>
      <c r="I183" s="161"/>
    </row>
    <row r="184" spans="1:9">
      <c r="A184" s="58"/>
      <c r="B184" s="58" t="str">
        <f ca="1">Start.listina!AA55</f>
        <v/>
      </c>
      <c r="C184" s="58" t="str">
        <f ca="1">Start.listina!AB55</f>
        <v xml:space="preserve"> </v>
      </c>
      <c r="D184" s="58" t="str">
        <f ca="1">Start.listina!AC55</f>
        <v xml:space="preserve"> </v>
      </c>
      <c r="E184" s="58" t="str">
        <f ca="1">Start.listina!AD55</f>
        <v xml:space="preserve"> </v>
      </c>
      <c r="F184" s="58"/>
      <c r="G184" s="542"/>
      <c r="H184" s="161"/>
      <c r="I184" s="161"/>
    </row>
    <row r="185" spans="1:9">
      <c r="A185" s="58">
        <f ca="1">Start.listina!AH56</f>
        <v>0</v>
      </c>
      <c r="B185" s="58" t="str">
        <f ca="1">Start.listina!I56</f>
        <v/>
      </c>
      <c r="C185" s="543" t="str">
        <f ca="1">Start.listina!J56</f>
        <v xml:space="preserve"> </v>
      </c>
      <c r="D185" s="58" t="str">
        <f ca="1">Start.listina!K56</f>
        <v xml:space="preserve"> </v>
      </c>
      <c r="E185" s="58" t="str">
        <f ca="1">Start.listina!L56</f>
        <v xml:space="preserve"> </v>
      </c>
      <c r="F185" s="58"/>
      <c r="G185" s="542" t="str">
        <f ca="1">IF(N(A185)&gt;0,VLOOKUP(A185,Body!$A$4:$F$259,5,0),"")</f>
        <v/>
      </c>
      <c r="H185" s="161" t="str">
        <f ca="1">IF(N(A185)&gt;0,VLOOKUP(A185,Body!$A$4:$F$259,6,0),"")</f>
        <v/>
      </c>
      <c r="I185" s="161" t="str">
        <f ca="1">IF(N(A185)&gt;0,VLOOKUP(A185,Body!$A$4:$F$259,2,0),"")</f>
        <v/>
      </c>
    </row>
    <row r="186" spans="1:9">
      <c r="A186" s="58"/>
      <c r="B186" s="58" t="str">
        <f ca="1">Start.listina!O56</f>
        <v/>
      </c>
      <c r="C186" s="58" t="str">
        <f ca="1">Start.listina!P56</f>
        <v xml:space="preserve"> </v>
      </c>
      <c r="D186" s="58" t="str">
        <f ca="1">Start.listina!Q56</f>
        <v xml:space="preserve"> </v>
      </c>
      <c r="E186" s="58" t="str">
        <f ca="1">Start.listina!R56</f>
        <v xml:space="preserve"> </v>
      </c>
      <c r="F186" s="58"/>
      <c r="G186" s="542"/>
      <c r="H186" s="161"/>
      <c r="I186" s="161"/>
    </row>
    <row r="187" spans="1:9">
      <c r="A187" s="58"/>
      <c r="B187" s="58" t="str">
        <f ca="1">Start.listina!U56</f>
        <v/>
      </c>
      <c r="C187" s="58" t="str">
        <f ca="1">Start.listina!V56</f>
        <v xml:space="preserve"> </v>
      </c>
      <c r="D187" s="58" t="str">
        <f ca="1">Start.listina!W56</f>
        <v xml:space="preserve"> </v>
      </c>
      <c r="E187" s="58" t="str">
        <f ca="1">Start.listina!X56</f>
        <v xml:space="preserve"> </v>
      </c>
      <c r="F187" s="58"/>
      <c r="G187" s="542"/>
      <c r="H187" s="161"/>
      <c r="I187" s="161"/>
    </row>
    <row r="188" spans="1:9">
      <c r="A188" s="58"/>
      <c r="B188" s="58" t="str">
        <f ca="1">Start.listina!AA56</f>
        <v/>
      </c>
      <c r="C188" s="58" t="str">
        <f ca="1">Start.listina!AB56</f>
        <v xml:space="preserve"> </v>
      </c>
      <c r="D188" s="58" t="str">
        <f ca="1">Start.listina!AC56</f>
        <v xml:space="preserve"> </v>
      </c>
      <c r="E188" s="58" t="str">
        <f ca="1">Start.listina!AD56</f>
        <v xml:space="preserve"> </v>
      </c>
      <c r="F188" s="58"/>
      <c r="G188" s="542"/>
      <c r="H188" s="161"/>
      <c r="I188" s="161"/>
    </row>
    <row r="189" spans="1:9">
      <c r="A189" s="58">
        <f ca="1">Start.listina!AH57</f>
        <v>0</v>
      </c>
      <c r="B189" s="58" t="str">
        <f ca="1">Start.listina!I57</f>
        <v/>
      </c>
      <c r="C189" s="543" t="str">
        <f ca="1">Start.listina!J57</f>
        <v xml:space="preserve"> </v>
      </c>
      <c r="D189" s="58" t="str">
        <f ca="1">Start.listina!K57</f>
        <v xml:space="preserve"> </v>
      </c>
      <c r="E189" s="58" t="str">
        <f ca="1">Start.listina!L57</f>
        <v xml:space="preserve"> </v>
      </c>
      <c r="F189" s="58"/>
      <c r="G189" s="542" t="str">
        <f ca="1">IF(N(A189)&gt;0,VLOOKUP(A189,Body!$A$4:$F$259,5,0),"")</f>
        <v/>
      </c>
      <c r="H189" s="161" t="str">
        <f ca="1">IF(N(A189)&gt;0,VLOOKUP(A189,Body!$A$4:$F$259,6,0),"")</f>
        <v/>
      </c>
      <c r="I189" s="161" t="str">
        <f ca="1">IF(N(A189)&gt;0,VLOOKUP(A189,Body!$A$4:$F$259,2,0),"")</f>
        <v/>
      </c>
    </row>
    <row r="190" spans="1:9">
      <c r="A190" s="58"/>
      <c r="B190" s="58" t="str">
        <f ca="1">Start.listina!O57</f>
        <v/>
      </c>
      <c r="C190" s="58" t="str">
        <f ca="1">Start.listina!P57</f>
        <v xml:space="preserve"> </v>
      </c>
      <c r="D190" s="58" t="str">
        <f ca="1">Start.listina!Q57</f>
        <v xml:space="preserve"> </v>
      </c>
      <c r="E190" s="58" t="str">
        <f ca="1">Start.listina!R57</f>
        <v xml:space="preserve"> </v>
      </c>
      <c r="F190" s="58"/>
      <c r="G190" s="542"/>
      <c r="H190" s="161"/>
      <c r="I190" s="161"/>
    </row>
    <row r="191" spans="1:9">
      <c r="A191" s="58"/>
      <c r="B191" s="58" t="str">
        <f ca="1">Start.listina!U57</f>
        <v/>
      </c>
      <c r="C191" s="58" t="str">
        <f ca="1">Start.listina!V57</f>
        <v xml:space="preserve"> </v>
      </c>
      <c r="D191" s="58" t="str">
        <f ca="1">Start.listina!W57</f>
        <v xml:space="preserve"> </v>
      </c>
      <c r="E191" s="58" t="str">
        <f ca="1">Start.listina!X57</f>
        <v xml:space="preserve"> </v>
      </c>
      <c r="F191" s="58"/>
      <c r="G191" s="542"/>
      <c r="H191" s="161"/>
      <c r="I191" s="161"/>
    </row>
    <row r="192" spans="1:9">
      <c r="A192" s="58"/>
      <c r="B192" s="58" t="str">
        <f ca="1">Start.listina!AA57</f>
        <v/>
      </c>
      <c r="C192" s="58" t="str">
        <f ca="1">Start.listina!AB57</f>
        <v xml:space="preserve"> </v>
      </c>
      <c r="D192" s="58" t="str">
        <f ca="1">Start.listina!AC57</f>
        <v xml:space="preserve"> </v>
      </c>
      <c r="E192" s="58" t="str">
        <f ca="1">Start.listina!AD57</f>
        <v xml:space="preserve"> </v>
      </c>
      <c r="F192" s="58"/>
      <c r="G192" s="542"/>
      <c r="H192" s="161"/>
      <c r="I192" s="161"/>
    </row>
    <row r="193" spans="1:9">
      <c r="A193" s="58">
        <f ca="1">Start.listina!AH58</f>
        <v>0</v>
      </c>
      <c r="B193" s="58" t="str">
        <f ca="1">Start.listina!I58</f>
        <v/>
      </c>
      <c r="C193" s="543" t="str">
        <f ca="1">Start.listina!J58</f>
        <v xml:space="preserve"> </v>
      </c>
      <c r="D193" s="58" t="str">
        <f ca="1">Start.listina!K58</f>
        <v xml:space="preserve"> </v>
      </c>
      <c r="E193" s="58" t="str">
        <f ca="1">Start.listina!L58</f>
        <v xml:space="preserve"> </v>
      </c>
      <c r="F193" s="58"/>
      <c r="G193" s="542" t="str">
        <f ca="1">IF(N(A193)&gt;0,VLOOKUP(A193,Body!$A$4:$F$259,5,0),"")</f>
        <v/>
      </c>
      <c r="H193" s="161" t="str">
        <f ca="1">IF(N(A193)&gt;0,VLOOKUP(A193,Body!$A$4:$F$259,6,0),"")</f>
        <v/>
      </c>
      <c r="I193" s="161" t="str">
        <f ca="1">IF(N(A193)&gt;0,VLOOKUP(A193,Body!$A$4:$F$259,2,0),"")</f>
        <v/>
      </c>
    </row>
    <row r="194" spans="1:9">
      <c r="A194" s="58"/>
      <c r="B194" s="58" t="str">
        <f ca="1">Start.listina!O58</f>
        <v/>
      </c>
      <c r="C194" s="58" t="str">
        <f ca="1">Start.listina!P58</f>
        <v xml:space="preserve"> </v>
      </c>
      <c r="D194" s="58" t="str">
        <f ca="1">Start.listina!Q58</f>
        <v xml:space="preserve"> </v>
      </c>
      <c r="E194" s="58" t="str">
        <f ca="1">Start.listina!R58</f>
        <v xml:space="preserve"> </v>
      </c>
      <c r="F194" s="58"/>
      <c r="G194" s="542"/>
      <c r="H194" s="161"/>
      <c r="I194" s="161"/>
    </row>
    <row r="195" spans="1:9">
      <c r="A195" s="58"/>
      <c r="B195" s="58" t="str">
        <f ca="1">Start.listina!U58</f>
        <v/>
      </c>
      <c r="C195" s="58" t="str">
        <f ca="1">Start.listina!V58</f>
        <v xml:space="preserve"> </v>
      </c>
      <c r="D195" s="58" t="str">
        <f ca="1">Start.listina!W58</f>
        <v xml:space="preserve"> </v>
      </c>
      <c r="E195" s="58" t="str">
        <f ca="1">Start.listina!X58</f>
        <v xml:space="preserve"> </v>
      </c>
      <c r="F195" s="58"/>
      <c r="G195" s="542"/>
      <c r="H195" s="161"/>
      <c r="I195" s="161"/>
    </row>
    <row r="196" spans="1:9">
      <c r="A196" s="58"/>
      <c r="B196" s="58" t="str">
        <f ca="1">Start.listina!AA58</f>
        <v/>
      </c>
      <c r="C196" s="58" t="str">
        <f ca="1">Start.listina!AB58</f>
        <v xml:space="preserve"> </v>
      </c>
      <c r="D196" s="58" t="str">
        <f ca="1">Start.listina!AC58</f>
        <v xml:space="preserve"> </v>
      </c>
      <c r="E196" s="58" t="str">
        <f ca="1">Start.listina!AD58</f>
        <v xml:space="preserve"> </v>
      </c>
      <c r="F196" s="58"/>
      <c r="G196" s="542"/>
      <c r="H196" s="161"/>
      <c r="I196" s="161"/>
    </row>
    <row r="197" spans="1:9">
      <c r="A197" s="58">
        <f ca="1">Start.listina!AH59</f>
        <v>0</v>
      </c>
      <c r="B197" s="58" t="str">
        <f ca="1">Start.listina!I59</f>
        <v/>
      </c>
      <c r="C197" s="543" t="str">
        <f ca="1">Start.listina!J59</f>
        <v xml:space="preserve"> </v>
      </c>
      <c r="D197" s="58" t="str">
        <f ca="1">Start.listina!K59</f>
        <v xml:space="preserve"> </v>
      </c>
      <c r="E197" s="58" t="str">
        <f ca="1">Start.listina!L59</f>
        <v xml:space="preserve"> </v>
      </c>
      <c r="F197" s="58"/>
      <c r="G197" s="542" t="str">
        <f ca="1">IF(N(A197)&gt;0,VLOOKUP(A197,Body!$A$4:$F$259,5,0),"")</f>
        <v/>
      </c>
      <c r="H197" s="161" t="str">
        <f ca="1">IF(N(A197)&gt;0,VLOOKUP(A197,Body!$A$4:$F$259,6,0),"")</f>
        <v/>
      </c>
      <c r="I197" s="161" t="str">
        <f ca="1">IF(N(A197)&gt;0,VLOOKUP(A197,Body!$A$4:$F$259,2,0),"")</f>
        <v/>
      </c>
    </row>
    <row r="198" spans="1:9">
      <c r="A198" s="58"/>
      <c r="B198" s="58" t="str">
        <f ca="1">Start.listina!O59</f>
        <v/>
      </c>
      <c r="C198" s="58" t="str">
        <f ca="1">Start.listina!P59</f>
        <v xml:space="preserve"> </v>
      </c>
      <c r="D198" s="58" t="str">
        <f ca="1">Start.listina!Q59</f>
        <v xml:space="preserve"> </v>
      </c>
      <c r="E198" s="58" t="str">
        <f ca="1">Start.listina!R59</f>
        <v xml:space="preserve"> </v>
      </c>
      <c r="F198" s="58"/>
      <c r="G198" s="542"/>
      <c r="H198" s="161"/>
      <c r="I198" s="161"/>
    </row>
    <row r="199" spans="1:9">
      <c r="A199" s="58"/>
      <c r="B199" s="58" t="str">
        <f ca="1">Start.listina!U59</f>
        <v/>
      </c>
      <c r="C199" s="58" t="str">
        <f ca="1">Start.listina!V59</f>
        <v xml:space="preserve"> </v>
      </c>
      <c r="D199" s="58" t="str">
        <f ca="1">Start.listina!W59</f>
        <v xml:space="preserve"> </v>
      </c>
      <c r="E199" s="58" t="str">
        <f ca="1">Start.listina!X59</f>
        <v xml:space="preserve"> </v>
      </c>
      <c r="F199" s="58"/>
      <c r="G199" s="542"/>
      <c r="H199" s="161"/>
      <c r="I199" s="161"/>
    </row>
    <row r="200" spans="1:9">
      <c r="A200" s="58"/>
      <c r="B200" s="58" t="str">
        <f ca="1">Start.listina!AA59</f>
        <v/>
      </c>
      <c r="C200" s="58" t="str">
        <f ca="1">Start.listina!AB59</f>
        <v xml:space="preserve"> </v>
      </c>
      <c r="D200" s="58" t="str">
        <f ca="1">Start.listina!AC59</f>
        <v xml:space="preserve"> </v>
      </c>
      <c r="E200" s="58" t="str">
        <f ca="1">Start.listina!AD59</f>
        <v xml:space="preserve"> </v>
      </c>
      <c r="F200" s="58"/>
      <c r="G200" s="542"/>
      <c r="H200" s="161"/>
      <c r="I200" s="161"/>
    </row>
    <row r="201" spans="1:9">
      <c r="A201" s="58">
        <f ca="1">Start.listina!AH60</f>
        <v>0</v>
      </c>
      <c r="B201" s="58" t="str">
        <f ca="1">Start.listina!I60</f>
        <v/>
      </c>
      <c r="C201" s="543" t="str">
        <f ca="1">Start.listina!J60</f>
        <v xml:space="preserve"> </v>
      </c>
      <c r="D201" s="58" t="str">
        <f ca="1">Start.listina!K60</f>
        <v xml:space="preserve"> </v>
      </c>
      <c r="E201" s="58" t="str">
        <f ca="1">Start.listina!L60</f>
        <v xml:space="preserve"> </v>
      </c>
      <c r="F201" s="58"/>
      <c r="G201" s="542" t="str">
        <f ca="1">IF(N(A201)&gt;0,VLOOKUP(A201,Body!$A$4:$F$259,5,0),"")</f>
        <v/>
      </c>
      <c r="H201" s="161" t="str">
        <f ca="1">IF(N(A201)&gt;0,VLOOKUP(A201,Body!$A$4:$F$259,6,0),"")</f>
        <v/>
      </c>
      <c r="I201" s="161" t="str">
        <f ca="1">IF(N(A201)&gt;0,VLOOKUP(A201,Body!$A$4:$F$259,2,0),"")</f>
        <v/>
      </c>
    </row>
    <row r="202" spans="1:9">
      <c r="A202" s="58"/>
      <c r="B202" s="58" t="str">
        <f ca="1">Start.listina!O60</f>
        <v/>
      </c>
      <c r="C202" s="58" t="str">
        <f ca="1">Start.listina!P60</f>
        <v xml:space="preserve"> </v>
      </c>
      <c r="D202" s="58" t="str">
        <f ca="1">Start.listina!Q60</f>
        <v xml:space="preserve"> </v>
      </c>
      <c r="E202" s="58" t="str">
        <f ca="1">Start.listina!R60</f>
        <v xml:space="preserve"> </v>
      </c>
      <c r="F202" s="58"/>
      <c r="G202" s="542"/>
      <c r="H202" s="161"/>
      <c r="I202" s="161"/>
    </row>
    <row r="203" spans="1:9">
      <c r="A203" s="58"/>
      <c r="B203" s="58" t="str">
        <f ca="1">Start.listina!U60</f>
        <v/>
      </c>
      <c r="C203" s="58" t="str">
        <f ca="1">Start.listina!V60</f>
        <v xml:space="preserve"> </v>
      </c>
      <c r="D203" s="58" t="str">
        <f ca="1">Start.listina!W60</f>
        <v xml:space="preserve"> </v>
      </c>
      <c r="E203" s="58" t="str">
        <f ca="1">Start.listina!X60</f>
        <v xml:space="preserve"> </v>
      </c>
      <c r="F203" s="58"/>
      <c r="G203" s="542"/>
      <c r="H203" s="161"/>
      <c r="I203" s="161"/>
    </row>
    <row r="204" spans="1:9">
      <c r="A204" s="58"/>
      <c r="B204" s="58" t="str">
        <f ca="1">Start.listina!AA60</f>
        <v/>
      </c>
      <c r="C204" s="58" t="str">
        <f ca="1">Start.listina!AB60</f>
        <v xml:space="preserve"> </v>
      </c>
      <c r="D204" s="58" t="str">
        <f ca="1">Start.listina!AC60</f>
        <v xml:space="preserve"> </v>
      </c>
      <c r="E204" s="58" t="str">
        <f ca="1">Start.listina!AD60</f>
        <v xml:space="preserve"> </v>
      </c>
      <c r="F204" s="58"/>
      <c r="G204" s="542"/>
      <c r="H204" s="161"/>
      <c r="I204" s="161"/>
    </row>
    <row r="205" spans="1:9">
      <c r="A205" s="58">
        <f ca="1">Start.listina!AH61</f>
        <v>0</v>
      </c>
      <c r="B205" s="58" t="str">
        <f ca="1">Start.listina!I61</f>
        <v/>
      </c>
      <c r="C205" s="543" t="str">
        <f ca="1">Start.listina!J61</f>
        <v xml:space="preserve"> </v>
      </c>
      <c r="D205" s="58" t="str">
        <f ca="1">Start.listina!K61</f>
        <v xml:space="preserve"> </v>
      </c>
      <c r="E205" s="58" t="str">
        <f ca="1">Start.listina!L61</f>
        <v xml:space="preserve"> </v>
      </c>
      <c r="F205" s="58"/>
      <c r="G205" s="542" t="str">
        <f ca="1">IF(N(A205)&gt;0,VLOOKUP(A205,Body!$A$4:$F$259,5,0),"")</f>
        <v/>
      </c>
      <c r="H205" s="161" t="str">
        <f ca="1">IF(N(A205)&gt;0,VLOOKUP(A205,Body!$A$4:$F$259,6,0),"")</f>
        <v/>
      </c>
      <c r="I205" s="161" t="str">
        <f ca="1">IF(N(A205)&gt;0,VLOOKUP(A205,Body!$A$4:$F$259,2,0),"")</f>
        <v/>
      </c>
    </row>
    <row r="206" spans="1:9">
      <c r="A206" s="58"/>
      <c r="B206" s="58" t="str">
        <f ca="1">Start.listina!O61</f>
        <v/>
      </c>
      <c r="C206" s="58" t="str">
        <f ca="1">Start.listina!P61</f>
        <v xml:space="preserve"> </v>
      </c>
      <c r="D206" s="58" t="str">
        <f ca="1">Start.listina!Q61</f>
        <v xml:space="preserve"> </v>
      </c>
      <c r="E206" s="58" t="str">
        <f ca="1">Start.listina!R61</f>
        <v xml:space="preserve"> </v>
      </c>
      <c r="F206" s="58"/>
      <c r="G206" s="542"/>
      <c r="H206" s="161"/>
      <c r="I206" s="161"/>
    </row>
    <row r="207" spans="1:9">
      <c r="A207" s="58"/>
      <c r="B207" s="58" t="str">
        <f ca="1">Start.listina!U61</f>
        <v/>
      </c>
      <c r="C207" s="58" t="str">
        <f ca="1">Start.listina!V61</f>
        <v xml:space="preserve"> </v>
      </c>
      <c r="D207" s="58" t="str">
        <f ca="1">Start.listina!W61</f>
        <v xml:space="preserve"> </v>
      </c>
      <c r="E207" s="58" t="str">
        <f ca="1">Start.listina!X61</f>
        <v xml:space="preserve"> </v>
      </c>
      <c r="F207" s="58"/>
      <c r="G207" s="542"/>
      <c r="H207" s="161"/>
      <c r="I207" s="161"/>
    </row>
    <row r="208" spans="1:9">
      <c r="A208" s="58"/>
      <c r="B208" s="58" t="str">
        <f ca="1">Start.listina!AA61</f>
        <v/>
      </c>
      <c r="C208" s="58" t="str">
        <f ca="1">Start.listina!AB61</f>
        <v xml:space="preserve"> </v>
      </c>
      <c r="D208" s="58" t="str">
        <f ca="1">Start.listina!AC61</f>
        <v xml:space="preserve"> </v>
      </c>
      <c r="E208" s="58" t="str">
        <f ca="1">Start.listina!AD61</f>
        <v xml:space="preserve"> </v>
      </c>
      <c r="F208" s="58"/>
      <c r="G208" s="542"/>
      <c r="H208" s="161"/>
      <c r="I208" s="161"/>
    </row>
    <row r="209" spans="1:9">
      <c r="A209" s="58">
        <f ca="1">Start.listina!AH62</f>
        <v>0</v>
      </c>
      <c r="B209" s="58" t="str">
        <f ca="1">Start.listina!I62</f>
        <v/>
      </c>
      <c r="C209" s="543" t="str">
        <f ca="1">Start.listina!J62</f>
        <v xml:space="preserve"> </v>
      </c>
      <c r="D209" s="58" t="str">
        <f ca="1">Start.listina!K62</f>
        <v xml:space="preserve"> </v>
      </c>
      <c r="E209" s="58" t="str">
        <f ca="1">Start.listina!L62</f>
        <v xml:space="preserve"> </v>
      </c>
      <c r="F209" s="58"/>
      <c r="G209" s="542" t="str">
        <f ca="1">IF(N(A209)&gt;0,VLOOKUP(A209,Body!$A$4:$F$259,5,0),"")</f>
        <v/>
      </c>
      <c r="H209" s="161" t="str">
        <f ca="1">IF(N(A209)&gt;0,VLOOKUP(A209,Body!$A$4:$F$259,6,0),"")</f>
        <v/>
      </c>
      <c r="I209" s="161" t="str">
        <f ca="1">IF(N(A209)&gt;0,VLOOKUP(A209,Body!$A$4:$F$259,2,0),"")</f>
        <v/>
      </c>
    </row>
    <row r="210" spans="1:9">
      <c r="A210" s="58"/>
      <c r="B210" s="58" t="str">
        <f ca="1">Start.listina!O62</f>
        <v/>
      </c>
      <c r="C210" s="58" t="str">
        <f ca="1">Start.listina!P62</f>
        <v xml:space="preserve"> </v>
      </c>
      <c r="D210" s="58" t="str">
        <f ca="1">Start.listina!Q62</f>
        <v xml:space="preserve"> </v>
      </c>
      <c r="E210" s="58" t="str">
        <f ca="1">Start.listina!R62</f>
        <v xml:space="preserve"> </v>
      </c>
      <c r="F210" s="58"/>
      <c r="G210" s="542"/>
      <c r="H210" s="161"/>
      <c r="I210" s="161"/>
    </row>
    <row r="211" spans="1:9">
      <c r="A211" s="58"/>
      <c r="B211" s="58" t="str">
        <f ca="1">Start.listina!U62</f>
        <v/>
      </c>
      <c r="C211" s="58" t="str">
        <f ca="1">Start.listina!V62</f>
        <v xml:space="preserve"> </v>
      </c>
      <c r="D211" s="58" t="str">
        <f ca="1">Start.listina!W62</f>
        <v xml:space="preserve"> </v>
      </c>
      <c r="E211" s="58" t="str">
        <f ca="1">Start.listina!X62</f>
        <v xml:space="preserve"> </v>
      </c>
      <c r="F211" s="58"/>
      <c r="G211" s="542"/>
      <c r="H211" s="161"/>
      <c r="I211" s="161"/>
    </row>
    <row r="212" spans="1:9">
      <c r="A212" s="58"/>
      <c r="B212" s="58" t="str">
        <f ca="1">Start.listina!AA62</f>
        <v/>
      </c>
      <c r="C212" s="58" t="str">
        <f ca="1">Start.listina!AB62</f>
        <v xml:space="preserve"> </v>
      </c>
      <c r="D212" s="58" t="str">
        <f ca="1">Start.listina!AC62</f>
        <v xml:space="preserve"> </v>
      </c>
      <c r="E212" s="58" t="str">
        <f ca="1">Start.listina!AD62</f>
        <v xml:space="preserve"> </v>
      </c>
      <c r="F212" s="58"/>
      <c r="G212" s="542"/>
      <c r="H212" s="161"/>
      <c r="I212" s="161"/>
    </row>
    <row r="213" spans="1:9">
      <c r="A213" s="58">
        <f ca="1">Start.listina!AH63</f>
        <v>0</v>
      </c>
      <c r="B213" s="58" t="str">
        <f ca="1">Start.listina!I63</f>
        <v/>
      </c>
      <c r="C213" s="543" t="str">
        <f ca="1">Start.listina!J63</f>
        <v xml:space="preserve"> </v>
      </c>
      <c r="D213" s="58" t="str">
        <f ca="1">Start.listina!K63</f>
        <v xml:space="preserve"> </v>
      </c>
      <c r="E213" s="58" t="str">
        <f ca="1">Start.listina!L63</f>
        <v xml:space="preserve"> </v>
      </c>
      <c r="F213" s="58"/>
      <c r="G213" s="542" t="str">
        <f ca="1">IF(N(A213)&gt;0,VLOOKUP(A213,Body!$A$4:$F$259,5,0),"")</f>
        <v/>
      </c>
      <c r="H213" s="161" t="str">
        <f ca="1">IF(N(A213)&gt;0,VLOOKUP(A213,Body!$A$4:$F$259,6,0),"")</f>
        <v/>
      </c>
      <c r="I213" s="161" t="str">
        <f ca="1">IF(N(A213)&gt;0,VLOOKUP(A213,Body!$A$4:$F$259,2,0),"")</f>
        <v/>
      </c>
    </row>
    <row r="214" spans="1:9">
      <c r="A214" s="58"/>
      <c r="B214" s="58" t="str">
        <f ca="1">Start.listina!O63</f>
        <v/>
      </c>
      <c r="C214" s="58" t="str">
        <f ca="1">Start.listina!P63</f>
        <v xml:space="preserve"> </v>
      </c>
      <c r="D214" s="58" t="str">
        <f ca="1">Start.listina!Q63</f>
        <v xml:space="preserve"> </v>
      </c>
      <c r="E214" s="58" t="str">
        <f ca="1">Start.listina!R63</f>
        <v xml:space="preserve"> </v>
      </c>
      <c r="F214" s="58"/>
      <c r="G214" s="542"/>
      <c r="H214" s="161"/>
      <c r="I214" s="161"/>
    </row>
    <row r="215" spans="1:9">
      <c r="A215" s="58"/>
      <c r="B215" s="58" t="str">
        <f ca="1">Start.listina!U63</f>
        <v/>
      </c>
      <c r="C215" s="58" t="str">
        <f ca="1">Start.listina!V63</f>
        <v xml:space="preserve"> </v>
      </c>
      <c r="D215" s="58" t="str">
        <f ca="1">Start.listina!W63</f>
        <v xml:space="preserve"> </v>
      </c>
      <c r="E215" s="58" t="str">
        <f ca="1">Start.listina!X63</f>
        <v xml:space="preserve"> </v>
      </c>
      <c r="F215" s="58"/>
      <c r="G215" s="542"/>
      <c r="H215" s="161"/>
      <c r="I215" s="161"/>
    </row>
    <row r="216" spans="1:9">
      <c r="A216" s="58"/>
      <c r="B216" s="58" t="str">
        <f ca="1">Start.listina!AA63</f>
        <v/>
      </c>
      <c r="C216" s="58" t="str">
        <f ca="1">Start.listina!AB63</f>
        <v xml:space="preserve"> </v>
      </c>
      <c r="D216" s="58" t="str">
        <f ca="1">Start.listina!AC63</f>
        <v xml:space="preserve"> </v>
      </c>
      <c r="E216" s="58" t="str">
        <f ca="1">Start.listina!AD63</f>
        <v xml:space="preserve"> </v>
      </c>
      <c r="F216" s="58"/>
      <c r="G216" s="542"/>
      <c r="H216" s="161"/>
      <c r="I216" s="161"/>
    </row>
    <row r="217" spans="1:9">
      <c r="A217" s="58">
        <f ca="1">Start.listina!AH64</f>
        <v>0</v>
      </c>
      <c r="B217" s="58" t="str">
        <f ca="1">Start.listina!I64</f>
        <v/>
      </c>
      <c r="C217" s="543" t="str">
        <f ca="1">Start.listina!J64</f>
        <v xml:space="preserve"> </v>
      </c>
      <c r="D217" s="58" t="str">
        <f ca="1">Start.listina!K64</f>
        <v xml:space="preserve"> </v>
      </c>
      <c r="E217" s="58" t="str">
        <f ca="1">Start.listina!L64</f>
        <v xml:space="preserve"> </v>
      </c>
      <c r="F217" s="58"/>
      <c r="G217" s="542" t="str">
        <f ca="1">IF(N(A217)&gt;0,VLOOKUP(A217,Body!$A$4:$F$259,5,0),"")</f>
        <v/>
      </c>
      <c r="H217" s="161" t="str">
        <f ca="1">IF(N(A217)&gt;0,VLOOKUP(A217,Body!$A$4:$F$259,6,0),"")</f>
        <v/>
      </c>
      <c r="I217" s="161" t="str">
        <f ca="1">IF(N(A217)&gt;0,VLOOKUP(A217,Body!$A$4:$F$259,2,0),"")</f>
        <v/>
      </c>
    </row>
    <row r="218" spans="1:9">
      <c r="A218" s="58"/>
      <c r="B218" s="58" t="str">
        <f ca="1">Start.listina!O64</f>
        <v/>
      </c>
      <c r="C218" s="58" t="str">
        <f ca="1">Start.listina!P64</f>
        <v xml:space="preserve"> </v>
      </c>
      <c r="D218" s="58" t="str">
        <f ca="1">Start.listina!Q64</f>
        <v xml:space="preserve"> </v>
      </c>
      <c r="E218" s="58" t="str">
        <f ca="1">Start.listina!R64</f>
        <v xml:space="preserve"> </v>
      </c>
      <c r="F218" s="58"/>
      <c r="G218" s="542"/>
      <c r="H218" s="161"/>
      <c r="I218" s="161"/>
    </row>
    <row r="219" spans="1:9">
      <c r="A219" s="58"/>
      <c r="B219" s="58" t="str">
        <f ca="1">Start.listina!U64</f>
        <v/>
      </c>
      <c r="C219" s="58" t="str">
        <f ca="1">Start.listina!V64</f>
        <v xml:space="preserve"> </v>
      </c>
      <c r="D219" s="58" t="str">
        <f ca="1">Start.listina!W64</f>
        <v xml:space="preserve"> </v>
      </c>
      <c r="E219" s="58" t="str">
        <f ca="1">Start.listina!X64</f>
        <v xml:space="preserve"> </v>
      </c>
      <c r="F219" s="58"/>
      <c r="G219" s="542"/>
      <c r="H219" s="161"/>
      <c r="I219" s="161"/>
    </row>
    <row r="220" spans="1:9">
      <c r="A220" s="58"/>
      <c r="B220" s="58" t="str">
        <f ca="1">Start.listina!AA64</f>
        <v/>
      </c>
      <c r="C220" s="58" t="str">
        <f ca="1">Start.listina!AB64</f>
        <v xml:space="preserve"> </v>
      </c>
      <c r="D220" s="58" t="str">
        <f ca="1">Start.listina!AC64</f>
        <v xml:space="preserve"> </v>
      </c>
      <c r="E220" s="58" t="str">
        <f ca="1">Start.listina!AD64</f>
        <v xml:space="preserve"> </v>
      </c>
      <c r="F220" s="58"/>
      <c r="G220" s="542"/>
      <c r="H220" s="161"/>
      <c r="I220" s="161"/>
    </row>
    <row r="221" spans="1:9">
      <c r="A221" s="58">
        <f ca="1">Start.listina!AH65</f>
        <v>0</v>
      </c>
      <c r="B221" s="58" t="str">
        <f ca="1">Start.listina!I65</f>
        <v/>
      </c>
      <c r="C221" s="543" t="str">
        <f ca="1">Start.listina!J65</f>
        <v xml:space="preserve"> </v>
      </c>
      <c r="D221" s="58" t="str">
        <f ca="1">Start.listina!K65</f>
        <v xml:space="preserve"> </v>
      </c>
      <c r="E221" s="58" t="str">
        <f ca="1">Start.listina!L65</f>
        <v xml:space="preserve"> </v>
      </c>
      <c r="F221" s="58"/>
      <c r="G221" s="542" t="str">
        <f ca="1">IF(N(A221)&gt;0,VLOOKUP(A221,Body!$A$4:$F$259,5,0),"")</f>
        <v/>
      </c>
      <c r="H221" s="161" t="str">
        <f ca="1">IF(N(A221)&gt;0,VLOOKUP(A221,Body!$A$4:$F$259,6,0),"")</f>
        <v/>
      </c>
      <c r="I221" s="161" t="str">
        <f ca="1">IF(N(A221)&gt;0,VLOOKUP(A221,Body!$A$4:$F$259,2,0),"")</f>
        <v/>
      </c>
    </row>
    <row r="222" spans="1:9">
      <c r="A222" s="58"/>
      <c r="B222" s="58" t="str">
        <f ca="1">Start.listina!O65</f>
        <v/>
      </c>
      <c r="C222" s="58" t="str">
        <f ca="1">Start.listina!P65</f>
        <v xml:space="preserve"> </v>
      </c>
      <c r="D222" s="58" t="str">
        <f ca="1">Start.listina!Q65</f>
        <v xml:space="preserve"> </v>
      </c>
      <c r="E222" s="58" t="str">
        <f ca="1">Start.listina!R65</f>
        <v xml:space="preserve"> </v>
      </c>
      <c r="F222" s="58"/>
      <c r="G222" s="542"/>
      <c r="H222" s="161"/>
      <c r="I222" s="161"/>
    </row>
    <row r="223" spans="1:9">
      <c r="A223" s="58"/>
      <c r="B223" s="58" t="str">
        <f ca="1">Start.listina!U65</f>
        <v/>
      </c>
      <c r="C223" s="58" t="str">
        <f ca="1">Start.listina!V65</f>
        <v xml:space="preserve"> </v>
      </c>
      <c r="D223" s="58" t="str">
        <f ca="1">Start.listina!W65</f>
        <v xml:space="preserve"> </v>
      </c>
      <c r="E223" s="58" t="str">
        <f ca="1">Start.listina!X65</f>
        <v xml:space="preserve"> </v>
      </c>
      <c r="F223" s="58"/>
      <c r="G223" s="542"/>
      <c r="H223" s="161"/>
      <c r="I223" s="161"/>
    </row>
    <row r="224" spans="1:9">
      <c r="A224" s="58"/>
      <c r="B224" s="58" t="str">
        <f ca="1">Start.listina!AA65</f>
        <v/>
      </c>
      <c r="C224" s="58" t="str">
        <f ca="1">Start.listina!AB65</f>
        <v xml:space="preserve"> </v>
      </c>
      <c r="D224" s="58" t="str">
        <f ca="1">Start.listina!AC65</f>
        <v xml:space="preserve"> </v>
      </c>
      <c r="E224" s="58" t="str">
        <f ca="1">Start.listina!AD65</f>
        <v xml:space="preserve"> </v>
      </c>
      <c r="F224" s="58"/>
      <c r="G224" s="542"/>
      <c r="H224" s="161"/>
      <c r="I224" s="161"/>
    </row>
    <row r="225" spans="1:9">
      <c r="A225" s="58">
        <f ca="1">Start.listina!AH66</f>
        <v>0</v>
      </c>
      <c r="B225" s="58" t="str">
        <f ca="1">Start.listina!I66</f>
        <v/>
      </c>
      <c r="C225" s="543" t="str">
        <f ca="1">Start.listina!J66</f>
        <v xml:space="preserve"> </v>
      </c>
      <c r="D225" s="58" t="str">
        <f ca="1">Start.listina!K66</f>
        <v xml:space="preserve"> </v>
      </c>
      <c r="E225" s="58" t="str">
        <f ca="1">Start.listina!L66</f>
        <v xml:space="preserve"> </v>
      </c>
      <c r="F225" s="58"/>
      <c r="G225" s="542" t="str">
        <f ca="1">IF(N(A225)&gt;0,VLOOKUP(A225,Body!$A$4:$F$259,5,0),"")</f>
        <v/>
      </c>
      <c r="H225" s="161" t="str">
        <f ca="1">IF(N(A225)&gt;0,VLOOKUP(A225,Body!$A$4:$F$259,6,0),"")</f>
        <v/>
      </c>
      <c r="I225" s="161" t="str">
        <f ca="1">IF(N(A225)&gt;0,VLOOKUP(A225,Body!$A$4:$F$259,2,0),"")</f>
        <v/>
      </c>
    </row>
    <row r="226" spans="1:9">
      <c r="A226" s="58"/>
      <c r="B226" s="58" t="str">
        <f ca="1">Start.listina!O66</f>
        <v/>
      </c>
      <c r="C226" s="58" t="str">
        <f ca="1">Start.listina!P66</f>
        <v xml:space="preserve"> </v>
      </c>
      <c r="D226" s="58" t="str">
        <f ca="1">Start.listina!Q66</f>
        <v xml:space="preserve"> </v>
      </c>
      <c r="E226" s="58" t="str">
        <f ca="1">Start.listina!R66</f>
        <v xml:space="preserve"> </v>
      </c>
      <c r="F226" s="58"/>
      <c r="G226" s="542"/>
      <c r="H226" s="161"/>
      <c r="I226" s="161"/>
    </row>
    <row r="227" spans="1:9">
      <c r="A227" s="58"/>
      <c r="B227" s="58" t="str">
        <f ca="1">Start.listina!U66</f>
        <v/>
      </c>
      <c r="C227" s="58" t="str">
        <f ca="1">Start.listina!V66</f>
        <v xml:space="preserve"> </v>
      </c>
      <c r="D227" s="58" t="str">
        <f ca="1">Start.listina!W66</f>
        <v xml:space="preserve"> </v>
      </c>
      <c r="E227" s="58" t="str">
        <f ca="1">Start.listina!X66</f>
        <v xml:space="preserve"> </v>
      </c>
      <c r="F227" s="58"/>
      <c r="G227" s="542"/>
      <c r="H227" s="161"/>
      <c r="I227" s="161"/>
    </row>
    <row r="228" spans="1:9">
      <c r="A228" s="58"/>
      <c r="B228" s="58" t="str">
        <f ca="1">Start.listina!AA66</f>
        <v/>
      </c>
      <c r="C228" s="58" t="str">
        <f ca="1">Start.listina!AB66</f>
        <v xml:space="preserve"> </v>
      </c>
      <c r="D228" s="58" t="str">
        <f ca="1">Start.listina!AC66</f>
        <v xml:space="preserve"> </v>
      </c>
      <c r="E228" s="58" t="str">
        <f ca="1">Start.listina!AD66</f>
        <v xml:space="preserve"> </v>
      </c>
      <c r="F228" s="58"/>
      <c r="G228" s="542"/>
      <c r="H228" s="161"/>
      <c r="I228" s="161"/>
    </row>
    <row r="229" spans="1:9">
      <c r="A229" s="58">
        <f ca="1">Start.listina!AH67</f>
        <v>0</v>
      </c>
      <c r="B229" s="58" t="str">
        <f ca="1">Start.listina!I67</f>
        <v/>
      </c>
      <c r="C229" s="543" t="str">
        <f ca="1">Start.listina!J67</f>
        <v xml:space="preserve"> </v>
      </c>
      <c r="D229" s="58" t="str">
        <f ca="1">Start.listina!K67</f>
        <v xml:space="preserve"> </v>
      </c>
      <c r="E229" s="58" t="str">
        <f ca="1">Start.listina!L67</f>
        <v xml:space="preserve"> </v>
      </c>
      <c r="F229" s="58"/>
      <c r="G229" s="542" t="str">
        <f ca="1">IF(N(A229)&gt;0,VLOOKUP(A229,Body!$A$4:$F$259,5,0),"")</f>
        <v/>
      </c>
      <c r="H229" s="161" t="str">
        <f ca="1">IF(N(A229)&gt;0,VLOOKUP(A229,Body!$A$4:$F$259,6,0),"")</f>
        <v/>
      </c>
      <c r="I229" s="161" t="str">
        <f ca="1">IF(N(A229)&gt;0,VLOOKUP(A229,Body!$A$4:$F$259,2,0),"")</f>
        <v/>
      </c>
    </row>
    <row r="230" spans="1:9">
      <c r="A230" s="58"/>
      <c r="B230" s="58" t="str">
        <f ca="1">Start.listina!O67</f>
        <v/>
      </c>
      <c r="C230" s="58" t="str">
        <f ca="1">Start.listina!P67</f>
        <v xml:space="preserve"> </v>
      </c>
      <c r="D230" s="58" t="str">
        <f ca="1">Start.listina!Q67</f>
        <v xml:space="preserve"> </v>
      </c>
      <c r="E230" s="58" t="str">
        <f ca="1">Start.listina!R67</f>
        <v xml:space="preserve"> </v>
      </c>
      <c r="F230" s="58"/>
      <c r="G230" s="542"/>
      <c r="H230" s="161"/>
      <c r="I230" s="161"/>
    </row>
    <row r="231" spans="1:9">
      <c r="A231" s="58"/>
      <c r="B231" s="58" t="str">
        <f ca="1">Start.listina!U67</f>
        <v/>
      </c>
      <c r="C231" s="58" t="str">
        <f ca="1">Start.listina!V67</f>
        <v xml:space="preserve"> </v>
      </c>
      <c r="D231" s="58" t="str">
        <f ca="1">Start.listina!W67</f>
        <v xml:space="preserve"> </v>
      </c>
      <c r="E231" s="58" t="str">
        <f ca="1">Start.listina!X67</f>
        <v xml:space="preserve"> </v>
      </c>
      <c r="F231" s="58"/>
      <c r="G231" s="542"/>
      <c r="H231" s="161"/>
      <c r="I231" s="161"/>
    </row>
    <row r="232" spans="1:9">
      <c r="A232" s="58"/>
      <c r="B232" s="58" t="str">
        <f ca="1">Start.listina!AA67</f>
        <v/>
      </c>
      <c r="C232" s="58" t="str">
        <f ca="1">Start.listina!AB67</f>
        <v xml:space="preserve"> </v>
      </c>
      <c r="D232" s="58" t="str">
        <f ca="1">Start.listina!AC67</f>
        <v xml:space="preserve"> </v>
      </c>
      <c r="E232" s="58" t="str">
        <f ca="1">Start.listina!AD67</f>
        <v xml:space="preserve"> </v>
      </c>
      <c r="F232" s="58"/>
      <c r="G232" s="542"/>
      <c r="H232" s="161"/>
      <c r="I232" s="161"/>
    </row>
    <row r="233" spans="1:9">
      <c r="A233" s="58">
        <f ca="1">Start.listina!AH68</f>
        <v>0</v>
      </c>
      <c r="B233" s="58" t="str">
        <f ca="1">Start.listina!I68</f>
        <v/>
      </c>
      <c r="C233" s="543" t="str">
        <f ca="1">Start.listina!J68</f>
        <v xml:space="preserve"> </v>
      </c>
      <c r="D233" s="58" t="str">
        <f ca="1">Start.listina!K68</f>
        <v xml:space="preserve"> </v>
      </c>
      <c r="E233" s="58" t="str">
        <f ca="1">Start.listina!L68</f>
        <v xml:space="preserve"> </v>
      </c>
      <c r="F233" s="58"/>
      <c r="G233" s="542" t="str">
        <f ca="1">IF(N(A233)&gt;0,VLOOKUP(A233,Body!$A$4:$F$259,5,0),"")</f>
        <v/>
      </c>
      <c r="H233" s="161" t="str">
        <f ca="1">IF(N(A233)&gt;0,VLOOKUP(A233,Body!$A$4:$F$259,6,0),"")</f>
        <v/>
      </c>
      <c r="I233" s="161" t="str">
        <f ca="1">IF(N(A233)&gt;0,VLOOKUP(A233,Body!$A$4:$F$259,2,0),"")</f>
        <v/>
      </c>
    </row>
    <row r="234" spans="1:9">
      <c r="A234" s="58"/>
      <c r="B234" s="58" t="str">
        <f ca="1">Start.listina!O68</f>
        <v/>
      </c>
      <c r="C234" s="58" t="str">
        <f ca="1">Start.listina!P68</f>
        <v xml:space="preserve"> </v>
      </c>
      <c r="D234" s="58" t="str">
        <f ca="1">Start.listina!Q68</f>
        <v xml:space="preserve"> </v>
      </c>
      <c r="E234" s="58" t="str">
        <f ca="1">Start.listina!R68</f>
        <v xml:space="preserve"> </v>
      </c>
      <c r="F234" s="58"/>
      <c r="G234" s="542"/>
      <c r="H234" s="161"/>
      <c r="I234" s="161"/>
    </row>
    <row r="235" spans="1:9">
      <c r="A235" s="58"/>
      <c r="B235" s="58" t="str">
        <f ca="1">Start.listina!U68</f>
        <v/>
      </c>
      <c r="C235" s="58" t="str">
        <f ca="1">Start.listina!V68</f>
        <v xml:space="preserve"> </v>
      </c>
      <c r="D235" s="58" t="str">
        <f ca="1">Start.listina!W68</f>
        <v xml:space="preserve"> </v>
      </c>
      <c r="E235" s="58" t="str">
        <f ca="1">Start.listina!X68</f>
        <v xml:space="preserve"> </v>
      </c>
      <c r="F235" s="58"/>
      <c r="G235" s="542"/>
      <c r="H235" s="161"/>
      <c r="I235" s="161"/>
    </row>
    <row r="236" spans="1:9">
      <c r="A236" s="58"/>
      <c r="B236" s="58" t="str">
        <f ca="1">Start.listina!AA68</f>
        <v/>
      </c>
      <c r="C236" s="58" t="str">
        <f ca="1">Start.listina!AB68</f>
        <v xml:space="preserve"> </v>
      </c>
      <c r="D236" s="58" t="str">
        <f ca="1">Start.listina!AC68</f>
        <v xml:space="preserve"> </v>
      </c>
      <c r="E236" s="58" t="str">
        <f ca="1">Start.listina!AD68</f>
        <v xml:space="preserve"> </v>
      </c>
      <c r="F236" s="58"/>
      <c r="G236" s="542"/>
      <c r="H236" s="161"/>
      <c r="I236" s="161"/>
    </row>
    <row r="237" spans="1:9">
      <c r="A237" s="58">
        <f ca="1">Start.listina!AH69</f>
        <v>0</v>
      </c>
      <c r="B237" s="58" t="str">
        <f ca="1">Start.listina!I69</f>
        <v/>
      </c>
      <c r="C237" s="543" t="str">
        <f ca="1">Start.listina!J69</f>
        <v xml:space="preserve"> </v>
      </c>
      <c r="D237" s="58" t="str">
        <f ca="1">Start.listina!K69</f>
        <v xml:space="preserve"> </v>
      </c>
      <c r="E237" s="58" t="str">
        <f ca="1">Start.listina!L69</f>
        <v xml:space="preserve"> </v>
      </c>
      <c r="F237" s="58"/>
      <c r="G237" s="542" t="str">
        <f ca="1">IF(N(A237)&gt;0,VLOOKUP(A237,Body!$A$4:$F$259,5,0),"")</f>
        <v/>
      </c>
      <c r="H237" s="161" t="str">
        <f ca="1">IF(N(A237)&gt;0,VLOOKUP(A237,Body!$A$4:$F$259,6,0),"")</f>
        <v/>
      </c>
      <c r="I237" s="161" t="str">
        <f ca="1">IF(N(A237)&gt;0,VLOOKUP(A237,Body!$A$4:$F$259,2,0),"")</f>
        <v/>
      </c>
    </row>
    <row r="238" spans="1:9">
      <c r="A238" s="58"/>
      <c r="B238" s="58" t="str">
        <f ca="1">Start.listina!O69</f>
        <v/>
      </c>
      <c r="C238" s="58" t="str">
        <f ca="1">Start.listina!P69</f>
        <v xml:space="preserve"> </v>
      </c>
      <c r="D238" s="58" t="str">
        <f ca="1">Start.listina!Q69</f>
        <v xml:space="preserve"> </v>
      </c>
      <c r="E238" s="58" t="str">
        <f ca="1">Start.listina!R69</f>
        <v xml:space="preserve"> </v>
      </c>
      <c r="F238" s="58"/>
      <c r="G238" s="542"/>
      <c r="H238" s="161"/>
      <c r="I238" s="161"/>
    </row>
    <row r="239" spans="1:9">
      <c r="A239" s="58"/>
      <c r="B239" s="58" t="str">
        <f ca="1">Start.listina!U69</f>
        <v/>
      </c>
      <c r="C239" s="58" t="str">
        <f ca="1">Start.listina!V69</f>
        <v xml:space="preserve"> </v>
      </c>
      <c r="D239" s="58" t="str">
        <f ca="1">Start.listina!W69</f>
        <v xml:space="preserve"> </v>
      </c>
      <c r="E239" s="58" t="str">
        <f ca="1">Start.listina!X69</f>
        <v xml:space="preserve"> </v>
      </c>
      <c r="F239" s="58"/>
      <c r="G239" s="542"/>
      <c r="H239" s="161"/>
      <c r="I239" s="161"/>
    </row>
    <row r="240" spans="1:9">
      <c r="A240" s="58"/>
      <c r="B240" s="58" t="str">
        <f ca="1">Start.listina!AA69</f>
        <v/>
      </c>
      <c r="C240" s="58" t="str">
        <f ca="1">Start.listina!AB69</f>
        <v xml:space="preserve"> </v>
      </c>
      <c r="D240" s="58" t="str">
        <f ca="1">Start.listina!AC69</f>
        <v xml:space="preserve"> </v>
      </c>
      <c r="E240" s="58" t="str">
        <f ca="1">Start.listina!AD69</f>
        <v xml:space="preserve"> </v>
      </c>
      <c r="F240" s="58"/>
      <c r="G240" s="542"/>
      <c r="H240" s="161"/>
      <c r="I240" s="161"/>
    </row>
    <row r="241" spans="1:9">
      <c r="A241" s="58">
        <f ca="1">Start.listina!AH70</f>
        <v>0</v>
      </c>
      <c r="B241" s="58" t="str">
        <f ca="1">Start.listina!I70</f>
        <v/>
      </c>
      <c r="C241" s="543" t="str">
        <f ca="1">Start.listina!J70</f>
        <v xml:space="preserve"> </v>
      </c>
      <c r="D241" s="58" t="str">
        <f ca="1">Start.listina!K70</f>
        <v xml:space="preserve"> </v>
      </c>
      <c r="E241" s="58" t="str">
        <f ca="1">Start.listina!L70</f>
        <v xml:space="preserve"> </v>
      </c>
      <c r="F241" s="58"/>
      <c r="G241" s="542" t="str">
        <f ca="1">IF(N(A241)&gt;0,VLOOKUP(A241,Body!$A$4:$F$259,5,0),"")</f>
        <v/>
      </c>
      <c r="H241" s="161" t="str">
        <f ca="1">IF(N(A241)&gt;0,VLOOKUP(A241,Body!$A$4:$F$259,6,0),"")</f>
        <v/>
      </c>
      <c r="I241" s="161" t="str">
        <f ca="1">IF(N(A241)&gt;0,VLOOKUP(A241,Body!$A$4:$F$259,2,0),"")</f>
        <v/>
      </c>
    </row>
    <row r="242" spans="1:9">
      <c r="A242" s="58"/>
      <c r="B242" s="58" t="str">
        <f ca="1">Start.listina!O70</f>
        <v/>
      </c>
      <c r="C242" s="58" t="str">
        <f ca="1">Start.listina!P70</f>
        <v xml:space="preserve"> </v>
      </c>
      <c r="D242" s="58" t="str">
        <f ca="1">Start.listina!Q70</f>
        <v xml:space="preserve"> </v>
      </c>
      <c r="E242" s="58" t="str">
        <f ca="1">Start.listina!R70</f>
        <v xml:space="preserve"> </v>
      </c>
      <c r="F242" s="58"/>
      <c r="G242" s="542"/>
      <c r="H242" s="161"/>
      <c r="I242" s="161"/>
    </row>
    <row r="243" spans="1:9">
      <c r="A243" s="58"/>
      <c r="B243" s="58" t="str">
        <f ca="1">Start.listina!U70</f>
        <v/>
      </c>
      <c r="C243" s="58" t="str">
        <f ca="1">Start.listina!V70</f>
        <v xml:space="preserve"> </v>
      </c>
      <c r="D243" s="58" t="str">
        <f ca="1">Start.listina!W70</f>
        <v xml:space="preserve"> </v>
      </c>
      <c r="E243" s="58" t="str">
        <f ca="1">Start.listina!X70</f>
        <v xml:space="preserve"> </v>
      </c>
      <c r="F243" s="58"/>
      <c r="G243" s="542"/>
      <c r="H243" s="161"/>
      <c r="I243" s="161"/>
    </row>
    <row r="244" spans="1:9">
      <c r="A244" s="58"/>
      <c r="B244" s="58" t="str">
        <f ca="1">Start.listina!AA70</f>
        <v/>
      </c>
      <c r="C244" s="58" t="str">
        <f ca="1">Start.listina!AB70</f>
        <v xml:space="preserve"> </v>
      </c>
      <c r="D244" s="58" t="str">
        <f ca="1">Start.listina!AC70</f>
        <v xml:space="preserve"> </v>
      </c>
      <c r="E244" s="58" t="str">
        <f ca="1">Start.listina!AD70</f>
        <v xml:space="preserve"> </v>
      </c>
      <c r="F244" s="58"/>
      <c r="G244" s="542"/>
      <c r="H244" s="161"/>
      <c r="I244" s="161"/>
    </row>
    <row r="245" spans="1:9">
      <c r="A245" s="58">
        <f ca="1">Start.listina!AH71</f>
        <v>0</v>
      </c>
      <c r="B245" s="58" t="str">
        <f ca="1">Start.listina!I71</f>
        <v/>
      </c>
      <c r="C245" s="543" t="str">
        <f ca="1">Start.listina!J71</f>
        <v xml:space="preserve"> </v>
      </c>
      <c r="D245" s="58" t="str">
        <f ca="1">Start.listina!K71</f>
        <v xml:space="preserve"> </v>
      </c>
      <c r="E245" s="58" t="str">
        <f ca="1">Start.listina!L71</f>
        <v xml:space="preserve"> </v>
      </c>
      <c r="F245" s="58"/>
      <c r="G245" s="542" t="str">
        <f ca="1">IF(N(A245)&gt;0,VLOOKUP(A245,Body!$A$4:$F$259,5,0),"")</f>
        <v/>
      </c>
      <c r="H245" s="161" t="str">
        <f ca="1">IF(N(A245)&gt;0,VLOOKUP(A245,Body!$A$4:$F$259,6,0),"")</f>
        <v/>
      </c>
      <c r="I245" s="161" t="str">
        <f ca="1">IF(N(A245)&gt;0,VLOOKUP(A245,Body!$A$4:$F$259,2,0),"")</f>
        <v/>
      </c>
    </row>
    <row r="246" spans="1:9">
      <c r="A246" s="58"/>
      <c r="B246" s="58" t="str">
        <f ca="1">Start.listina!O71</f>
        <v/>
      </c>
      <c r="C246" s="58" t="str">
        <f ca="1">Start.listina!P71</f>
        <v xml:space="preserve"> </v>
      </c>
      <c r="D246" s="58" t="str">
        <f ca="1">Start.listina!Q71</f>
        <v xml:space="preserve"> </v>
      </c>
      <c r="E246" s="58" t="str">
        <f ca="1">Start.listina!R71</f>
        <v xml:space="preserve"> </v>
      </c>
      <c r="F246" s="58"/>
      <c r="G246" s="542"/>
      <c r="H246" s="161"/>
      <c r="I246" s="161"/>
    </row>
    <row r="247" spans="1:9">
      <c r="A247" s="58"/>
      <c r="B247" s="58" t="str">
        <f ca="1">Start.listina!U71</f>
        <v/>
      </c>
      <c r="C247" s="58" t="str">
        <f ca="1">Start.listina!V71</f>
        <v xml:space="preserve"> </v>
      </c>
      <c r="D247" s="58" t="str">
        <f ca="1">Start.listina!W71</f>
        <v xml:space="preserve"> </v>
      </c>
      <c r="E247" s="58" t="str">
        <f ca="1">Start.listina!X71</f>
        <v xml:space="preserve"> </v>
      </c>
      <c r="F247" s="58"/>
      <c r="G247" s="542"/>
      <c r="H247" s="161"/>
      <c r="I247" s="161"/>
    </row>
    <row r="248" spans="1:9">
      <c r="A248" s="58"/>
      <c r="B248" s="58" t="str">
        <f ca="1">Start.listina!AA71</f>
        <v/>
      </c>
      <c r="C248" s="58" t="str">
        <f ca="1">Start.listina!AB71</f>
        <v xml:space="preserve"> </v>
      </c>
      <c r="D248" s="58" t="str">
        <f ca="1">Start.listina!AC71</f>
        <v xml:space="preserve"> </v>
      </c>
      <c r="E248" s="58" t="str">
        <f ca="1">Start.listina!AD71</f>
        <v xml:space="preserve"> </v>
      </c>
      <c r="F248" s="58"/>
      <c r="G248" s="542"/>
      <c r="H248" s="161"/>
      <c r="I248" s="161"/>
    </row>
    <row r="249" spans="1:9">
      <c r="A249" s="58">
        <f ca="1">Start.listina!AH72</f>
        <v>0</v>
      </c>
      <c r="B249" s="58" t="str">
        <f ca="1">Start.listina!I72</f>
        <v/>
      </c>
      <c r="C249" s="543" t="str">
        <f ca="1">Start.listina!J72</f>
        <v xml:space="preserve"> </v>
      </c>
      <c r="D249" s="58" t="str">
        <f ca="1">Start.listina!K72</f>
        <v xml:space="preserve"> </v>
      </c>
      <c r="E249" s="58" t="str">
        <f ca="1">Start.listina!L72</f>
        <v xml:space="preserve"> </v>
      </c>
      <c r="F249" s="58"/>
      <c r="G249" s="542" t="str">
        <f ca="1">IF(N(A249)&gt;0,VLOOKUP(A249,Body!$A$4:$F$259,5,0),"")</f>
        <v/>
      </c>
      <c r="H249" s="161" t="str">
        <f ca="1">IF(N(A249)&gt;0,VLOOKUP(A249,Body!$A$4:$F$259,6,0),"")</f>
        <v/>
      </c>
      <c r="I249" s="161" t="str">
        <f ca="1">IF(N(A249)&gt;0,VLOOKUP(A249,Body!$A$4:$F$259,2,0),"")</f>
        <v/>
      </c>
    </row>
    <row r="250" spans="1:9">
      <c r="A250" s="58"/>
      <c r="B250" s="58" t="str">
        <f ca="1">Start.listina!O72</f>
        <v/>
      </c>
      <c r="C250" s="58" t="str">
        <f ca="1">Start.listina!P72</f>
        <v xml:space="preserve"> </v>
      </c>
      <c r="D250" s="58" t="str">
        <f ca="1">Start.listina!Q72</f>
        <v xml:space="preserve"> </v>
      </c>
      <c r="E250" s="58" t="str">
        <f ca="1">Start.listina!R72</f>
        <v xml:space="preserve"> </v>
      </c>
      <c r="F250" s="58"/>
      <c r="G250" s="542"/>
      <c r="H250" s="161"/>
      <c r="I250" s="161"/>
    </row>
    <row r="251" spans="1:9">
      <c r="A251" s="58"/>
      <c r="B251" s="58" t="str">
        <f ca="1">Start.listina!U72</f>
        <v/>
      </c>
      <c r="C251" s="58" t="str">
        <f ca="1">Start.listina!V72</f>
        <v xml:space="preserve"> </v>
      </c>
      <c r="D251" s="58" t="str">
        <f ca="1">Start.listina!W72</f>
        <v xml:space="preserve"> </v>
      </c>
      <c r="E251" s="58" t="str">
        <f ca="1">Start.listina!X72</f>
        <v xml:space="preserve"> </v>
      </c>
      <c r="F251" s="58"/>
      <c r="G251" s="542"/>
      <c r="H251" s="161"/>
      <c r="I251" s="161"/>
    </row>
    <row r="252" spans="1:9">
      <c r="A252" s="58"/>
      <c r="B252" s="58" t="str">
        <f ca="1">Start.listina!AA72</f>
        <v/>
      </c>
      <c r="C252" s="58" t="str">
        <f ca="1">Start.listina!AB72</f>
        <v xml:space="preserve"> </v>
      </c>
      <c r="D252" s="58" t="str">
        <f ca="1">Start.listina!AC72</f>
        <v xml:space="preserve"> </v>
      </c>
      <c r="E252" s="58" t="str">
        <f ca="1">Start.listina!AD72</f>
        <v xml:space="preserve"> </v>
      </c>
      <c r="F252" s="58"/>
      <c r="G252" s="542"/>
      <c r="H252" s="161"/>
      <c r="I252" s="161"/>
    </row>
    <row r="253" spans="1:9">
      <c r="A253" s="58">
        <f ca="1">Start.listina!AH73</f>
        <v>0</v>
      </c>
      <c r="B253" s="58" t="str">
        <f ca="1">Start.listina!I73</f>
        <v/>
      </c>
      <c r="C253" s="543" t="str">
        <f ca="1">Start.listina!J73</f>
        <v xml:space="preserve"> </v>
      </c>
      <c r="D253" s="58" t="str">
        <f ca="1">Start.listina!K73</f>
        <v xml:space="preserve"> </v>
      </c>
      <c r="E253" s="58" t="str">
        <f ca="1">Start.listina!L73</f>
        <v xml:space="preserve"> </v>
      </c>
      <c r="F253" s="58"/>
      <c r="G253" s="542" t="str">
        <f ca="1">IF(N(A253)&gt;0,VLOOKUP(A253,Body!$A$4:$F$259,5,0),"")</f>
        <v/>
      </c>
      <c r="H253" s="161" t="str">
        <f ca="1">IF(N(A253)&gt;0,VLOOKUP(A253,Body!$A$4:$F$259,6,0),"")</f>
        <v/>
      </c>
      <c r="I253" s="161" t="str">
        <f ca="1">IF(N(A253)&gt;0,VLOOKUP(A253,Body!$A$4:$F$259,2,0),"")</f>
        <v/>
      </c>
    </row>
    <row r="254" spans="1:9">
      <c r="A254" s="58"/>
      <c r="B254" s="58" t="str">
        <f ca="1">Start.listina!O73</f>
        <v/>
      </c>
      <c r="C254" s="58" t="str">
        <f ca="1">Start.listina!P73</f>
        <v xml:space="preserve"> </v>
      </c>
      <c r="D254" s="58" t="str">
        <f ca="1">Start.listina!Q73</f>
        <v xml:space="preserve"> </v>
      </c>
      <c r="E254" s="58" t="str">
        <f ca="1">Start.listina!R73</f>
        <v xml:space="preserve"> </v>
      </c>
      <c r="F254" s="58"/>
      <c r="G254" s="542"/>
      <c r="H254" s="161"/>
      <c r="I254" s="161"/>
    </row>
    <row r="255" spans="1:9">
      <c r="A255" s="58"/>
      <c r="B255" s="58" t="str">
        <f ca="1">Start.listina!U73</f>
        <v/>
      </c>
      <c r="C255" s="58" t="str">
        <f ca="1">Start.listina!V73</f>
        <v xml:space="preserve"> </v>
      </c>
      <c r="D255" s="58" t="str">
        <f ca="1">Start.listina!W73</f>
        <v xml:space="preserve"> </v>
      </c>
      <c r="E255" s="58" t="str">
        <f ca="1">Start.listina!X73</f>
        <v xml:space="preserve"> </v>
      </c>
      <c r="F255" s="58"/>
      <c r="G255" s="542"/>
      <c r="H255" s="161"/>
      <c r="I255" s="161"/>
    </row>
    <row r="256" spans="1:9">
      <c r="A256" s="58"/>
      <c r="B256" s="58" t="str">
        <f ca="1">Start.listina!AA73</f>
        <v/>
      </c>
      <c r="C256" s="58" t="str">
        <f ca="1">Start.listina!AB73</f>
        <v xml:space="preserve"> </v>
      </c>
      <c r="D256" s="58" t="str">
        <f ca="1">Start.listina!AC73</f>
        <v xml:space="preserve"> </v>
      </c>
      <c r="E256" s="58" t="str">
        <f ca="1">Start.listina!AD73</f>
        <v xml:space="preserve"> </v>
      </c>
      <c r="F256" s="58"/>
      <c r="G256" s="542"/>
      <c r="H256" s="161"/>
      <c r="I256" s="161"/>
    </row>
    <row r="257" spans="1:9">
      <c r="A257" s="58">
        <f ca="1">Start.listina!AH74</f>
        <v>0</v>
      </c>
      <c r="B257" s="58" t="str">
        <f ca="1">Start.listina!I74</f>
        <v/>
      </c>
      <c r="C257" s="543" t="str">
        <f ca="1">Start.listina!J74</f>
        <v xml:space="preserve"> </v>
      </c>
      <c r="D257" s="58" t="str">
        <f ca="1">Start.listina!K74</f>
        <v xml:space="preserve"> </v>
      </c>
      <c r="E257" s="58" t="str">
        <f ca="1">Start.listina!L74</f>
        <v xml:space="preserve"> </v>
      </c>
      <c r="F257" s="58"/>
      <c r="G257" s="542" t="str">
        <f ca="1">IF(N(A257)&gt;0,VLOOKUP(A257,Body!$A$4:$F$259,5,0),"")</f>
        <v/>
      </c>
      <c r="H257" s="161" t="str">
        <f ca="1">IF(N(A257)&gt;0,VLOOKUP(A257,Body!$A$4:$F$259,6,0),"")</f>
        <v/>
      </c>
      <c r="I257" s="161" t="str">
        <f ca="1">IF(N(A257)&gt;0,VLOOKUP(A257,Body!$A$4:$F$259,2,0),"")</f>
        <v/>
      </c>
    </row>
    <row r="258" spans="1:9">
      <c r="A258" s="58"/>
      <c r="B258" s="58" t="str">
        <f ca="1">Start.listina!O74</f>
        <v/>
      </c>
      <c r="C258" s="58" t="str">
        <f ca="1">Start.listina!P74</f>
        <v xml:space="preserve"> </v>
      </c>
      <c r="D258" s="58" t="str">
        <f ca="1">Start.listina!Q74</f>
        <v xml:space="preserve"> </v>
      </c>
      <c r="E258" s="58" t="str">
        <f ca="1">Start.listina!R74</f>
        <v xml:space="preserve"> </v>
      </c>
      <c r="F258" s="58"/>
      <c r="G258" s="542"/>
      <c r="H258" s="161"/>
      <c r="I258" s="161"/>
    </row>
    <row r="259" spans="1:9">
      <c r="A259" s="58"/>
      <c r="B259" s="58" t="str">
        <f ca="1">Start.listina!U74</f>
        <v/>
      </c>
      <c r="C259" s="58" t="str">
        <f ca="1">Start.listina!V74</f>
        <v xml:space="preserve"> </v>
      </c>
      <c r="D259" s="58" t="str">
        <f ca="1">Start.listina!W74</f>
        <v xml:space="preserve"> </v>
      </c>
      <c r="E259" s="58" t="str">
        <f ca="1">Start.listina!X74</f>
        <v xml:space="preserve"> </v>
      </c>
      <c r="F259" s="58"/>
      <c r="G259" s="542"/>
      <c r="H259" s="161"/>
      <c r="I259" s="161"/>
    </row>
    <row r="260" spans="1:9">
      <c r="A260" s="58"/>
      <c r="B260" s="58" t="str">
        <f ca="1">Start.listina!AA74</f>
        <v/>
      </c>
      <c r="C260" s="58" t="str">
        <f ca="1">Start.listina!AB74</f>
        <v xml:space="preserve"> </v>
      </c>
      <c r="D260" s="58" t="str">
        <f ca="1">Start.listina!AC74</f>
        <v xml:space="preserve"> </v>
      </c>
      <c r="E260" s="58" t="str">
        <f ca="1">Start.listina!AD74</f>
        <v xml:space="preserve"> </v>
      </c>
      <c r="F260" s="58"/>
      <c r="G260" s="542"/>
      <c r="H260" s="161"/>
      <c r="I260" s="161"/>
    </row>
    <row r="261" spans="1:9">
      <c r="A261" s="58">
        <f ca="1">Start.listina!AH75</f>
        <v>0</v>
      </c>
      <c r="B261" s="58" t="str">
        <f ca="1">Start.listina!I75</f>
        <v/>
      </c>
      <c r="C261" s="543" t="str">
        <f ca="1">Start.listina!J75</f>
        <v xml:space="preserve"> </v>
      </c>
      <c r="D261" s="58" t="str">
        <f ca="1">Start.listina!K75</f>
        <v xml:space="preserve"> </v>
      </c>
      <c r="E261" s="58" t="str">
        <f ca="1">Start.listina!L75</f>
        <v xml:space="preserve"> </v>
      </c>
      <c r="F261" s="58"/>
      <c r="G261" s="542" t="str">
        <f ca="1">IF(N(A261)&gt;0,VLOOKUP(A261,Body!$A$4:$F$259,5,0),"")</f>
        <v/>
      </c>
      <c r="H261" s="161" t="str">
        <f ca="1">IF(N(A261)&gt;0,VLOOKUP(A261,Body!$A$4:$F$259,6,0),"")</f>
        <v/>
      </c>
      <c r="I261" s="161" t="str">
        <f ca="1">IF(N(A261)&gt;0,VLOOKUP(A261,Body!$A$4:$F$259,2,0),"")</f>
        <v/>
      </c>
    </row>
    <row r="262" spans="1:9">
      <c r="A262" s="58"/>
      <c r="B262" s="58" t="str">
        <f ca="1">Start.listina!O75</f>
        <v/>
      </c>
      <c r="C262" s="58" t="str">
        <f ca="1">Start.listina!P75</f>
        <v xml:space="preserve"> </v>
      </c>
      <c r="D262" s="58" t="str">
        <f ca="1">Start.listina!Q75</f>
        <v xml:space="preserve"> </v>
      </c>
      <c r="E262" s="58" t="str">
        <f ca="1">Start.listina!R75</f>
        <v xml:space="preserve"> </v>
      </c>
      <c r="F262" s="58"/>
      <c r="G262" s="542"/>
      <c r="H262" s="161"/>
      <c r="I262" s="161"/>
    </row>
    <row r="263" spans="1:9">
      <c r="A263" s="58"/>
      <c r="B263" s="58" t="str">
        <f ca="1">Start.listina!U75</f>
        <v/>
      </c>
      <c r="C263" s="58" t="str">
        <f ca="1">Start.listina!V75</f>
        <v xml:space="preserve"> </v>
      </c>
      <c r="D263" s="58" t="str">
        <f ca="1">Start.listina!W75</f>
        <v xml:space="preserve"> </v>
      </c>
      <c r="E263" s="58" t="str">
        <f ca="1">Start.listina!X75</f>
        <v xml:space="preserve"> </v>
      </c>
      <c r="F263" s="58"/>
      <c r="G263" s="542"/>
      <c r="H263" s="161"/>
      <c r="I263" s="161"/>
    </row>
    <row r="264" spans="1:9">
      <c r="A264" s="58"/>
      <c r="B264" s="58" t="str">
        <f ca="1">Start.listina!AA75</f>
        <v/>
      </c>
      <c r="C264" s="58" t="str">
        <f ca="1">Start.listina!AB75</f>
        <v xml:space="preserve"> </v>
      </c>
      <c r="D264" s="58" t="str">
        <f ca="1">Start.listina!AC75</f>
        <v xml:space="preserve"> </v>
      </c>
      <c r="E264" s="58" t="str">
        <f ca="1">Start.listina!AD75</f>
        <v xml:space="preserve"> </v>
      </c>
      <c r="F264" s="58"/>
      <c r="G264" s="542"/>
      <c r="H264" s="161"/>
      <c r="I264" s="161"/>
    </row>
    <row r="265" spans="1:9">
      <c r="A265" s="58">
        <f ca="1">Start.listina!AH76</f>
        <v>0</v>
      </c>
      <c r="B265" s="58" t="str">
        <f ca="1">Start.listina!I76</f>
        <v/>
      </c>
      <c r="C265" s="543" t="str">
        <f ca="1">Start.listina!J76</f>
        <v xml:space="preserve"> </v>
      </c>
      <c r="D265" s="58" t="str">
        <f ca="1">Start.listina!K76</f>
        <v xml:space="preserve"> </v>
      </c>
      <c r="E265" s="58" t="str">
        <f ca="1">Start.listina!L76</f>
        <v xml:space="preserve"> </v>
      </c>
      <c r="F265" s="58"/>
      <c r="G265" s="542" t="str">
        <f ca="1">IF(N(A265)&gt;0,VLOOKUP(A265,Body!$A$4:$F$259,5,0),"")</f>
        <v/>
      </c>
      <c r="H265" s="161" t="str">
        <f ca="1">IF(N(A265)&gt;0,VLOOKUP(A265,Body!$A$4:$F$259,6,0),"")</f>
        <v/>
      </c>
      <c r="I265" s="161" t="str">
        <f ca="1">IF(N(A265)&gt;0,VLOOKUP(A265,Body!$A$4:$F$259,2,0),"")</f>
        <v/>
      </c>
    </row>
    <row r="266" spans="1:9">
      <c r="A266" s="58"/>
      <c r="B266" s="58" t="str">
        <f ca="1">Start.listina!O76</f>
        <v/>
      </c>
      <c r="C266" s="58" t="str">
        <f ca="1">Start.listina!P76</f>
        <v xml:space="preserve"> </v>
      </c>
      <c r="D266" s="58" t="str">
        <f ca="1">Start.listina!Q76</f>
        <v xml:space="preserve"> </v>
      </c>
      <c r="E266" s="58" t="str">
        <f ca="1">Start.listina!R76</f>
        <v xml:space="preserve"> </v>
      </c>
      <c r="F266" s="58"/>
      <c r="G266" s="542"/>
      <c r="H266" s="161"/>
      <c r="I266" s="161"/>
    </row>
    <row r="267" spans="1:9">
      <c r="A267" s="58"/>
      <c r="B267" s="58" t="str">
        <f ca="1">Start.listina!U76</f>
        <v/>
      </c>
      <c r="C267" s="58" t="str">
        <f ca="1">Start.listina!V76</f>
        <v xml:space="preserve"> </v>
      </c>
      <c r="D267" s="58" t="str">
        <f ca="1">Start.listina!W76</f>
        <v xml:space="preserve"> </v>
      </c>
      <c r="E267" s="58" t="str">
        <f ca="1">Start.listina!X76</f>
        <v xml:space="preserve"> </v>
      </c>
      <c r="F267" s="58"/>
      <c r="G267" s="542"/>
      <c r="H267" s="161"/>
      <c r="I267" s="161"/>
    </row>
    <row r="268" spans="1:9">
      <c r="A268" s="58"/>
      <c r="B268" s="58" t="str">
        <f ca="1">Start.listina!AA76</f>
        <v/>
      </c>
      <c r="C268" s="58" t="str">
        <f ca="1">Start.listina!AB76</f>
        <v xml:space="preserve"> </v>
      </c>
      <c r="D268" s="58" t="str">
        <f ca="1">Start.listina!AC76</f>
        <v xml:space="preserve"> </v>
      </c>
      <c r="E268" s="58" t="str">
        <f ca="1">Start.listina!AD76</f>
        <v xml:space="preserve"> </v>
      </c>
      <c r="F268" s="58"/>
      <c r="G268" s="542"/>
      <c r="H268" s="161"/>
      <c r="I268" s="161"/>
    </row>
    <row r="269" spans="1:9">
      <c r="A269" s="58">
        <f ca="1">Start.listina!AH77</f>
        <v>0</v>
      </c>
      <c r="B269" s="58" t="str">
        <f ca="1">Start.listina!I77</f>
        <v/>
      </c>
      <c r="C269" s="543" t="str">
        <f ca="1">Start.listina!J77</f>
        <v xml:space="preserve"> </v>
      </c>
      <c r="D269" s="58" t="str">
        <f ca="1">Start.listina!K77</f>
        <v xml:space="preserve"> </v>
      </c>
      <c r="E269" s="58" t="str">
        <f ca="1">Start.listina!L77</f>
        <v xml:space="preserve"> </v>
      </c>
      <c r="F269" s="58"/>
      <c r="G269" s="542" t="str">
        <f ca="1">IF(N(A269)&gt;0,VLOOKUP(A269,Body!$A$4:$F$259,5,0),"")</f>
        <v/>
      </c>
      <c r="H269" s="161" t="str">
        <f ca="1">IF(N(A269)&gt;0,VLOOKUP(A269,Body!$A$4:$F$259,6,0),"")</f>
        <v/>
      </c>
      <c r="I269" s="161" t="str">
        <f ca="1">IF(N(A269)&gt;0,VLOOKUP(A269,Body!$A$4:$F$259,2,0),"")</f>
        <v/>
      </c>
    </row>
    <row r="270" spans="1:9">
      <c r="A270" s="58"/>
      <c r="B270" s="58" t="str">
        <f ca="1">Start.listina!O77</f>
        <v/>
      </c>
      <c r="C270" s="58" t="str">
        <f ca="1">Start.listina!P77</f>
        <v xml:space="preserve"> </v>
      </c>
      <c r="D270" s="58" t="str">
        <f ca="1">Start.listina!Q77</f>
        <v xml:space="preserve"> </v>
      </c>
      <c r="E270" s="58" t="str">
        <f ca="1">Start.listina!R77</f>
        <v xml:space="preserve"> </v>
      </c>
      <c r="F270" s="58"/>
      <c r="G270" s="542"/>
      <c r="H270" s="161"/>
      <c r="I270" s="161"/>
    </row>
    <row r="271" spans="1:9">
      <c r="A271" s="58"/>
      <c r="B271" s="58" t="str">
        <f ca="1">Start.listina!U77</f>
        <v/>
      </c>
      <c r="C271" s="58" t="str">
        <f ca="1">Start.listina!V77</f>
        <v xml:space="preserve"> </v>
      </c>
      <c r="D271" s="58" t="str">
        <f ca="1">Start.listina!W77</f>
        <v xml:space="preserve"> </v>
      </c>
      <c r="E271" s="58" t="str">
        <f ca="1">Start.listina!X77</f>
        <v xml:space="preserve"> </v>
      </c>
      <c r="F271" s="58"/>
      <c r="G271" s="542"/>
      <c r="H271" s="161"/>
      <c r="I271" s="161"/>
    </row>
    <row r="272" spans="1:9">
      <c r="A272" s="58"/>
      <c r="B272" s="58" t="str">
        <f ca="1">Start.listina!AA77</f>
        <v/>
      </c>
      <c r="C272" s="58" t="str">
        <f ca="1">Start.listina!AB77</f>
        <v xml:space="preserve"> </v>
      </c>
      <c r="D272" s="58" t="str">
        <f ca="1">Start.listina!AC77</f>
        <v xml:space="preserve"> </v>
      </c>
      <c r="E272" s="58" t="str">
        <f ca="1">Start.listina!AD77</f>
        <v xml:space="preserve"> </v>
      </c>
      <c r="F272" s="58"/>
      <c r="G272" s="542"/>
      <c r="H272" s="161"/>
      <c r="I272" s="161"/>
    </row>
    <row r="273" spans="1:9">
      <c r="A273" s="58">
        <f ca="1">Start.listina!AH78</f>
        <v>0</v>
      </c>
      <c r="B273" s="58" t="str">
        <f ca="1">Start.listina!I78</f>
        <v/>
      </c>
      <c r="C273" s="543" t="str">
        <f ca="1">Start.listina!J78</f>
        <v xml:space="preserve"> </v>
      </c>
      <c r="D273" s="58" t="str">
        <f ca="1">Start.listina!K78</f>
        <v xml:space="preserve"> </v>
      </c>
      <c r="E273" s="58" t="str">
        <f ca="1">Start.listina!L78</f>
        <v xml:space="preserve"> </v>
      </c>
      <c r="F273" s="58"/>
      <c r="G273" s="542" t="str">
        <f ca="1">IF(N(A273)&gt;0,VLOOKUP(A273,Body!$A$4:$F$259,5,0),"")</f>
        <v/>
      </c>
      <c r="H273" s="161" t="str">
        <f ca="1">IF(N(A273)&gt;0,VLOOKUP(A273,Body!$A$4:$F$259,6,0),"")</f>
        <v/>
      </c>
      <c r="I273" s="161" t="str">
        <f ca="1">IF(N(A273)&gt;0,VLOOKUP(A273,Body!$A$4:$F$259,2,0),"")</f>
        <v/>
      </c>
    </row>
    <row r="274" spans="1:9">
      <c r="A274" s="58"/>
      <c r="B274" s="58" t="str">
        <f ca="1">Start.listina!O78</f>
        <v/>
      </c>
      <c r="C274" s="58" t="str">
        <f ca="1">Start.listina!P78</f>
        <v xml:space="preserve"> </v>
      </c>
      <c r="D274" s="58" t="str">
        <f ca="1">Start.listina!Q78</f>
        <v xml:space="preserve"> </v>
      </c>
      <c r="E274" s="58" t="str">
        <f ca="1">Start.listina!R78</f>
        <v xml:space="preserve"> </v>
      </c>
      <c r="F274" s="58"/>
      <c r="G274" s="542"/>
      <c r="H274" s="161"/>
      <c r="I274" s="161"/>
    </row>
    <row r="275" spans="1:9">
      <c r="A275" s="58"/>
      <c r="B275" s="58" t="str">
        <f ca="1">Start.listina!U78</f>
        <v/>
      </c>
      <c r="C275" s="58" t="str">
        <f ca="1">Start.listina!V78</f>
        <v xml:space="preserve"> </v>
      </c>
      <c r="D275" s="58" t="str">
        <f ca="1">Start.listina!W78</f>
        <v xml:space="preserve"> </v>
      </c>
      <c r="E275" s="58" t="str">
        <f ca="1">Start.listina!X78</f>
        <v xml:space="preserve"> </v>
      </c>
      <c r="F275" s="58"/>
      <c r="G275" s="542"/>
      <c r="H275" s="161"/>
      <c r="I275" s="161"/>
    </row>
    <row r="276" spans="1:9">
      <c r="A276" s="58"/>
      <c r="B276" s="58" t="str">
        <f ca="1">Start.listina!AA78</f>
        <v/>
      </c>
      <c r="C276" s="58" t="str">
        <f ca="1">Start.listina!AB78</f>
        <v xml:space="preserve"> </v>
      </c>
      <c r="D276" s="58" t="str">
        <f ca="1">Start.listina!AC78</f>
        <v xml:space="preserve"> </v>
      </c>
      <c r="E276" s="58" t="str">
        <f ca="1">Start.listina!AD78</f>
        <v xml:space="preserve"> </v>
      </c>
      <c r="F276" s="58"/>
      <c r="G276" s="542"/>
      <c r="H276" s="161"/>
      <c r="I276" s="161"/>
    </row>
    <row r="277" spans="1:9">
      <c r="A277" s="58">
        <f ca="1">Start.listina!AH79</f>
        <v>0</v>
      </c>
      <c r="B277" s="58" t="str">
        <f ca="1">Start.listina!I79</f>
        <v/>
      </c>
      <c r="C277" s="543" t="str">
        <f ca="1">Start.listina!J79</f>
        <v xml:space="preserve"> </v>
      </c>
      <c r="D277" s="58" t="str">
        <f ca="1">Start.listina!K79</f>
        <v xml:space="preserve"> </v>
      </c>
      <c r="E277" s="58" t="str">
        <f ca="1">Start.listina!L79</f>
        <v xml:space="preserve"> </v>
      </c>
      <c r="F277" s="58"/>
      <c r="G277" s="542" t="str">
        <f ca="1">IF(N(A277)&gt;0,VLOOKUP(A277,Body!$A$4:$F$259,5,0),"")</f>
        <v/>
      </c>
      <c r="H277" s="161" t="str">
        <f ca="1">IF(N(A277)&gt;0,VLOOKUP(A277,Body!$A$4:$F$259,6,0),"")</f>
        <v/>
      </c>
      <c r="I277" s="161" t="str">
        <f ca="1">IF(N(A277)&gt;0,VLOOKUP(A277,Body!$A$4:$F$259,2,0),"")</f>
        <v/>
      </c>
    </row>
    <row r="278" spans="1:9">
      <c r="A278" s="58"/>
      <c r="B278" s="58" t="str">
        <f ca="1">Start.listina!O79</f>
        <v/>
      </c>
      <c r="C278" s="58" t="str">
        <f ca="1">Start.listina!P79</f>
        <v xml:space="preserve"> </v>
      </c>
      <c r="D278" s="58" t="str">
        <f ca="1">Start.listina!Q79</f>
        <v xml:space="preserve"> </v>
      </c>
      <c r="E278" s="58" t="str">
        <f ca="1">Start.listina!R79</f>
        <v xml:space="preserve"> </v>
      </c>
      <c r="F278" s="58"/>
      <c r="G278" s="542"/>
      <c r="H278" s="161"/>
      <c r="I278" s="161"/>
    </row>
    <row r="279" spans="1:9">
      <c r="A279" s="58"/>
      <c r="B279" s="58" t="str">
        <f ca="1">Start.listina!U79</f>
        <v/>
      </c>
      <c r="C279" s="58" t="str">
        <f ca="1">Start.listina!V79</f>
        <v xml:space="preserve"> </v>
      </c>
      <c r="D279" s="58" t="str">
        <f ca="1">Start.listina!W79</f>
        <v xml:space="preserve"> </v>
      </c>
      <c r="E279" s="58" t="str">
        <f ca="1">Start.listina!X79</f>
        <v xml:space="preserve"> </v>
      </c>
      <c r="F279" s="58"/>
      <c r="G279" s="542"/>
      <c r="H279" s="161"/>
      <c r="I279" s="161"/>
    </row>
    <row r="280" spans="1:9">
      <c r="A280" s="58"/>
      <c r="B280" s="58" t="str">
        <f ca="1">Start.listina!AA79</f>
        <v/>
      </c>
      <c r="C280" s="58" t="str">
        <f ca="1">Start.listina!AB79</f>
        <v xml:space="preserve"> </v>
      </c>
      <c r="D280" s="58" t="str">
        <f ca="1">Start.listina!AC79</f>
        <v xml:space="preserve"> </v>
      </c>
      <c r="E280" s="58" t="str">
        <f ca="1">Start.listina!AD79</f>
        <v xml:space="preserve"> </v>
      </c>
      <c r="F280" s="58"/>
      <c r="G280" s="542"/>
      <c r="H280" s="161"/>
      <c r="I280" s="161"/>
    </row>
    <row r="281" spans="1:9">
      <c r="A281" s="58">
        <f ca="1">Start.listina!AH80</f>
        <v>0</v>
      </c>
      <c r="B281" s="58" t="str">
        <f ca="1">Start.listina!I80</f>
        <v/>
      </c>
      <c r="C281" s="543" t="str">
        <f ca="1">Start.listina!J80</f>
        <v xml:space="preserve"> </v>
      </c>
      <c r="D281" s="58" t="str">
        <f ca="1">Start.listina!K80</f>
        <v xml:space="preserve"> </v>
      </c>
      <c r="E281" s="58" t="str">
        <f ca="1">Start.listina!L80</f>
        <v xml:space="preserve"> </v>
      </c>
      <c r="F281" s="58"/>
      <c r="G281" s="542" t="str">
        <f ca="1">IF(N(A281)&gt;0,VLOOKUP(A281,Body!$A$4:$F$259,5,0),"")</f>
        <v/>
      </c>
      <c r="H281" s="161" t="str">
        <f ca="1">IF(N(A281)&gt;0,VLOOKUP(A281,Body!$A$4:$F$259,6,0),"")</f>
        <v/>
      </c>
      <c r="I281" s="161" t="str">
        <f ca="1">IF(N(A281)&gt;0,VLOOKUP(A281,Body!$A$4:$F$259,2,0),"")</f>
        <v/>
      </c>
    </row>
    <row r="282" spans="1:9">
      <c r="A282" s="58"/>
      <c r="B282" s="58" t="str">
        <f ca="1">Start.listina!O80</f>
        <v/>
      </c>
      <c r="C282" s="58" t="str">
        <f ca="1">Start.listina!P80</f>
        <v xml:space="preserve"> </v>
      </c>
      <c r="D282" s="58" t="str">
        <f ca="1">Start.listina!Q80</f>
        <v xml:space="preserve"> </v>
      </c>
      <c r="E282" s="58" t="str">
        <f ca="1">Start.listina!R80</f>
        <v xml:space="preserve"> </v>
      </c>
      <c r="F282" s="58"/>
      <c r="G282" s="542"/>
      <c r="H282" s="161"/>
      <c r="I282" s="161"/>
    </row>
    <row r="283" spans="1:9">
      <c r="A283" s="58"/>
      <c r="B283" s="58" t="str">
        <f ca="1">Start.listina!U80</f>
        <v/>
      </c>
      <c r="C283" s="58" t="str">
        <f ca="1">Start.listina!V80</f>
        <v xml:space="preserve"> </v>
      </c>
      <c r="D283" s="58" t="str">
        <f ca="1">Start.listina!W80</f>
        <v xml:space="preserve"> </v>
      </c>
      <c r="E283" s="58" t="str">
        <f ca="1">Start.listina!X80</f>
        <v xml:space="preserve"> </v>
      </c>
      <c r="F283" s="58"/>
      <c r="G283" s="542"/>
      <c r="H283" s="161"/>
      <c r="I283" s="161"/>
    </row>
    <row r="284" spans="1:9">
      <c r="A284" s="58"/>
      <c r="B284" s="58" t="str">
        <f ca="1">Start.listina!AA80</f>
        <v/>
      </c>
      <c r="C284" s="58" t="str">
        <f ca="1">Start.listina!AB80</f>
        <v xml:space="preserve"> </v>
      </c>
      <c r="D284" s="58" t="str">
        <f ca="1">Start.listina!AC80</f>
        <v xml:space="preserve"> </v>
      </c>
      <c r="E284" s="58" t="str">
        <f ca="1">Start.listina!AD80</f>
        <v xml:space="preserve"> </v>
      </c>
      <c r="F284" s="58"/>
      <c r="G284" s="542"/>
      <c r="H284" s="161"/>
      <c r="I284" s="161"/>
    </row>
    <row r="285" spans="1:9">
      <c r="A285" s="58">
        <f ca="1">Start.listina!AH81</f>
        <v>0</v>
      </c>
      <c r="B285" s="58" t="str">
        <f ca="1">Start.listina!I81</f>
        <v/>
      </c>
      <c r="C285" s="543" t="str">
        <f ca="1">Start.listina!J81</f>
        <v xml:space="preserve"> </v>
      </c>
      <c r="D285" s="58" t="str">
        <f ca="1">Start.listina!K81</f>
        <v xml:space="preserve"> </v>
      </c>
      <c r="E285" s="58" t="str">
        <f ca="1">Start.listina!L81</f>
        <v xml:space="preserve"> </v>
      </c>
      <c r="F285" s="58"/>
      <c r="G285" s="542" t="str">
        <f ca="1">IF(N(A285)&gt;0,VLOOKUP(A285,Body!$A$4:$F$259,5,0),"")</f>
        <v/>
      </c>
      <c r="H285" s="161" t="str">
        <f ca="1">IF(N(A285)&gt;0,VLOOKUP(A285,Body!$A$4:$F$259,6,0),"")</f>
        <v/>
      </c>
      <c r="I285" s="161" t="str">
        <f ca="1">IF(N(A285)&gt;0,VLOOKUP(A285,Body!$A$4:$F$259,2,0),"")</f>
        <v/>
      </c>
    </row>
    <row r="286" spans="1:9">
      <c r="A286" s="58"/>
      <c r="B286" s="58" t="str">
        <f ca="1">Start.listina!O81</f>
        <v/>
      </c>
      <c r="C286" s="58" t="str">
        <f ca="1">Start.listina!P81</f>
        <v xml:space="preserve"> </v>
      </c>
      <c r="D286" s="58" t="str">
        <f ca="1">Start.listina!Q81</f>
        <v xml:space="preserve"> </v>
      </c>
      <c r="E286" s="58" t="str">
        <f ca="1">Start.listina!R81</f>
        <v xml:space="preserve"> </v>
      </c>
      <c r="F286" s="58"/>
      <c r="G286" s="542"/>
      <c r="H286" s="161"/>
      <c r="I286" s="161"/>
    </row>
    <row r="287" spans="1:9">
      <c r="A287" s="58"/>
      <c r="B287" s="58" t="str">
        <f ca="1">Start.listina!U81</f>
        <v/>
      </c>
      <c r="C287" s="58" t="str">
        <f ca="1">Start.listina!V81</f>
        <v xml:space="preserve"> </v>
      </c>
      <c r="D287" s="58" t="str">
        <f ca="1">Start.listina!W81</f>
        <v xml:space="preserve"> </v>
      </c>
      <c r="E287" s="58" t="str">
        <f ca="1">Start.listina!X81</f>
        <v xml:space="preserve"> </v>
      </c>
      <c r="F287" s="58"/>
      <c r="G287" s="542"/>
      <c r="H287" s="161"/>
      <c r="I287" s="161"/>
    </row>
    <row r="288" spans="1:9">
      <c r="A288" s="58"/>
      <c r="B288" s="58" t="str">
        <f ca="1">Start.listina!AA81</f>
        <v/>
      </c>
      <c r="C288" s="58" t="str">
        <f ca="1">Start.listina!AB81</f>
        <v xml:space="preserve"> </v>
      </c>
      <c r="D288" s="58" t="str">
        <f ca="1">Start.listina!AC81</f>
        <v xml:space="preserve"> </v>
      </c>
      <c r="E288" s="58" t="str">
        <f ca="1">Start.listina!AD81</f>
        <v xml:space="preserve"> </v>
      </c>
      <c r="F288" s="58"/>
      <c r="G288" s="542"/>
      <c r="H288" s="161"/>
      <c r="I288" s="161"/>
    </row>
    <row r="289" spans="1:9">
      <c r="A289" s="58">
        <f ca="1">Start.listina!AH82</f>
        <v>0</v>
      </c>
      <c r="B289" s="58" t="str">
        <f ca="1">Start.listina!I82</f>
        <v/>
      </c>
      <c r="C289" s="543" t="str">
        <f ca="1">Start.listina!J82</f>
        <v xml:space="preserve"> </v>
      </c>
      <c r="D289" s="58" t="str">
        <f ca="1">Start.listina!K82</f>
        <v xml:space="preserve"> </v>
      </c>
      <c r="E289" s="58" t="str">
        <f ca="1">Start.listina!L82</f>
        <v xml:space="preserve"> </v>
      </c>
      <c r="F289" s="58"/>
      <c r="G289" s="542" t="str">
        <f ca="1">IF(N(A289)&gt;0,VLOOKUP(A289,Body!$A$4:$F$259,5,0),"")</f>
        <v/>
      </c>
      <c r="H289" s="161" t="str">
        <f ca="1">IF(N(A289)&gt;0,VLOOKUP(A289,Body!$A$4:$F$259,6,0),"")</f>
        <v/>
      </c>
      <c r="I289" s="161" t="str">
        <f ca="1">IF(N(A289)&gt;0,VLOOKUP(A289,Body!$A$4:$F$259,2,0),"")</f>
        <v/>
      </c>
    </row>
    <row r="290" spans="1:9">
      <c r="A290" s="58"/>
      <c r="B290" s="58" t="str">
        <f ca="1">Start.listina!O82</f>
        <v/>
      </c>
      <c r="C290" s="58" t="str">
        <f ca="1">Start.listina!P82</f>
        <v xml:space="preserve"> </v>
      </c>
      <c r="D290" s="58" t="str">
        <f ca="1">Start.listina!Q82</f>
        <v xml:space="preserve"> </v>
      </c>
      <c r="E290" s="58" t="str">
        <f ca="1">Start.listina!R82</f>
        <v xml:space="preserve"> </v>
      </c>
      <c r="F290" s="58"/>
      <c r="G290" s="542"/>
      <c r="H290" s="161"/>
      <c r="I290" s="161"/>
    </row>
    <row r="291" spans="1:9">
      <c r="A291" s="58"/>
      <c r="B291" s="58" t="str">
        <f ca="1">Start.listina!U82</f>
        <v/>
      </c>
      <c r="C291" s="58" t="str">
        <f ca="1">Start.listina!V82</f>
        <v xml:space="preserve"> </v>
      </c>
      <c r="D291" s="58" t="str">
        <f ca="1">Start.listina!W82</f>
        <v xml:space="preserve"> </v>
      </c>
      <c r="E291" s="58" t="str">
        <f ca="1">Start.listina!X82</f>
        <v xml:space="preserve"> </v>
      </c>
      <c r="F291" s="58"/>
      <c r="G291" s="542"/>
      <c r="H291" s="161"/>
      <c r="I291" s="161"/>
    </row>
    <row r="292" spans="1:9">
      <c r="A292" s="58"/>
      <c r="B292" s="58" t="str">
        <f ca="1">Start.listina!AA82</f>
        <v/>
      </c>
      <c r="C292" s="58" t="str">
        <f ca="1">Start.listina!AB82</f>
        <v xml:space="preserve"> </v>
      </c>
      <c r="D292" s="58" t="str">
        <f ca="1">Start.listina!AC82</f>
        <v xml:space="preserve"> </v>
      </c>
      <c r="E292" s="58" t="str">
        <f ca="1">Start.listina!AD82</f>
        <v xml:space="preserve"> </v>
      </c>
      <c r="F292" s="58"/>
      <c r="G292" s="542"/>
      <c r="H292" s="161"/>
      <c r="I292" s="161"/>
    </row>
    <row r="293" spans="1:9">
      <c r="A293" s="58">
        <f ca="1">Start.listina!AH83</f>
        <v>0</v>
      </c>
      <c r="B293" s="58" t="str">
        <f ca="1">Start.listina!I83</f>
        <v/>
      </c>
      <c r="C293" s="543" t="str">
        <f ca="1">Start.listina!J83</f>
        <v xml:space="preserve"> </v>
      </c>
      <c r="D293" s="58" t="str">
        <f ca="1">Start.listina!K83</f>
        <v xml:space="preserve"> </v>
      </c>
      <c r="E293" s="58" t="str">
        <f ca="1">Start.listina!L83</f>
        <v xml:space="preserve"> </v>
      </c>
      <c r="F293" s="58"/>
      <c r="G293" s="542" t="str">
        <f ca="1">IF(N(A293)&gt;0,VLOOKUP(A293,Body!$A$4:$F$259,5,0),"")</f>
        <v/>
      </c>
      <c r="H293" s="161" t="str">
        <f ca="1">IF(N(A293)&gt;0,VLOOKUP(A293,Body!$A$4:$F$259,6,0),"")</f>
        <v/>
      </c>
      <c r="I293" s="161" t="str">
        <f ca="1">IF(N(A293)&gt;0,VLOOKUP(A293,Body!$A$4:$F$259,2,0),"")</f>
        <v/>
      </c>
    </row>
    <row r="294" spans="1:9">
      <c r="A294" s="58"/>
      <c r="B294" s="58" t="str">
        <f ca="1">Start.listina!O83</f>
        <v/>
      </c>
      <c r="C294" s="58" t="str">
        <f ca="1">Start.listina!P83</f>
        <v xml:space="preserve"> </v>
      </c>
      <c r="D294" s="58" t="str">
        <f ca="1">Start.listina!Q83</f>
        <v xml:space="preserve"> </v>
      </c>
      <c r="E294" s="58" t="str">
        <f ca="1">Start.listina!R83</f>
        <v xml:space="preserve"> </v>
      </c>
      <c r="F294" s="58"/>
      <c r="G294" s="542"/>
      <c r="H294" s="161"/>
      <c r="I294" s="161"/>
    </row>
    <row r="295" spans="1:9">
      <c r="A295" s="58"/>
      <c r="B295" s="58" t="str">
        <f ca="1">Start.listina!U83</f>
        <v/>
      </c>
      <c r="C295" s="58" t="str">
        <f ca="1">Start.listina!V83</f>
        <v xml:space="preserve"> </v>
      </c>
      <c r="D295" s="58" t="str">
        <f ca="1">Start.listina!W83</f>
        <v xml:space="preserve"> </v>
      </c>
      <c r="E295" s="58" t="str">
        <f ca="1">Start.listina!X83</f>
        <v xml:space="preserve"> </v>
      </c>
      <c r="F295" s="58"/>
      <c r="G295" s="542"/>
      <c r="H295" s="161"/>
      <c r="I295" s="161"/>
    </row>
    <row r="296" spans="1:9">
      <c r="A296" s="58"/>
      <c r="B296" s="58" t="str">
        <f ca="1">Start.listina!AA83</f>
        <v/>
      </c>
      <c r="C296" s="58" t="str">
        <f ca="1">Start.listina!AB83</f>
        <v xml:space="preserve"> </v>
      </c>
      <c r="D296" s="58" t="str">
        <f ca="1">Start.listina!AC83</f>
        <v xml:space="preserve"> </v>
      </c>
      <c r="E296" s="58" t="str">
        <f ca="1">Start.listina!AD83</f>
        <v xml:space="preserve"> </v>
      </c>
      <c r="F296" s="58"/>
      <c r="G296" s="542"/>
      <c r="H296" s="161"/>
      <c r="I296" s="161"/>
    </row>
    <row r="297" spans="1:9">
      <c r="A297" s="58">
        <f ca="1">Start.listina!AH84</f>
        <v>0</v>
      </c>
      <c r="B297" s="58" t="str">
        <f ca="1">Start.listina!I84</f>
        <v/>
      </c>
      <c r="C297" s="543" t="str">
        <f ca="1">Start.listina!J84</f>
        <v xml:space="preserve"> </v>
      </c>
      <c r="D297" s="58" t="str">
        <f ca="1">Start.listina!K84</f>
        <v xml:space="preserve"> </v>
      </c>
      <c r="E297" s="58" t="str">
        <f ca="1">Start.listina!L84</f>
        <v xml:space="preserve"> </v>
      </c>
      <c r="F297" s="58"/>
      <c r="G297" s="542" t="str">
        <f ca="1">IF(N(A297)&gt;0,VLOOKUP(A297,Body!$A$4:$F$259,5,0),"")</f>
        <v/>
      </c>
      <c r="H297" s="161" t="str">
        <f ca="1">IF(N(A297)&gt;0,VLOOKUP(A297,Body!$A$4:$F$259,6,0),"")</f>
        <v/>
      </c>
      <c r="I297" s="161" t="str">
        <f ca="1">IF(N(A297)&gt;0,VLOOKUP(A297,Body!$A$4:$F$259,2,0),"")</f>
        <v/>
      </c>
    </row>
    <row r="298" spans="1:9">
      <c r="A298" s="58"/>
      <c r="B298" s="58" t="str">
        <f ca="1">Start.listina!O84</f>
        <v/>
      </c>
      <c r="C298" s="58" t="str">
        <f ca="1">Start.listina!P84</f>
        <v xml:space="preserve"> </v>
      </c>
      <c r="D298" s="58" t="str">
        <f ca="1">Start.listina!Q84</f>
        <v xml:space="preserve"> </v>
      </c>
      <c r="E298" s="58" t="str">
        <f ca="1">Start.listina!R84</f>
        <v xml:space="preserve"> </v>
      </c>
      <c r="F298" s="58"/>
      <c r="G298" s="542"/>
      <c r="H298" s="161"/>
      <c r="I298" s="161"/>
    </row>
    <row r="299" spans="1:9">
      <c r="A299" s="58"/>
      <c r="B299" s="58" t="str">
        <f ca="1">Start.listina!U84</f>
        <v/>
      </c>
      <c r="C299" s="58" t="str">
        <f ca="1">Start.listina!V84</f>
        <v xml:space="preserve"> </v>
      </c>
      <c r="D299" s="58" t="str">
        <f ca="1">Start.listina!W84</f>
        <v xml:space="preserve"> </v>
      </c>
      <c r="E299" s="58" t="str">
        <f ca="1">Start.listina!X84</f>
        <v xml:space="preserve"> </v>
      </c>
      <c r="F299" s="58"/>
      <c r="G299" s="542"/>
      <c r="H299" s="161"/>
      <c r="I299" s="161"/>
    </row>
    <row r="300" spans="1:9">
      <c r="A300" s="58"/>
      <c r="B300" s="58" t="str">
        <f ca="1">Start.listina!AA84</f>
        <v/>
      </c>
      <c r="C300" s="58" t="str">
        <f ca="1">Start.listina!AB84</f>
        <v xml:space="preserve"> </v>
      </c>
      <c r="D300" s="58" t="str">
        <f ca="1">Start.listina!AC84</f>
        <v xml:space="preserve"> </v>
      </c>
      <c r="E300" s="58" t="str">
        <f ca="1">Start.listina!AD84</f>
        <v xml:space="preserve"> </v>
      </c>
      <c r="F300" s="58"/>
      <c r="G300" s="542"/>
      <c r="H300" s="161"/>
      <c r="I300" s="161"/>
    </row>
    <row r="301" spans="1:9">
      <c r="A301" s="58">
        <f ca="1">Start.listina!AH85</f>
        <v>0</v>
      </c>
      <c r="B301" s="58" t="str">
        <f ca="1">Start.listina!I85</f>
        <v/>
      </c>
      <c r="C301" s="543" t="str">
        <f ca="1">Start.listina!J85</f>
        <v xml:space="preserve"> </v>
      </c>
      <c r="D301" s="58" t="str">
        <f ca="1">Start.listina!K85</f>
        <v xml:space="preserve"> </v>
      </c>
      <c r="E301" s="58" t="str">
        <f ca="1">Start.listina!L85</f>
        <v xml:space="preserve"> </v>
      </c>
      <c r="F301" s="58"/>
      <c r="G301" s="542" t="str">
        <f ca="1">IF(N(A301)&gt;0,VLOOKUP(A301,Body!$A$4:$F$259,5,0),"")</f>
        <v/>
      </c>
      <c r="H301" s="161" t="str">
        <f ca="1">IF(N(A301)&gt;0,VLOOKUP(A301,Body!$A$4:$F$259,6,0),"")</f>
        <v/>
      </c>
      <c r="I301" s="161" t="str">
        <f ca="1">IF(N(A301)&gt;0,VLOOKUP(A301,Body!$A$4:$F$259,2,0),"")</f>
        <v/>
      </c>
    </row>
    <row r="302" spans="1:9">
      <c r="A302" s="58"/>
      <c r="B302" s="58" t="str">
        <f ca="1">Start.listina!O85</f>
        <v/>
      </c>
      <c r="C302" s="58" t="str">
        <f ca="1">Start.listina!P85</f>
        <v xml:space="preserve"> </v>
      </c>
      <c r="D302" s="58" t="str">
        <f ca="1">Start.listina!Q85</f>
        <v xml:space="preserve"> </v>
      </c>
      <c r="E302" s="58" t="str">
        <f ca="1">Start.listina!R85</f>
        <v xml:space="preserve"> </v>
      </c>
      <c r="F302" s="58"/>
      <c r="G302" s="542"/>
      <c r="H302" s="161"/>
      <c r="I302" s="161"/>
    </row>
    <row r="303" spans="1:9">
      <c r="A303" s="58"/>
      <c r="B303" s="58" t="str">
        <f ca="1">Start.listina!U85</f>
        <v/>
      </c>
      <c r="C303" s="58" t="str">
        <f ca="1">Start.listina!V85</f>
        <v xml:space="preserve"> </v>
      </c>
      <c r="D303" s="58" t="str">
        <f ca="1">Start.listina!W85</f>
        <v xml:space="preserve"> </v>
      </c>
      <c r="E303" s="58" t="str">
        <f ca="1">Start.listina!X85</f>
        <v xml:space="preserve"> </v>
      </c>
      <c r="F303" s="58"/>
      <c r="G303" s="542"/>
      <c r="H303" s="161"/>
      <c r="I303" s="161"/>
    </row>
    <row r="304" spans="1:9">
      <c r="A304" s="58"/>
      <c r="B304" s="58" t="str">
        <f ca="1">Start.listina!AA85</f>
        <v/>
      </c>
      <c r="C304" s="58" t="str">
        <f ca="1">Start.listina!AB85</f>
        <v xml:space="preserve"> </v>
      </c>
      <c r="D304" s="58" t="str">
        <f ca="1">Start.listina!AC85</f>
        <v xml:space="preserve"> </v>
      </c>
      <c r="E304" s="58" t="str">
        <f ca="1">Start.listina!AD85</f>
        <v xml:space="preserve"> </v>
      </c>
      <c r="F304" s="58"/>
      <c r="G304" s="542"/>
      <c r="H304" s="161"/>
      <c r="I304" s="161"/>
    </row>
    <row r="305" spans="1:9">
      <c r="A305" s="58">
        <f ca="1">Start.listina!AH86</f>
        <v>0</v>
      </c>
      <c r="B305" s="58" t="str">
        <f ca="1">Start.listina!I86</f>
        <v/>
      </c>
      <c r="C305" s="543" t="str">
        <f ca="1">Start.listina!J86</f>
        <v xml:space="preserve"> </v>
      </c>
      <c r="D305" s="58" t="str">
        <f ca="1">Start.listina!K86</f>
        <v xml:space="preserve"> </v>
      </c>
      <c r="E305" s="58" t="str">
        <f ca="1">Start.listina!L86</f>
        <v xml:space="preserve"> </v>
      </c>
      <c r="F305" s="58"/>
      <c r="G305" s="542" t="str">
        <f ca="1">IF(N(A305)&gt;0,VLOOKUP(A305,Body!$A$4:$F$259,5,0),"")</f>
        <v/>
      </c>
      <c r="H305" s="161" t="str">
        <f ca="1">IF(N(A305)&gt;0,VLOOKUP(A305,Body!$A$4:$F$259,6,0),"")</f>
        <v/>
      </c>
      <c r="I305" s="161" t="str">
        <f ca="1">IF(N(A305)&gt;0,VLOOKUP(A305,Body!$A$4:$F$259,2,0),"")</f>
        <v/>
      </c>
    </row>
    <row r="306" spans="1:9">
      <c r="A306" s="58"/>
      <c r="B306" s="58" t="str">
        <f ca="1">Start.listina!O86</f>
        <v/>
      </c>
      <c r="C306" s="58" t="str">
        <f ca="1">Start.listina!P86</f>
        <v xml:space="preserve"> </v>
      </c>
      <c r="D306" s="58" t="str">
        <f ca="1">Start.listina!Q86</f>
        <v xml:space="preserve"> </v>
      </c>
      <c r="E306" s="58" t="str">
        <f ca="1">Start.listina!R86</f>
        <v xml:space="preserve"> </v>
      </c>
      <c r="F306" s="58"/>
      <c r="G306" s="542"/>
      <c r="H306" s="161"/>
      <c r="I306" s="161"/>
    </row>
    <row r="307" spans="1:9">
      <c r="A307" s="58"/>
      <c r="B307" s="58" t="str">
        <f ca="1">Start.listina!U86</f>
        <v/>
      </c>
      <c r="C307" s="58" t="str">
        <f ca="1">Start.listina!V86</f>
        <v xml:space="preserve"> </v>
      </c>
      <c r="D307" s="58" t="str">
        <f ca="1">Start.listina!W86</f>
        <v xml:space="preserve"> </v>
      </c>
      <c r="E307" s="58" t="str">
        <f ca="1">Start.listina!X86</f>
        <v xml:space="preserve"> </v>
      </c>
      <c r="F307" s="58"/>
      <c r="G307" s="542"/>
      <c r="H307" s="161"/>
      <c r="I307" s="161"/>
    </row>
    <row r="308" spans="1:9">
      <c r="A308" s="58"/>
      <c r="B308" s="58" t="str">
        <f ca="1">Start.listina!AA86</f>
        <v/>
      </c>
      <c r="C308" s="58" t="str">
        <f ca="1">Start.listina!AB86</f>
        <v xml:space="preserve"> </v>
      </c>
      <c r="D308" s="58" t="str">
        <f ca="1">Start.listina!AC86</f>
        <v xml:space="preserve"> </v>
      </c>
      <c r="E308" s="58" t="str">
        <f ca="1">Start.listina!AD86</f>
        <v xml:space="preserve"> </v>
      </c>
      <c r="F308" s="58"/>
      <c r="G308" s="542"/>
      <c r="H308" s="161"/>
      <c r="I308" s="161"/>
    </row>
    <row r="309" spans="1:9">
      <c r="A309" s="58">
        <f ca="1">Start.listina!AH87</f>
        <v>0</v>
      </c>
      <c r="B309" s="58" t="str">
        <f ca="1">Start.listina!I87</f>
        <v/>
      </c>
      <c r="C309" s="543" t="str">
        <f ca="1">Start.listina!J87</f>
        <v xml:space="preserve"> </v>
      </c>
      <c r="D309" s="58" t="str">
        <f ca="1">Start.listina!K87</f>
        <v xml:space="preserve"> </v>
      </c>
      <c r="E309" s="58" t="str">
        <f ca="1">Start.listina!L87</f>
        <v xml:space="preserve"> </v>
      </c>
      <c r="F309" s="58"/>
      <c r="G309" s="542" t="str">
        <f ca="1">IF(N(A309)&gt;0,VLOOKUP(A309,Body!$A$4:$F$259,5,0),"")</f>
        <v/>
      </c>
      <c r="H309" s="161" t="str">
        <f ca="1">IF(N(A309)&gt;0,VLOOKUP(A309,Body!$A$4:$F$259,6,0),"")</f>
        <v/>
      </c>
      <c r="I309" s="161" t="str">
        <f ca="1">IF(N(A309)&gt;0,VLOOKUP(A309,Body!$A$4:$F$259,2,0),"")</f>
        <v/>
      </c>
    </row>
    <row r="310" spans="1:9">
      <c r="A310" s="58"/>
      <c r="B310" s="58" t="str">
        <f ca="1">Start.listina!O87</f>
        <v/>
      </c>
      <c r="C310" s="58" t="str">
        <f ca="1">Start.listina!P87</f>
        <v xml:space="preserve"> </v>
      </c>
      <c r="D310" s="58" t="str">
        <f ca="1">Start.listina!Q87</f>
        <v xml:space="preserve"> </v>
      </c>
      <c r="E310" s="58" t="str">
        <f ca="1">Start.listina!R87</f>
        <v xml:space="preserve"> </v>
      </c>
      <c r="F310" s="58"/>
      <c r="G310" s="542"/>
      <c r="H310" s="161"/>
      <c r="I310" s="161"/>
    </row>
    <row r="311" spans="1:9">
      <c r="A311" s="58"/>
      <c r="B311" s="58" t="str">
        <f ca="1">Start.listina!U87</f>
        <v/>
      </c>
      <c r="C311" s="58" t="str">
        <f ca="1">Start.listina!V87</f>
        <v xml:space="preserve"> </v>
      </c>
      <c r="D311" s="58" t="str">
        <f ca="1">Start.listina!W87</f>
        <v xml:space="preserve"> </v>
      </c>
      <c r="E311" s="58" t="str">
        <f ca="1">Start.listina!X87</f>
        <v xml:space="preserve"> </v>
      </c>
      <c r="F311" s="58"/>
      <c r="G311" s="542"/>
      <c r="H311" s="161"/>
      <c r="I311" s="161"/>
    </row>
    <row r="312" spans="1:9">
      <c r="A312" s="58"/>
      <c r="B312" s="58" t="str">
        <f ca="1">Start.listina!AA87</f>
        <v/>
      </c>
      <c r="C312" s="58" t="str">
        <f ca="1">Start.listina!AB87</f>
        <v xml:space="preserve"> </v>
      </c>
      <c r="D312" s="58" t="str">
        <f ca="1">Start.listina!AC87</f>
        <v xml:space="preserve"> </v>
      </c>
      <c r="E312" s="58" t="str">
        <f ca="1">Start.listina!AD87</f>
        <v xml:space="preserve"> </v>
      </c>
      <c r="F312" s="58"/>
      <c r="G312" s="542"/>
      <c r="H312" s="161"/>
      <c r="I312" s="161"/>
    </row>
    <row r="313" spans="1:9">
      <c r="A313" s="58">
        <f ca="1">Start.listina!AH88</f>
        <v>0</v>
      </c>
      <c r="B313" s="58" t="str">
        <f ca="1">Start.listina!I88</f>
        <v/>
      </c>
      <c r="C313" s="543" t="str">
        <f ca="1">Start.listina!J88</f>
        <v xml:space="preserve"> </v>
      </c>
      <c r="D313" s="58" t="str">
        <f ca="1">Start.listina!K88</f>
        <v xml:space="preserve"> </v>
      </c>
      <c r="E313" s="58" t="str">
        <f ca="1">Start.listina!L88</f>
        <v xml:space="preserve"> </v>
      </c>
      <c r="F313" s="58"/>
      <c r="G313" s="542" t="str">
        <f ca="1">IF(N(A313)&gt;0,VLOOKUP(A313,Body!$A$4:$F$259,5,0),"")</f>
        <v/>
      </c>
      <c r="H313" s="161" t="str">
        <f ca="1">IF(N(A313)&gt;0,VLOOKUP(A313,Body!$A$4:$F$259,6,0),"")</f>
        <v/>
      </c>
      <c r="I313" s="161" t="str">
        <f ca="1">IF(N(A313)&gt;0,VLOOKUP(A313,Body!$A$4:$F$259,2,0),"")</f>
        <v/>
      </c>
    </row>
    <row r="314" spans="1:9">
      <c r="A314" s="58"/>
      <c r="B314" s="58" t="str">
        <f ca="1">Start.listina!O88</f>
        <v/>
      </c>
      <c r="C314" s="58" t="str">
        <f ca="1">Start.listina!P88</f>
        <v xml:space="preserve"> </v>
      </c>
      <c r="D314" s="58" t="str">
        <f ca="1">Start.listina!Q88</f>
        <v xml:space="preserve"> </v>
      </c>
      <c r="E314" s="58" t="str">
        <f ca="1">Start.listina!R88</f>
        <v xml:space="preserve"> </v>
      </c>
      <c r="F314" s="58"/>
      <c r="G314" s="542"/>
      <c r="H314" s="161"/>
      <c r="I314" s="161"/>
    </row>
    <row r="315" spans="1:9">
      <c r="A315" s="58"/>
      <c r="B315" s="58" t="str">
        <f ca="1">Start.listina!U88</f>
        <v/>
      </c>
      <c r="C315" s="58" t="str">
        <f ca="1">Start.listina!V88</f>
        <v xml:space="preserve"> </v>
      </c>
      <c r="D315" s="58" t="str">
        <f ca="1">Start.listina!W88</f>
        <v xml:space="preserve"> </v>
      </c>
      <c r="E315" s="58" t="str">
        <f ca="1">Start.listina!X88</f>
        <v xml:space="preserve"> </v>
      </c>
      <c r="F315" s="58"/>
      <c r="G315" s="542"/>
      <c r="H315" s="161"/>
      <c r="I315" s="161"/>
    </row>
    <row r="316" spans="1:9">
      <c r="A316" s="58"/>
      <c r="B316" s="58" t="str">
        <f ca="1">Start.listina!AA88</f>
        <v/>
      </c>
      <c r="C316" s="58" t="str">
        <f ca="1">Start.listina!AB88</f>
        <v xml:space="preserve"> </v>
      </c>
      <c r="D316" s="58" t="str">
        <f ca="1">Start.listina!AC88</f>
        <v xml:space="preserve"> </v>
      </c>
      <c r="E316" s="58" t="str">
        <f ca="1">Start.listina!AD88</f>
        <v xml:space="preserve"> </v>
      </c>
      <c r="F316" s="58"/>
      <c r="G316" s="542"/>
      <c r="H316" s="161"/>
      <c r="I316" s="161"/>
    </row>
    <row r="317" spans="1:9">
      <c r="A317" s="58">
        <f ca="1">Start.listina!AH89</f>
        <v>0</v>
      </c>
      <c r="B317" s="58" t="str">
        <f ca="1">Start.listina!I89</f>
        <v/>
      </c>
      <c r="C317" s="543" t="str">
        <f ca="1">Start.listina!J89</f>
        <v xml:space="preserve"> </v>
      </c>
      <c r="D317" s="58" t="str">
        <f ca="1">Start.listina!K89</f>
        <v xml:space="preserve"> </v>
      </c>
      <c r="E317" s="58" t="str">
        <f ca="1">Start.listina!L89</f>
        <v xml:space="preserve"> </v>
      </c>
      <c r="F317" s="58"/>
      <c r="G317" s="542" t="str">
        <f ca="1">IF(N(A317)&gt;0,VLOOKUP(A317,Body!$A$4:$F$259,5,0),"")</f>
        <v/>
      </c>
      <c r="H317" s="161" t="str">
        <f ca="1">IF(N(A317)&gt;0,VLOOKUP(A317,Body!$A$4:$F$259,6,0),"")</f>
        <v/>
      </c>
      <c r="I317" s="161" t="str">
        <f ca="1">IF(N(A317)&gt;0,VLOOKUP(A317,Body!$A$4:$F$259,2,0),"")</f>
        <v/>
      </c>
    </row>
    <row r="318" spans="1:9">
      <c r="A318" s="58"/>
      <c r="B318" s="58" t="str">
        <f ca="1">Start.listina!O89</f>
        <v/>
      </c>
      <c r="C318" s="58" t="str">
        <f ca="1">Start.listina!P89</f>
        <v xml:space="preserve"> </v>
      </c>
      <c r="D318" s="58" t="str">
        <f ca="1">Start.listina!Q89</f>
        <v xml:space="preserve"> </v>
      </c>
      <c r="E318" s="58" t="str">
        <f ca="1">Start.listina!R89</f>
        <v xml:space="preserve"> </v>
      </c>
      <c r="F318" s="58"/>
      <c r="G318" s="542"/>
      <c r="H318" s="161"/>
      <c r="I318" s="161"/>
    </row>
    <row r="319" spans="1:9">
      <c r="A319" s="58"/>
      <c r="B319" s="58" t="str">
        <f ca="1">Start.listina!U89</f>
        <v/>
      </c>
      <c r="C319" s="58" t="str">
        <f ca="1">Start.listina!V89</f>
        <v xml:space="preserve"> </v>
      </c>
      <c r="D319" s="58" t="str">
        <f ca="1">Start.listina!W89</f>
        <v xml:space="preserve"> </v>
      </c>
      <c r="E319" s="58" t="str">
        <f ca="1">Start.listina!X89</f>
        <v xml:space="preserve"> </v>
      </c>
      <c r="F319" s="58"/>
      <c r="G319" s="542"/>
      <c r="H319" s="161"/>
      <c r="I319" s="161"/>
    </row>
    <row r="320" spans="1:9">
      <c r="A320" s="58"/>
      <c r="B320" s="58" t="str">
        <f ca="1">Start.listina!AA89</f>
        <v/>
      </c>
      <c r="C320" s="58" t="str">
        <f ca="1">Start.listina!AB89</f>
        <v xml:space="preserve"> </v>
      </c>
      <c r="D320" s="58" t="str">
        <f ca="1">Start.listina!AC89</f>
        <v xml:space="preserve"> </v>
      </c>
      <c r="E320" s="58" t="str">
        <f ca="1">Start.listina!AD89</f>
        <v xml:space="preserve"> </v>
      </c>
      <c r="F320" s="58"/>
      <c r="G320" s="542"/>
      <c r="H320" s="161"/>
      <c r="I320" s="161"/>
    </row>
    <row r="321" spans="1:9">
      <c r="A321" s="58">
        <f ca="1">Start.listina!AH90</f>
        <v>0</v>
      </c>
      <c r="B321" s="58" t="str">
        <f ca="1">Start.listina!I90</f>
        <v/>
      </c>
      <c r="C321" s="543" t="str">
        <f ca="1">Start.listina!J90</f>
        <v xml:space="preserve"> </v>
      </c>
      <c r="D321" s="58" t="str">
        <f ca="1">Start.listina!K90</f>
        <v xml:space="preserve"> </v>
      </c>
      <c r="E321" s="58" t="str">
        <f ca="1">Start.listina!L90</f>
        <v xml:space="preserve"> </v>
      </c>
      <c r="F321" s="58"/>
      <c r="G321" s="542" t="str">
        <f ca="1">IF(N(A321)&gt;0,VLOOKUP(A321,Body!$A$4:$F$259,5,0),"")</f>
        <v/>
      </c>
      <c r="H321" s="161" t="str">
        <f ca="1">IF(N(A321)&gt;0,VLOOKUP(A321,Body!$A$4:$F$259,6,0),"")</f>
        <v/>
      </c>
      <c r="I321" s="161" t="str">
        <f ca="1">IF(N(A321)&gt;0,VLOOKUP(A321,Body!$A$4:$F$259,2,0),"")</f>
        <v/>
      </c>
    </row>
    <row r="322" spans="1:9">
      <c r="A322" s="58"/>
      <c r="B322" s="58" t="str">
        <f ca="1">Start.listina!O90</f>
        <v/>
      </c>
      <c r="C322" s="58" t="str">
        <f ca="1">Start.listina!P90</f>
        <v xml:space="preserve"> </v>
      </c>
      <c r="D322" s="58" t="str">
        <f ca="1">Start.listina!Q90</f>
        <v xml:space="preserve"> </v>
      </c>
      <c r="E322" s="58" t="str">
        <f ca="1">Start.listina!R90</f>
        <v xml:space="preserve"> </v>
      </c>
      <c r="F322" s="58"/>
      <c r="G322" s="542"/>
      <c r="H322" s="161"/>
      <c r="I322" s="161"/>
    </row>
    <row r="323" spans="1:9">
      <c r="A323" s="58"/>
      <c r="B323" s="58" t="str">
        <f ca="1">Start.listina!U90</f>
        <v/>
      </c>
      <c r="C323" s="58" t="str">
        <f ca="1">Start.listina!V90</f>
        <v xml:space="preserve"> </v>
      </c>
      <c r="D323" s="58" t="str">
        <f ca="1">Start.listina!W90</f>
        <v xml:space="preserve"> </v>
      </c>
      <c r="E323" s="58" t="str">
        <f ca="1">Start.listina!X90</f>
        <v xml:space="preserve"> </v>
      </c>
      <c r="F323" s="58"/>
      <c r="G323" s="542"/>
      <c r="H323" s="161"/>
      <c r="I323" s="161"/>
    </row>
    <row r="324" spans="1:9">
      <c r="A324" s="58"/>
      <c r="B324" s="58" t="str">
        <f ca="1">Start.listina!AA90</f>
        <v/>
      </c>
      <c r="C324" s="58" t="str">
        <f ca="1">Start.listina!AB90</f>
        <v xml:space="preserve"> </v>
      </c>
      <c r="D324" s="58" t="str">
        <f ca="1">Start.listina!AC90</f>
        <v xml:space="preserve"> </v>
      </c>
      <c r="E324" s="58" t="str">
        <f ca="1">Start.listina!AD90</f>
        <v xml:space="preserve"> </v>
      </c>
      <c r="F324" s="58"/>
      <c r="G324" s="542"/>
      <c r="H324" s="161"/>
      <c r="I324" s="161"/>
    </row>
    <row r="325" spans="1:9">
      <c r="A325" s="58">
        <f ca="1">Start.listina!AH91</f>
        <v>0</v>
      </c>
      <c r="B325" s="58" t="str">
        <f ca="1">Start.listina!I91</f>
        <v/>
      </c>
      <c r="C325" s="543" t="str">
        <f ca="1">Start.listina!J91</f>
        <v xml:space="preserve"> </v>
      </c>
      <c r="D325" s="58" t="str">
        <f ca="1">Start.listina!K91</f>
        <v xml:space="preserve"> </v>
      </c>
      <c r="E325" s="58" t="str">
        <f ca="1">Start.listina!L91</f>
        <v xml:space="preserve"> </v>
      </c>
      <c r="F325" s="58"/>
      <c r="G325" s="542" t="str">
        <f ca="1">IF(N(A325)&gt;0,VLOOKUP(A325,Body!$A$4:$F$259,5,0),"")</f>
        <v/>
      </c>
      <c r="H325" s="161" t="str">
        <f ca="1">IF(N(A325)&gt;0,VLOOKUP(A325,Body!$A$4:$F$259,6,0),"")</f>
        <v/>
      </c>
      <c r="I325" s="161" t="str">
        <f ca="1">IF(N(A325)&gt;0,VLOOKUP(A325,Body!$A$4:$F$259,2,0),"")</f>
        <v/>
      </c>
    </row>
    <row r="326" spans="1:9">
      <c r="A326" s="58"/>
      <c r="B326" s="58" t="str">
        <f ca="1">Start.listina!O91</f>
        <v/>
      </c>
      <c r="C326" s="58" t="str">
        <f ca="1">Start.listina!P91</f>
        <v xml:space="preserve"> </v>
      </c>
      <c r="D326" s="58" t="str">
        <f ca="1">Start.listina!Q91</f>
        <v xml:space="preserve"> </v>
      </c>
      <c r="E326" s="58" t="str">
        <f ca="1">Start.listina!R91</f>
        <v xml:space="preserve"> </v>
      </c>
      <c r="F326" s="58"/>
      <c r="G326" s="542"/>
      <c r="H326" s="161"/>
      <c r="I326" s="161"/>
    </row>
    <row r="327" spans="1:9">
      <c r="A327" s="58"/>
      <c r="B327" s="58" t="str">
        <f ca="1">Start.listina!U91</f>
        <v/>
      </c>
      <c r="C327" s="58" t="str">
        <f ca="1">Start.listina!V91</f>
        <v xml:space="preserve"> </v>
      </c>
      <c r="D327" s="58" t="str">
        <f ca="1">Start.listina!W91</f>
        <v xml:space="preserve"> </v>
      </c>
      <c r="E327" s="58" t="str">
        <f ca="1">Start.listina!X91</f>
        <v xml:space="preserve"> </v>
      </c>
      <c r="F327" s="58"/>
      <c r="G327" s="542"/>
      <c r="H327" s="161"/>
      <c r="I327" s="161"/>
    </row>
    <row r="328" spans="1:9">
      <c r="A328" s="58"/>
      <c r="B328" s="58" t="str">
        <f ca="1">Start.listina!AA91</f>
        <v/>
      </c>
      <c r="C328" s="58" t="str">
        <f ca="1">Start.listina!AB91</f>
        <v xml:space="preserve"> </v>
      </c>
      <c r="D328" s="58" t="str">
        <f ca="1">Start.listina!AC91</f>
        <v xml:space="preserve"> </v>
      </c>
      <c r="E328" s="58" t="str">
        <f ca="1">Start.listina!AD91</f>
        <v xml:space="preserve"> </v>
      </c>
      <c r="F328" s="58"/>
      <c r="G328" s="542"/>
      <c r="H328" s="161"/>
      <c r="I328" s="161"/>
    </row>
    <row r="329" spans="1:9">
      <c r="A329" s="58">
        <f ca="1">Start.listina!AH92</f>
        <v>0</v>
      </c>
      <c r="B329" s="58" t="str">
        <f ca="1">Start.listina!I92</f>
        <v/>
      </c>
      <c r="C329" s="543" t="str">
        <f ca="1">Start.listina!J92</f>
        <v xml:space="preserve"> </v>
      </c>
      <c r="D329" s="58" t="str">
        <f ca="1">Start.listina!K92</f>
        <v xml:space="preserve"> </v>
      </c>
      <c r="E329" s="58" t="str">
        <f ca="1">Start.listina!L92</f>
        <v xml:space="preserve"> </v>
      </c>
      <c r="F329" s="58"/>
      <c r="G329" s="542" t="str">
        <f ca="1">IF(N(A329)&gt;0,VLOOKUP(A329,Body!$A$4:$F$259,5,0),"")</f>
        <v/>
      </c>
      <c r="H329" s="161" t="str">
        <f ca="1">IF(N(A329)&gt;0,VLOOKUP(A329,Body!$A$4:$F$259,6,0),"")</f>
        <v/>
      </c>
      <c r="I329" s="161" t="str">
        <f ca="1">IF(N(A329)&gt;0,VLOOKUP(A329,Body!$A$4:$F$259,2,0),"")</f>
        <v/>
      </c>
    </row>
    <row r="330" spans="1:9">
      <c r="A330" s="58"/>
      <c r="B330" s="58" t="str">
        <f ca="1">Start.listina!O92</f>
        <v/>
      </c>
      <c r="C330" s="58" t="str">
        <f ca="1">Start.listina!P92</f>
        <v xml:space="preserve"> </v>
      </c>
      <c r="D330" s="58" t="str">
        <f ca="1">Start.listina!Q92</f>
        <v xml:space="preserve"> </v>
      </c>
      <c r="E330" s="58" t="str">
        <f ca="1">Start.listina!R92</f>
        <v xml:space="preserve"> </v>
      </c>
      <c r="F330" s="58"/>
      <c r="G330" s="542"/>
      <c r="H330" s="161"/>
      <c r="I330" s="161"/>
    </row>
    <row r="331" spans="1:9">
      <c r="A331" s="58"/>
      <c r="B331" s="58" t="str">
        <f ca="1">Start.listina!U92</f>
        <v/>
      </c>
      <c r="C331" s="58" t="str">
        <f ca="1">Start.listina!V92</f>
        <v xml:space="preserve"> </v>
      </c>
      <c r="D331" s="58" t="str">
        <f ca="1">Start.listina!W92</f>
        <v xml:space="preserve"> </v>
      </c>
      <c r="E331" s="58" t="str">
        <f ca="1">Start.listina!X92</f>
        <v xml:space="preserve"> </v>
      </c>
      <c r="F331" s="58"/>
      <c r="G331" s="542"/>
      <c r="H331" s="161"/>
      <c r="I331" s="161"/>
    </row>
    <row r="332" spans="1:9">
      <c r="A332" s="58"/>
      <c r="B332" s="58" t="str">
        <f ca="1">Start.listina!AA92</f>
        <v/>
      </c>
      <c r="C332" s="58" t="str">
        <f ca="1">Start.listina!AB92</f>
        <v xml:space="preserve"> </v>
      </c>
      <c r="D332" s="58" t="str">
        <f ca="1">Start.listina!AC92</f>
        <v xml:space="preserve"> </v>
      </c>
      <c r="E332" s="58" t="str">
        <f ca="1">Start.listina!AD92</f>
        <v xml:space="preserve"> </v>
      </c>
      <c r="F332" s="58"/>
      <c r="G332" s="542"/>
      <c r="H332" s="161"/>
      <c r="I332" s="161"/>
    </row>
    <row r="333" spans="1:9">
      <c r="A333" s="58">
        <f ca="1">Start.listina!AH93</f>
        <v>0</v>
      </c>
      <c r="B333" s="58" t="str">
        <f ca="1">Start.listina!I93</f>
        <v/>
      </c>
      <c r="C333" s="543" t="str">
        <f ca="1">Start.listina!J93</f>
        <v xml:space="preserve"> </v>
      </c>
      <c r="D333" s="58" t="str">
        <f ca="1">Start.listina!K93</f>
        <v xml:space="preserve"> </v>
      </c>
      <c r="E333" s="58" t="str">
        <f ca="1">Start.listina!L93</f>
        <v xml:space="preserve"> </v>
      </c>
      <c r="F333" s="58"/>
      <c r="G333" s="542" t="str">
        <f ca="1">IF(N(A333)&gt;0,VLOOKUP(A333,Body!$A$4:$F$259,5,0),"")</f>
        <v/>
      </c>
      <c r="H333" s="161" t="str">
        <f ca="1">IF(N(A333)&gt;0,VLOOKUP(A333,Body!$A$4:$F$259,6,0),"")</f>
        <v/>
      </c>
      <c r="I333" s="161" t="str">
        <f ca="1">IF(N(A333)&gt;0,VLOOKUP(A333,Body!$A$4:$F$259,2,0),"")</f>
        <v/>
      </c>
    </row>
    <row r="334" spans="1:9">
      <c r="A334" s="58"/>
      <c r="B334" s="58" t="str">
        <f ca="1">Start.listina!O93</f>
        <v/>
      </c>
      <c r="C334" s="58" t="str">
        <f ca="1">Start.listina!P93</f>
        <v xml:space="preserve"> </v>
      </c>
      <c r="D334" s="58" t="str">
        <f ca="1">Start.listina!Q93</f>
        <v xml:space="preserve"> </v>
      </c>
      <c r="E334" s="58" t="str">
        <f ca="1">Start.listina!R93</f>
        <v xml:space="preserve"> </v>
      </c>
      <c r="F334" s="58"/>
      <c r="G334" s="542"/>
      <c r="H334" s="161"/>
      <c r="I334" s="161"/>
    </row>
    <row r="335" spans="1:9">
      <c r="A335" s="58"/>
      <c r="B335" s="58" t="str">
        <f ca="1">Start.listina!U93</f>
        <v/>
      </c>
      <c r="C335" s="58" t="str">
        <f ca="1">Start.listina!V93</f>
        <v xml:space="preserve"> </v>
      </c>
      <c r="D335" s="58" t="str">
        <f ca="1">Start.listina!W93</f>
        <v xml:space="preserve"> </v>
      </c>
      <c r="E335" s="58" t="str">
        <f ca="1">Start.listina!X93</f>
        <v xml:space="preserve"> </v>
      </c>
      <c r="F335" s="58"/>
      <c r="G335" s="542"/>
      <c r="H335" s="161"/>
      <c r="I335" s="161"/>
    </row>
    <row r="336" spans="1:9">
      <c r="A336" s="58"/>
      <c r="B336" s="58" t="str">
        <f ca="1">Start.listina!AA93</f>
        <v/>
      </c>
      <c r="C336" s="58" t="str">
        <f ca="1">Start.listina!AB93</f>
        <v xml:space="preserve"> </v>
      </c>
      <c r="D336" s="58" t="str">
        <f ca="1">Start.listina!AC93</f>
        <v xml:space="preserve"> </v>
      </c>
      <c r="E336" s="58" t="str">
        <f ca="1">Start.listina!AD93</f>
        <v xml:space="preserve"> </v>
      </c>
      <c r="F336" s="58"/>
      <c r="G336" s="542"/>
      <c r="H336" s="161"/>
      <c r="I336" s="161"/>
    </row>
    <row r="337" spans="1:9">
      <c r="A337" s="58">
        <f ca="1">Start.listina!AH94</f>
        <v>0</v>
      </c>
      <c r="B337" s="58" t="str">
        <f ca="1">Start.listina!I94</f>
        <v/>
      </c>
      <c r="C337" s="543" t="str">
        <f ca="1">Start.listina!J94</f>
        <v xml:space="preserve"> </v>
      </c>
      <c r="D337" s="58" t="str">
        <f ca="1">Start.listina!K94</f>
        <v xml:space="preserve"> </v>
      </c>
      <c r="E337" s="58" t="str">
        <f ca="1">Start.listina!L94</f>
        <v xml:space="preserve"> </v>
      </c>
      <c r="F337" s="58"/>
      <c r="G337" s="542" t="str">
        <f ca="1">IF(N(A337)&gt;0,VLOOKUP(A337,Body!$A$4:$F$259,5,0),"")</f>
        <v/>
      </c>
      <c r="H337" s="161" t="str">
        <f ca="1">IF(N(A337)&gt;0,VLOOKUP(A337,Body!$A$4:$F$259,6,0),"")</f>
        <v/>
      </c>
      <c r="I337" s="161" t="str">
        <f ca="1">IF(N(A337)&gt;0,VLOOKUP(A337,Body!$A$4:$F$259,2,0),"")</f>
        <v/>
      </c>
    </row>
    <row r="338" spans="1:9">
      <c r="A338" s="58"/>
      <c r="B338" s="58" t="str">
        <f ca="1">Start.listina!O94</f>
        <v/>
      </c>
      <c r="C338" s="58" t="str">
        <f ca="1">Start.listina!P94</f>
        <v xml:space="preserve"> </v>
      </c>
      <c r="D338" s="58" t="str">
        <f ca="1">Start.listina!Q94</f>
        <v xml:space="preserve"> </v>
      </c>
      <c r="E338" s="58" t="str">
        <f ca="1">Start.listina!R94</f>
        <v xml:space="preserve"> </v>
      </c>
      <c r="F338" s="58"/>
      <c r="G338" s="542"/>
      <c r="H338" s="161"/>
      <c r="I338" s="161"/>
    </row>
    <row r="339" spans="1:9">
      <c r="A339" s="58"/>
      <c r="B339" s="58" t="str">
        <f ca="1">Start.listina!U94</f>
        <v/>
      </c>
      <c r="C339" s="58" t="str">
        <f ca="1">Start.listina!V94</f>
        <v xml:space="preserve"> </v>
      </c>
      <c r="D339" s="58" t="str">
        <f ca="1">Start.listina!W94</f>
        <v xml:space="preserve"> </v>
      </c>
      <c r="E339" s="58" t="str">
        <f ca="1">Start.listina!X94</f>
        <v xml:space="preserve"> </v>
      </c>
      <c r="F339" s="58"/>
      <c r="G339" s="542"/>
      <c r="H339" s="161"/>
      <c r="I339" s="161"/>
    </row>
    <row r="340" spans="1:9">
      <c r="A340" s="58"/>
      <c r="B340" s="58" t="str">
        <f ca="1">Start.listina!AA94</f>
        <v/>
      </c>
      <c r="C340" s="58" t="str">
        <f ca="1">Start.listina!AB94</f>
        <v xml:space="preserve"> </v>
      </c>
      <c r="D340" s="58" t="str">
        <f ca="1">Start.listina!AC94</f>
        <v xml:space="preserve"> </v>
      </c>
      <c r="E340" s="58" t="str">
        <f ca="1">Start.listina!AD94</f>
        <v xml:space="preserve"> </v>
      </c>
      <c r="F340" s="58"/>
      <c r="G340" s="542"/>
      <c r="H340" s="161"/>
      <c r="I340" s="161"/>
    </row>
    <row r="341" spans="1:9">
      <c r="A341" s="58">
        <f ca="1">Start.listina!AH95</f>
        <v>0</v>
      </c>
      <c r="B341" s="58" t="str">
        <f ca="1">Start.listina!I95</f>
        <v/>
      </c>
      <c r="C341" s="543" t="str">
        <f ca="1">Start.listina!J95</f>
        <v xml:space="preserve"> </v>
      </c>
      <c r="D341" s="58" t="str">
        <f ca="1">Start.listina!K95</f>
        <v xml:space="preserve"> </v>
      </c>
      <c r="E341" s="58" t="str">
        <f ca="1">Start.listina!L95</f>
        <v xml:space="preserve"> </v>
      </c>
      <c r="F341" s="58"/>
      <c r="G341" s="542" t="str">
        <f ca="1">IF(N(A341)&gt;0,VLOOKUP(A341,Body!$A$4:$F$259,5,0),"")</f>
        <v/>
      </c>
      <c r="H341" s="161" t="str">
        <f ca="1">IF(N(A341)&gt;0,VLOOKUP(A341,Body!$A$4:$F$259,6,0),"")</f>
        <v/>
      </c>
      <c r="I341" s="161" t="str">
        <f ca="1">IF(N(A341)&gt;0,VLOOKUP(A341,Body!$A$4:$F$259,2,0),"")</f>
        <v/>
      </c>
    </row>
    <row r="342" spans="1:9">
      <c r="A342" s="58"/>
      <c r="B342" s="58" t="str">
        <f ca="1">Start.listina!O95</f>
        <v/>
      </c>
      <c r="C342" s="58" t="str">
        <f ca="1">Start.listina!P95</f>
        <v xml:space="preserve"> </v>
      </c>
      <c r="D342" s="58" t="str">
        <f ca="1">Start.listina!Q95</f>
        <v xml:space="preserve"> </v>
      </c>
      <c r="E342" s="58" t="str">
        <f ca="1">Start.listina!R95</f>
        <v xml:space="preserve"> </v>
      </c>
      <c r="F342" s="58"/>
      <c r="G342" s="542"/>
      <c r="H342" s="161"/>
      <c r="I342" s="161"/>
    </row>
    <row r="343" spans="1:9">
      <c r="A343" s="58"/>
      <c r="B343" s="58" t="str">
        <f ca="1">Start.listina!U95</f>
        <v/>
      </c>
      <c r="C343" s="58" t="str">
        <f ca="1">Start.listina!V95</f>
        <v xml:space="preserve"> </v>
      </c>
      <c r="D343" s="58" t="str">
        <f ca="1">Start.listina!W95</f>
        <v xml:space="preserve"> </v>
      </c>
      <c r="E343" s="58" t="str">
        <f ca="1">Start.listina!X95</f>
        <v xml:space="preserve"> </v>
      </c>
      <c r="F343" s="58"/>
      <c r="G343" s="542"/>
      <c r="H343" s="161"/>
      <c r="I343" s="161"/>
    </row>
    <row r="344" spans="1:9">
      <c r="A344" s="58"/>
      <c r="B344" s="58" t="str">
        <f ca="1">Start.listina!AA95</f>
        <v/>
      </c>
      <c r="C344" s="58" t="str">
        <f ca="1">Start.listina!AB95</f>
        <v xml:space="preserve"> </v>
      </c>
      <c r="D344" s="58" t="str">
        <f ca="1">Start.listina!AC95</f>
        <v xml:space="preserve"> </v>
      </c>
      <c r="E344" s="58" t="str">
        <f ca="1">Start.listina!AD95</f>
        <v xml:space="preserve"> </v>
      </c>
      <c r="F344" s="58"/>
      <c r="G344" s="542"/>
      <c r="H344" s="161"/>
      <c r="I344" s="161"/>
    </row>
    <row r="345" spans="1:9">
      <c r="A345" s="58">
        <f ca="1">Start.listina!AH96</f>
        <v>0</v>
      </c>
      <c r="B345" s="58" t="str">
        <f ca="1">Start.listina!I96</f>
        <v/>
      </c>
      <c r="C345" s="543" t="str">
        <f ca="1">Start.listina!J96</f>
        <v xml:space="preserve"> </v>
      </c>
      <c r="D345" s="58" t="str">
        <f ca="1">Start.listina!K96</f>
        <v xml:space="preserve"> </v>
      </c>
      <c r="E345" s="58" t="str">
        <f ca="1">Start.listina!L96</f>
        <v xml:space="preserve"> </v>
      </c>
      <c r="F345" s="58"/>
      <c r="G345" s="542" t="str">
        <f ca="1">IF(N(A345)&gt;0,VLOOKUP(A345,Body!$A$4:$F$259,5,0),"")</f>
        <v/>
      </c>
      <c r="H345" s="161" t="str">
        <f ca="1">IF(N(A345)&gt;0,VLOOKUP(A345,Body!$A$4:$F$259,6,0),"")</f>
        <v/>
      </c>
      <c r="I345" s="161" t="str">
        <f ca="1">IF(N(A345)&gt;0,VLOOKUP(A345,Body!$A$4:$F$259,2,0),"")</f>
        <v/>
      </c>
    </row>
    <row r="346" spans="1:9">
      <c r="A346" s="58"/>
      <c r="B346" s="58" t="str">
        <f ca="1">Start.listina!O96</f>
        <v/>
      </c>
      <c r="C346" s="58" t="str">
        <f ca="1">Start.listina!P96</f>
        <v xml:space="preserve"> </v>
      </c>
      <c r="D346" s="58" t="str">
        <f ca="1">Start.listina!Q96</f>
        <v xml:space="preserve"> </v>
      </c>
      <c r="E346" s="58" t="str">
        <f ca="1">Start.listina!R96</f>
        <v xml:space="preserve"> </v>
      </c>
      <c r="F346" s="58"/>
      <c r="G346" s="542"/>
      <c r="H346" s="161"/>
      <c r="I346" s="161"/>
    </row>
    <row r="347" spans="1:9">
      <c r="A347" s="58"/>
      <c r="B347" s="58" t="str">
        <f ca="1">Start.listina!U96</f>
        <v/>
      </c>
      <c r="C347" s="58" t="str">
        <f ca="1">Start.listina!V96</f>
        <v xml:space="preserve"> </v>
      </c>
      <c r="D347" s="58" t="str">
        <f ca="1">Start.listina!W96</f>
        <v xml:space="preserve"> </v>
      </c>
      <c r="E347" s="58" t="str">
        <f ca="1">Start.listina!X96</f>
        <v xml:space="preserve"> </v>
      </c>
      <c r="F347" s="58"/>
      <c r="G347" s="542"/>
      <c r="H347" s="161"/>
      <c r="I347" s="161"/>
    </row>
    <row r="348" spans="1:9">
      <c r="A348" s="58"/>
      <c r="B348" s="58" t="str">
        <f ca="1">Start.listina!AA96</f>
        <v/>
      </c>
      <c r="C348" s="58" t="str">
        <f ca="1">Start.listina!AB96</f>
        <v xml:space="preserve"> </v>
      </c>
      <c r="D348" s="58" t="str">
        <f ca="1">Start.listina!AC96</f>
        <v xml:space="preserve"> </v>
      </c>
      <c r="E348" s="58" t="str">
        <f ca="1">Start.listina!AD96</f>
        <v xml:space="preserve"> </v>
      </c>
      <c r="F348" s="58"/>
      <c r="G348" s="542"/>
      <c r="H348" s="161"/>
      <c r="I348" s="161"/>
    </row>
    <row r="349" spans="1:9">
      <c r="A349" s="58">
        <f ca="1">Start.listina!AH97</f>
        <v>0</v>
      </c>
      <c r="B349" s="58" t="str">
        <f ca="1">Start.listina!I97</f>
        <v/>
      </c>
      <c r="C349" s="543" t="str">
        <f ca="1">Start.listina!J97</f>
        <v xml:space="preserve"> </v>
      </c>
      <c r="D349" s="58" t="str">
        <f ca="1">Start.listina!K97</f>
        <v xml:space="preserve"> </v>
      </c>
      <c r="E349" s="58" t="str">
        <f ca="1">Start.listina!L97</f>
        <v xml:space="preserve"> </v>
      </c>
      <c r="F349" s="58"/>
      <c r="G349" s="542" t="str">
        <f ca="1">IF(N(A349)&gt;0,VLOOKUP(A349,Body!$A$4:$F$259,5,0),"")</f>
        <v/>
      </c>
      <c r="H349" s="161" t="str">
        <f ca="1">IF(N(A349)&gt;0,VLOOKUP(A349,Body!$A$4:$F$259,6,0),"")</f>
        <v/>
      </c>
      <c r="I349" s="161" t="str">
        <f ca="1">IF(N(A349)&gt;0,VLOOKUP(A349,Body!$A$4:$F$259,2,0),"")</f>
        <v/>
      </c>
    </row>
    <row r="350" spans="1:9">
      <c r="A350" s="58"/>
      <c r="B350" s="58" t="str">
        <f ca="1">Start.listina!O97</f>
        <v/>
      </c>
      <c r="C350" s="58" t="str">
        <f ca="1">Start.listina!P97</f>
        <v xml:space="preserve"> </v>
      </c>
      <c r="D350" s="58" t="str">
        <f ca="1">Start.listina!Q97</f>
        <v xml:space="preserve"> </v>
      </c>
      <c r="E350" s="58" t="str">
        <f ca="1">Start.listina!R97</f>
        <v xml:space="preserve"> </v>
      </c>
      <c r="F350" s="58"/>
      <c r="G350" s="542"/>
      <c r="H350" s="161"/>
      <c r="I350" s="161"/>
    </row>
    <row r="351" spans="1:9">
      <c r="A351" s="58"/>
      <c r="B351" s="58" t="str">
        <f ca="1">Start.listina!U97</f>
        <v/>
      </c>
      <c r="C351" s="58" t="str">
        <f ca="1">Start.listina!V97</f>
        <v xml:space="preserve"> </v>
      </c>
      <c r="D351" s="58" t="str">
        <f ca="1">Start.listina!W97</f>
        <v xml:space="preserve"> </v>
      </c>
      <c r="E351" s="58" t="str">
        <f ca="1">Start.listina!X97</f>
        <v xml:space="preserve"> </v>
      </c>
      <c r="F351" s="58"/>
      <c r="G351" s="542"/>
      <c r="H351" s="161"/>
      <c r="I351" s="161"/>
    </row>
    <row r="352" spans="1:9">
      <c r="A352" s="58"/>
      <c r="B352" s="58" t="str">
        <f ca="1">Start.listina!AA97</f>
        <v/>
      </c>
      <c r="C352" s="58" t="str">
        <f ca="1">Start.listina!AB97</f>
        <v xml:space="preserve"> </v>
      </c>
      <c r="D352" s="58" t="str">
        <f ca="1">Start.listina!AC97</f>
        <v xml:space="preserve"> </v>
      </c>
      <c r="E352" s="58" t="str">
        <f ca="1">Start.listina!AD97</f>
        <v xml:space="preserve"> </v>
      </c>
      <c r="F352" s="58"/>
      <c r="G352" s="542"/>
      <c r="H352" s="161"/>
      <c r="I352" s="161"/>
    </row>
    <row r="353" spans="1:9">
      <c r="A353" s="58">
        <f ca="1">Start.listina!AH98</f>
        <v>0</v>
      </c>
      <c r="B353" s="58" t="str">
        <f ca="1">Start.listina!I98</f>
        <v/>
      </c>
      <c r="C353" s="543" t="str">
        <f ca="1">Start.listina!J98</f>
        <v xml:space="preserve"> </v>
      </c>
      <c r="D353" s="58" t="str">
        <f ca="1">Start.listina!K98</f>
        <v xml:space="preserve"> </v>
      </c>
      <c r="E353" s="58" t="str">
        <f ca="1">Start.listina!L98</f>
        <v xml:space="preserve"> </v>
      </c>
      <c r="F353" s="58"/>
      <c r="G353" s="542" t="str">
        <f ca="1">IF(N(A353)&gt;0,VLOOKUP(A353,Body!$A$4:$F$259,5,0),"")</f>
        <v/>
      </c>
      <c r="H353" s="161" t="str">
        <f ca="1">IF(N(A353)&gt;0,VLOOKUP(A353,Body!$A$4:$F$259,6,0),"")</f>
        <v/>
      </c>
      <c r="I353" s="161" t="str">
        <f ca="1">IF(N(A353)&gt;0,VLOOKUP(A353,Body!$A$4:$F$259,2,0),"")</f>
        <v/>
      </c>
    </row>
    <row r="354" spans="1:9">
      <c r="A354" s="58"/>
      <c r="B354" s="58" t="str">
        <f ca="1">Start.listina!O98</f>
        <v/>
      </c>
      <c r="C354" s="58" t="str">
        <f ca="1">Start.listina!P98</f>
        <v xml:space="preserve"> </v>
      </c>
      <c r="D354" s="58" t="str">
        <f ca="1">Start.listina!Q98</f>
        <v xml:space="preserve"> </v>
      </c>
      <c r="E354" s="58" t="str">
        <f ca="1">Start.listina!R98</f>
        <v xml:space="preserve"> </v>
      </c>
      <c r="F354" s="58"/>
      <c r="G354" s="542"/>
      <c r="H354" s="161"/>
      <c r="I354" s="161"/>
    </row>
    <row r="355" spans="1:9">
      <c r="A355" s="58"/>
      <c r="B355" s="58" t="str">
        <f ca="1">Start.listina!U98</f>
        <v/>
      </c>
      <c r="C355" s="58" t="str">
        <f ca="1">Start.listina!V98</f>
        <v xml:space="preserve"> </v>
      </c>
      <c r="D355" s="58" t="str">
        <f ca="1">Start.listina!W98</f>
        <v xml:space="preserve"> </v>
      </c>
      <c r="E355" s="58" t="str">
        <f ca="1">Start.listina!X98</f>
        <v xml:space="preserve"> </v>
      </c>
      <c r="F355" s="58"/>
      <c r="G355" s="542"/>
      <c r="H355" s="161"/>
      <c r="I355" s="161"/>
    </row>
    <row r="356" spans="1:9">
      <c r="A356" s="58"/>
      <c r="B356" s="58" t="str">
        <f ca="1">Start.listina!AA98</f>
        <v/>
      </c>
      <c r="C356" s="58" t="str">
        <f ca="1">Start.listina!AB98</f>
        <v xml:space="preserve"> </v>
      </c>
      <c r="D356" s="58" t="str">
        <f ca="1">Start.listina!AC98</f>
        <v xml:space="preserve"> </v>
      </c>
      <c r="E356" s="58" t="str">
        <f ca="1">Start.listina!AD98</f>
        <v xml:space="preserve"> </v>
      </c>
      <c r="F356" s="58"/>
      <c r="G356" s="542"/>
      <c r="H356" s="161"/>
      <c r="I356" s="161"/>
    </row>
    <row r="357" spans="1:9">
      <c r="A357" s="58">
        <f ca="1">Start.listina!AH99</f>
        <v>0</v>
      </c>
      <c r="B357" s="58" t="str">
        <f ca="1">Start.listina!I99</f>
        <v/>
      </c>
      <c r="C357" s="543" t="str">
        <f ca="1">Start.listina!J99</f>
        <v xml:space="preserve"> </v>
      </c>
      <c r="D357" s="58" t="str">
        <f ca="1">Start.listina!K99</f>
        <v xml:space="preserve"> </v>
      </c>
      <c r="E357" s="58" t="str">
        <f ca="1">Start.listina!L99</f>
        <v xml:space="preserve"> </v>
      </c>
      <c r="F357" s="58"/>
      <c r="G357" s="542" t="str">
        <f ca="1">IF(N(A357)&gt;0,VLOOKUP(A357,Body!$A$4:$F$259,5,0),"")</f>
        <v/>
      </c>
      <c r="H357" s="161" t="str">
        <f ca="1">IF(N(A357)&gt;0,VLOOKUP(A357,Body!$A$4:$F$259,6,0),"")</f>
        <v/>
      </c>
      <c r="I357" s="161" t="str">
        <f ca="1">IF(N(A357)&gt;0,VLOOKUP(A357,Body!$A$4:$F$259,2,0),"")</f>
        <v/>
      </c>
    </row>
    <row r="358" spans="1:9">
      <c r="A358" s="58"/>
      <c r="B358" s="58" t="str">
        <f ca="1">Start.listina!O99</f>
        <v/>
      </c>
      <c r="C358" s="58" t="str">
        <f ca="1">Start.listina!P99</f>
        <v xml:space="preserve"> </v>
      </c>
      <c r="D358" s="58" t="str">
        <f ca="1">Start.listina!Q99</f>
        <v xml:space="preserve"> </v>
      </c>
      <c r="E358" s="58" t="str">
        <f ca="1">Start.listina!R99</f>
        <v xml:space="preserve"> </v>
      </c>
      <c r="F358" s="58"/>
      <c r="G358" s="542"/>
      <c r="H358" s="161"/>
      <c r="I358" s="161"/>
    </row>
    <row r="359" spans="1:9">
      <c r="A359" s="58"/>
      <c r="B359" s="58" t="str">
        <f ca="1">Start.listina!U99</f>
        <v/>
      </c>
      <c r="C359" s="58" t="str">
        <f ca="1">Start.listina!V99</f>
        <v xml:space="preserve"> </v>
      </c>
      <c r="D359" s="58" t="str">
        <f ca="1">Start.listina!W99</f>
        <v xml:space="preserve"> </v>
      </c>
      <c r="E359" s="58" t="str">
        <f ca="1">Start.listina!X99</f>
        <v xml:space="preserve"> </v>
      </c>
      <c r="F359" s="58"/>
      <c r="G359" s="542"/>
      <c r="H359" s="161"/>
      <c r="I359" s="161"/>
    </row>
    <row r="360" spans="1:9">
      <c r="A360" s="58"/>
      <c r="B360" s="58" t="str">
        <f ca="1">Start.listina!AA99</f>
        <v/>
      </c>
      <c r="C360" s="58" t="str">
        <f ca="1">Start.listina!AB99</f>
        <v xml:space="preserve"> </v>
      </c>
      <c r="D360" s="58" t="str">
        <f ca="1">Start.listina!AC99</f>
        <v xml:space="preserve"> </v>
      </c>
      <c r="E360" s="58" t="str">
        <f ca="1">Start.listina!AD99</f>
        <v xml:space="preserve"> </v>
      </c>
      <c r="F360" s="58"/>
      <c r="G360" s="542"/>
      <c r="H360" s="161"/>
      <c r="I360" s="161"/>
    </row>
    <row r="361" spans="1:9">
      <c r="A361" s="58">
        <f ca="1">Start.listina!AH100</f>
        <v>0</v>
      </c>
      <c r="B361" s="58" t="str">
        <f ca="1">Start.listina!I100</f>
        <v/>
      </c>
      <c r="C361" s="543" t="str">
        <f ca="1">Start.listina!J100</f>
        <v xml:space="preserve"> </v>
      </c>
      <c r="D361" s="58" t="str">
        <f ca="1">Start.listina!K100</f>
        <v xml:space="preserve"> </v>
      </c>
      <c r="E361" s="58" t="str">
        <f ca="1">Start.listina!L100</f>
        <v xml:space="preserve"> </v>
      </c>
      <c r="F361" s="58"/>
      <c r="G361" s="542" t="str">
        <f ca="1">IF(N(A361)&gt;0,VLOOKUP(A361,Body!$A$4:$F$259,5,0),"")</f>
        <v/>
      </c>
      <c r="H361" s="161" t="str">
        <f ca="1">IF(N(A361)&gt;0,VLOOKUP(A361,Body!$A$4:$F$259,6,0),"")</f>
        <v/>
      </c>
      <c r="I361" s="161" t="str">
        <f ca="1">IF(N(A361)&gt;0,VLOOKUP(A361,Body!$A$4:$F$259,2,0),"")</f>
        <v/>
      </c>
    </row>
    <row r="362" spans="1:9">
      <c r="A362" s="58"/>
      <c r="B362" s="58" t="str">
        <f ca="1">Start.listina!O100</f>
        <v/>
      </c>
      <c r="C362" s="58" t="str">
        <f ca="1">Start.listina!P100</f>
        <v xml:space="preserve"> </v>
      </c>
      <c r="D362" s="58" t="str">
        <f ca="1">Start.listina!Q100</f>
        <v xml:space="preserve"> </v>
      </c>
      <c r="E362" s="58" t="str">
        <f ca="1">Start.listina!R100</f>
        <v xml:space="preserve"> </v>
      </c>
      <c r="F362" s="58"/>
      <c r="G362" s="542"/>
      <c r="H362" s="161"/>
      <c r="I362" s="161"/>
    </row>
    <row r="363" spans="1:9">
      <c r="A363" s="58"/>
      <c r="B363" s="58" t="str">
        <f ca="1">Start.listina!U100</f>
        <v/>
      </c>
      <c r="C363" s="58" t="str">
        <f ca="1">Start.listina!V100</f>
        <v xml:space="preserve"> </v>
      </c>
      <c r="D363" s="58" t="str">
        <f ca="1">Start.listina!W100</f>
        <v xml:space="preserve"> </v>
      </c>
      <c r="E363" s="58" t="str">
        <f ca="1">Start.listina!X100</f>
        <v xml:space="preserve"> </v>
      </c>
      <c r="F363" s="58"/>
      <c r="G363" s="542"/>
      <c r="H363" s="161"/>
      <c r="I363" s="161"/>
    </row>
    <row r="364" spans="1:9">
      <c r="A364" s="58"/>
      <c r="B364" s="58" t="str">
        <f ca="1">Start.listina!AA100</f>
        <v/>
      </c>
      <c r="C364" s="58" t="str">
        <f ca="1">Start.listina!AB100</f>
        <v xml:space="preserve"> </v>
      </c>
      <c r="D364" s="58" t="str">
        <f ca="1">Start.listina!AC100</f>
        <v xml:space="preserve"> </v>
      </c>
      <c r="E364" s="58" t="str">
        <f ca="1">Start.listina!AD100</f>
        <v xml:space="preserve"> </v>
      </c>
      <c r="F364" s="58"/>
      <c r="G364" s="542"/>
      <c r="H364" s="161"/>
      <c r="I364" s="161"/>
    </row>
    <row r="365" spans="1:9">
      <c r="A365" s="58">
        <f ca="1">Start.listina!AH101</f>
        <v>0</v>
      </c>
      <c r="B365" s="58" t="str">
        <f ca="1">Start.listina!I101</f>
        <v/>
      </c>
      <c r="C365" s="543" t="str">
        <f ca="1">Start.listina!J101</f>
        <v xml:space="preserve"> </v>
      </c>
      <c r="D365" s="58" t="str">
        <f ca="1">Start.listina!K101</f>
        <v xml:space="preserve"> </v>
      </c>
      <c r="E365" s="58" t="str">
        <f ca="1">Start.listina!L101</f>
        <v xml:space="preserve"> </v>
      </c>
      <c r="F365" s="58"/>
      <c r="G365" s="542" t="str">
        <f ca="1">IF(N(A365)&gt;0,VLOOKUP(A365,Body!$A$4:$F$259,5,0),"")</f>
        <v/>
      </c>
      <c r="H365" s="161" t="str">
        <f ca="1">IF(N(A365)&gt;0,VLOOKUP(A365,Body!$A$4:$F$259,6,0),"")</f>
        <v/>
      </c>
      <c r="I365" s="161" t="str">
        <f ca="1">IF(N(A365)&gt;0,VLOOKUP(A365,Body!$A$4:$F$259,2,0),"")</f>
        <v/>
      </c>
    </row>
    <row r="366" spans="1:9">
      <c r="A366" s="58"/>
      <c r="B366" s="58" t="str">
        <f ca="1">Start.listina!O101</f>
        <v/>
      </c>
      <c r="C366" s="58" t="str">
        <f ca="1">Start.listina!P101</f>
        <v xml:space="preserve"> </v>
      </c>
      <c r="D366" s="58" t="str">
        <f ca="1">Start.listina!Q101</f>
        <v xml:space="preserve"> </v>
      </c>
      <c r="E366" s="58" t="str">
        <f ca="1">Start.listina!R101</f>
        <v xml:space="preserve"> </v>
      </c>
      <c r="F366" s="58"/>
      <c r="G366" s="542"/>
      <c r="H366" s="161"/>
      <c r="I366" s="161"/>
    </row>
    <row r="367" spans="1:9">
      <c r="A367" s="58"/>
      <c r="B367" s="58" t="str">
        <f ca="1">Start.listina!U101</f>
        <v/>
      </c>
      <c r="C367" s="58" t="str">
        <f ca="1">Start.listina!V101</f>
        <v xml:space="preserve"> </v>
      </c>
      <c r="D367" s="58" t="str">
        <f ca="1">Start.listina!W101</f>
        <v xml:space="preserve"> </v>
      </c>
      <c r="E367" s="58" t="str">
        <f ca="1">Start.listina!X101</f>
        <v xml:space="preserve"> </v>
      </c>
      <c r="F367" s="58"/>
      <c r="G367" s="542"/>
      <c r="H367" s="161"/>
      <c r="I367" s="161"/>
    </row>
    <row r="368" spans="1:9">
      <c r="A368" s="58"/>
      <c r="B368" s="58" t="str">
        <f ca="1">Start.listina!AA101</f>
        <v/>
      </c>
      <c r="C368" s="58" t="str">
        <f ca="1">Start.listina!AB101</f>
        <v xml:space="preserve"> </v>
      </c>
      <c r="D368" s="58" t="str">
        <f ca="1">Start.listina!AC101</f>
        <v xml:space="preserve"> </v>
      </c>
      <c r="E368" s="58" t="str">
        <f ca="1">Start.listina!AD101</f>
        <v xml:space="preserve"> </v>
      </c>
      <c r="F368" s="58"/>
      <c r="G368" s="542"/>
      <c r="H368" s="161"/>
      <c r="I368" s="161"/>
    </row>
    <row r="369" spans="1:9">
      <c r="A369" s="58">
        <f ca="1">Start.listina!AH102</f>
        <v>0</v>
      </c>
      <c r="B369" s="58" t="str">
        <f ca="1">Start.listina!I102</f>
        <v/>
      </c>
      <c r="C369" s="543" t="str">
        <f ca="1">Start.listina!J102</f>
        <v xml:space="preserve"> </v>
      </c>
      <c r="D369" s="58" t="str">
        <f ca="1">Start.listina!K102</f>
        <v xml:space="preserve"> </v>
      </c>
      <c r="E369" s="58" t="str">
        <f ca="1">Start.listina!L102</f>
        <v xml:space="preserve"> </v>
      </c>
      <c r="F369" s="58"/>
      <c r="G369" s="542" t="str">
        <f ca="1">IF(N(A369)&gt;0,VLOOKUP(A369,Body!$A$4:$F$259,5,0),"")</f>
        <v/>
      </c>
      <c r="H369" s="161" t="str">
        <f ca="1">IF(N(A369)&gt;0,VLOOKUP(A369,Body!$A$4:$F$259,6,0),"")</f>
        <v/>
      </c>
      <c r="I369" s="161" t="str">
        <f ca="1">IF(N(A369)&gt;0,VLOOKUP(A369,Body!$A$4:$F$259,2,0),"")</f>
        <v/>
      </c>
    </row>
    <row r="370" spans="1:9">
      <c r="A370" s="58"/>
      <c r="B370" s="58" t="str">
        <f ca="1">Start.listina!O102</f>
        <v/>
      </c>
      <c r="C370" s="58" t="str">
        <f ca="1">Start.listina!P102</f>
        <v xml:space="preserve"> </v>
      </c>
      <c r="D370" s="58" t="str">
        <f ca="1">Start.listina!Q102</f>
        <v xml:space="preserve"> </v>
      </c>
      <c r="E370" s="58" t="str">
        <f ca="1">Start.listina!R102</f>
        <v xml:space="preserve"> </v>
      </c>
      <c r="F370" s="58"/>
      <c r="G370" s="542"/>
      <c r="H370" s="161"/>
      <c r="I370" s="161"/>
    </row>
    <row r="371" spans="1:9">
      <c r="A371" s="58"/>
      <c r="B371" s="58" t="str">
        <f ca="1">Start.listina!U102</f>
        <v/>
      </c>
      <c r="C371" s="58" t="str">
        <f ca="1">Start.listina!V102</f>
        <v xml:space="preserve"> </v>
      </c>
      <c r="D371" s="58" t="str">
        <f ca="1">Start.listina!W102</f>
        <v xml:space="preserve"> </v>
      </c>
      <c r="E371" s="58" t="str">
        <f ca="1">Start.listina!X102</f>
        <v xml:space="preserve"> </v>
      </c>
      <c r="F371" s="58"/>
      <c r="G371" s="542"/>
      <c r="H371" s="161"/>
      <c r="I371" s="161"/>
    </row>
    <row r="372" spans="1:9">
      <c r="A372" s="58"/>
      <c r="B372" s="58" t="str">
        <f ca="1">Start.listina!AA102</f>
        <v/>
      </c>
      <c r="C372" s="58" t="str">
        <f ca="1">Start.listina!AB102</f>
        <v xml:space="preserve"> </v>
      </c>
      <c r="D372" s="58" t="str">
        <f ca="1">Start.listina!AC102</f>
        <v xml:space="preserve"> </v>
      </c>
      <c r="E372" s="58" t="str">
        <f ca="1">Start.listina!AD102</f>
        <v xml:space="preserve"> </v>
      </c>
      <c r="F372" s="58"/>
      <c r="G372" s="542"/>
      <c r="H372" s="161"/>
      <c r="I372" s="161"/>
    </row>
    <row r="373" spans="1:9">
      <c r="A373" s="58">
        <f ca="1">Start.listina!AH103</f>
        <v>0</v>
      </c>
      <c r="B373" s="58" t="str">
        <f ca="1">Start.listina!I103</f>
        <v/>
      </c>
      <c r="C373" s="543" t="str">
        <f ca="1">Start.listina!J103</f>
        <v xml:space="preserve"> </v>
      </c>
      <c r="D373" s="58" t="str">
        <f ca="1">Start.listina!K103</f>
        <v xml:space="preserve"> </v>
      </c>
      <c r="E373" s="58" t="str">
        <f ca="1">Start.listina!L103</f>
        <v xml:space="preserve"> </v>
      </c>
      <c r="F373" s="58"/>
      <c r="G373" s="542" t="str">
        <f ca="1">IF(N(A373)&gt;0,VLOOKUP(A373,Body!$A$4:$F$259,5,0),"")</f>
        <v/>
      </c>
      <c r="H373" s="161" t="str">
        <f ca="1">IF(N(A373)&gt;0,VLOOKUP(A373,Body!$A$4:$F$259,6,0),"")</f>
        <v/>
      </c>
      <c r="I373" s="161" t="str">
        <f ca="1">IF(N(A373)&gt;0,VLOOKUP(A373,Body!$A$4:$F$259,2,0),"")</f>
        <v/>
      </c>
    </row>
    <row r="374" spans="1:9">
      <c r="A374" s="58"/>
      <c r="B374" s="58" t="str">
        <f ca="1">Start.listina!O103</f>
        <v/>
      </c>
      <c r="C374" s="58" t="str">
        <f ca="1">Start.listina!P103</f>
        <v xml:space="preserve"> </v>
      </c>
      <c r="D374" s="58" t="str">
        <f ca="1">Start.listina!Q103</f>
        <v xml:space="preserve"> </v>
      </c>
      <c r="E374" s="58" t="str">
        <f ca="1">Start.listina!R103</f>
        <v xml:space="preserve"> </v>
      </c>
      <c r="F374" s="58"/>
      <c r="G374" s="542"/>
      <c r="H374" s="161"/>
      <c r="I374" s="161"/>
    </row>
    <row r="375" spans="1:9">
      <c r="A375" s="58"/>
      <c r="B375" s="58" t="str">
        <f ca="1">Start.listina!U103</f>
        <v/>
      </c>
      <c r="C375" s="58" t="str">
        <f ca="1">Start.listina!V103</f>
        <v xml:space="preserve"> </v>
      </c>
      <c r="D375" s="58" t="str">
        <f ca="1">Start.listina!W103</f>
        <v xml:space="preserve"> </v>
      </c>
      <c r="E375" s="58" t="str">
        <f ca="1">Start.listina!X103</f>
        <v xml:space="preserve"> </v>
      </c>
      <c r="F375" s="58"/>
      <c r="G375" s="542"/>
      <c r="H375" s="161"/>
      <c r="I375" s="161"/>
    </row>
    <row r="376" spans="1:9">
      <c r="A376" s="58"/>
      <c r="B376" s="58" t="str">
        <f ca="1">Start.listina!AA103</f>
        <v/>
      </c>
      <c r="C376" s="58" t="str">
        <f ca="1">Start.listina!AB103</f>
        <v xml:space="preserve"> </v>
      </c>
      <c r="D376" s="58" t="str">
        <f ca="1">Start.listina!AC103</f>
        <v xml:space="preserve"> </v>
      </c>
      <c r="E376" s="58" t="str">
        <f ca="1">Start.listina!AD103</f>
        <v xml:space="preserve"> </v>
      </c>
      <c r="F376" s="58"/>
      <c r="G376" s="542"/>
      <c r="H376" s="161"/>
      <c r="I376" s="161"/>
    </row>
    <row r="377" spans="1:9">
      <c r="A377" s="58">
        <f ca="1">Start.listina!AH104</f>
        <v>0</v>
      </c>
      <c r="B377" s="58" t="str">
        <f ca="1">Start.listina!I104</f>
        <v/>
      </c>
      <c r="C377" s="543" t="str">
        <f ca="1">Start.listina!J104</f>
        <v xml:space="preserve"> </v>
      </c>
      <c r="D377" s="58" t="str">
        <f ca="1">Start.listina!K104</f>
        <v xml:space="preserve"> </v>
      </c>
      <c r="E377" s="58" t="str">
        <f ca="1">Start.listina!L104</f>
        <v xml:space="preserve"> </v>
      </c>
      <c r="F377" s="58"/>
      <c r="G377" s="542" t="str">
        <f ca="1">IF(N(A377)&gt;0,VLOOKUP(A377,Body!$A$4:$F$259,5,0),"")</f>
        <v/>
      </c>
      <c r="H377" s="161" t="str">
        <f ca="1">IF(N(A377)&gt;0,VLOOKUP(A377,Body!$A$4:$F$259,6,0),"")</f>
        <v/>
      </c>
      <c r="I377" s="161" t="str">
        <f ca="1">IF(N(A377)&gt;0,VLOOKUP(A377,Body!$A$4:$F$259,2,0),"")</f>
        <v/>
      </c>
    </row>
    <row r="378" spans="1:9">
      <c r="A378" s="58"/>
      <c r="B378" s="58" t="str">
        <f ca="1">Start.listina!O104</f>
        <v/>
      </c>
      <c r="C378" s="58" t="str">
        <f ca="1">Start.listina!P104</f>
        <v xml:space="preserve"> </v>
      </c>
      <c r="D378" s="58" t="str">
        <f ca="1">Start.listina!Q104</f>
        <v xml:space="preserve"> </v>
      </c>
      <c r="E378" s="58" t="str">
        <f ca="1">Start.listina!R104</f>
        <v xml:space="preserve"> </v>
      </c>
      <c r="F378" s="58"/>
      <c r="G378" s="542"/>
      <c r="H378" s="161"/>
      <c r="I378" s="161"/>
    </row>
    <row r="379" spans="1:9">
      <c r="A379" s="58"/>
      <c r="B379" s="58" t="str">
        <f ca="1">Start.listina!U104</f>
        <v/>
      </c>
      <c r="C379" s="58" t="str">
        <f ca="1">Start.listina!V104</f>
        <v xml:space="preserve"> </v>
      </c>
      <c r="D379" s="58" t="str">
        <f ca="1">Start.listina!W104</f>
        <v xml:space="preserve"> </v>
      </c>
      <c r="E379" s="58" t="str">
        <f ca="1">Start.listina!X104</f>
        <v xml:space="preserve"> </v>
      </c>
      <c r="F379" s="58"/>
      <c r="G379" s="542"/>
      <c r="H379" s="161"/>
      <c r="I379" s="161"/>
    </row>
    <row r="380" spans="1:9">
      <c r="A380" s="58"/>
      <c r="B380" s="58" t="str">
        <f ca="1">Start.listina!AA104</f>
        <v/>
      </c>
      <c r="C380" s="58" t="str">
        <f ca="1">Start.listina!AB104</f>
        <v xml:space="preserve"> </v>
      </c>
      <c r="D380" s="58" t="str">
        <f ca="1">Start.listina!AC104</f>
        <v xml:space="preserve"> </v>
      </c>
      <c r="E380" s="58" t="str">
        <f ca="1">Start.listina!AD104</f>
        <v xml:space="preserve"> </v>
      </c>
      <c r="F380" s="58"/>
      <c r="G380" s="542"/>
      <c r="H380" s="161"/>
      <c r="I380" s="161"/>
    </row>
    <row r="381" spans="1:9">
      <c r="A381" s="58">
        <f ca="1">Start.listina!AH105</f>
        <v>0</v>
      </c>
      <c r="B381" s="58" t="str">
        <f ca="1">Start.listina!I105</f>
        <v/>
      </c>
      <c r="C381" s="543" t="str">
        <f ca="1">Start.listina!J105</f>
        <v xml:space="preserve"> </v>
      </c>
      <c r="D381" s="58" t="str">
        <f ca="1">Start.listina!K105</f>
        <v xml:space="preserve"> </v>
      </c>
      <c r="E381" s="58" t="str">
        <f ca="1">Start.listina!L105</f>
        <v xml:space="preserve"> </v>
      </c>
      <c r="F381" s="58"/>
      <c r="G381" s="542" t="str">
        <f ca="1">IF(N(A381)&gt;0,VLOOKUP(A381,Body!$A$4:$F$259,5,0),"")</f>
        <v/>
      </c>
      <c r="H381" s="161" t="str">
        <f ca="1">IF(N(A381)&gt;0,VLOOKUP(A381,Body!$A$4:$F$259,6,0),"")</f>
        <v/>
      </c>
      <c r="I381" s="161" t="str">
        <f ca="1">IF(N(A381)&gt;0,VLOOKUP(A381,Body!$A$4:$F$259,2,0),"")</f>
        <v/>
      </c>
    </row>
    <row r="382" spans="1:9">
      <c r="A382" s="58"/>
      <c r="B382" s="58" t="str">
        <f ca="1">Start.listina!O105</f>
        <v/>
      </c>
      <c r="C382" s="58" t="str">
        <f ca="1">Start.listina!P105</f>
        <v xml:space="preserve"> </v>
      </c>
      <c r="D382" s="58" t="str">
        <f ca="1">Start.listina!Q105</f>
        <v xml:space="preserve"> </v>
      </c>
      <c r="E382" s="58" t="str">
        <f ca="1">Start.listina!R105</f>
        <v xml:space="preserve"> </v>
      </c>
      <c r="F382" s="58"/>
      <c r="G382" s="542"/>
      <c r="H382" s="161"/>
      <c r="I382" s="161"/>
    </row>
    <row r="383" spans="1:9">
      <c r="A383" s="58"/>
      <c r="B383" s="58" t="str">
        <f ca="1">Start.listina!U105</f>
        <v/>
      </c>
      <c r="C383" s="58" t="str">
        <f ca="1">Start.listina!V105</f>
        <v xml:space="preserve"> </v>
      </c>
      <c r="D383" s="58" t="str">
        <f ca="1">Start.listina!W105</f>
        <v xml:space="preserve"> </v>
      </c>
      <c r="E383" s="58" t="str">
        <f ca="1">Start.listina!X105</f>
        <v xml:space="preserve"> </v>
      </c>
      <c r="F383" s="58"/>
      <c r="G383" s="542"/>
      <c r="H383" s="161"/>
      <c r="I383" s="161"/>
    </row>
    <row r="384" spans="1:9">
      <c r="A384" s="58"/>
      <c r="B384" s="58" t="str">
        <f ca="1">Start.listina!AA105</f>
        <v/>
      </c>
      <c r="C384" s="58" t="str">
        <f ca="1">Start.listina!AB105</f>
        <v xml:space="preserve"> </v>
      </c>
      <c r="D384" s="58" t="str">
        <f ca="1">Start.listina!AC105</f>
        <v xml:space="preserve"> </v>
      </c>
      <c r="E384" s="58" t="str">
        <f ca="1">Start.listina!AD105</f>
        <v xml:space="preserve"> </v>
      </c>
      <c r="F384" s="58"/>
      <c r="G384" s="542"/>
      <c r="H384" s="161"/>
      <c r="I384" s="161"/>
    </row>
    <row r="385" spans="1:9">
      <c r="A385" s="58">
        <f ca="1">Start.listina!AH106</f>
        <v>0</v>
      </c>
      <c r="B385" s="58" t="str">
        <f ca="1">Start.listina!I106</f>
        <v/>
      </c>
      <c r="C385" s="543" t="str">
        <f ca="1">Start.listina!J106</f>
        <v xml:space="preserve"> </v>
      </c>
      <c r="D385" s="58" t="str">
        <f ca="1">Start.listina!K106</f>
        <v xml:space="preserve"> </v>
      </c>
      <c r="E385" s="58" t="str">
        <f ca="1">Start.listina!L106</f>
        <v xml:space="preserve"> </v>
      </c>
      <c r="F385" s="58"/>
      <c r="G385" s="542" t="str">
        <f ca="1">IF(N(A385)&gt;0,VLOOKUP(A385,Body!$A$4:$F$259,5,0),"")</f>
        <v/>
      </c>
      <c r="H385" s="161" t="str">
        <f ca="1">IF(N(A385)&gt;0,VLOOKUP(A385,Body!$A$4:$F$259,6,0),"")</f>
        <v/>
      </c>
      <c r="I385" s="161" t="str">
        <f ca="1">IF(N(A385)&gt;0,VLOOKUP(A385,Body!$A$4:$F$259,2,0),"")</f>
        <v/>
      </c>
    </row>
    <row r="386" spans="1:9">
      <c r="A386" s="58"/>
      <c r="B386" s="58" t="str">
        <f ca="1">Start.listina!O106</f>
        <v/>
      </c>
      <c r="C386" s="58" t="str">
        <f ca="1">Start.listina!P106</f>
        <v xml:space="preserve"> </v>
      </c>
      <c r="D386" s="58" t="str">
        <f ca="1">Start.listina!Q106</f>
        <v xml:space="preserve"> </v>
      </c>
      <c r="E386" s="58" t="str">
        <f ca="1">Start.listina!R106</f>
        <v xml:space="preserve"> </v>
      </c>
      <c r="F386" s="58"/>
      <c r="G386" s="542"/>
      <c r="H386" s="161"/>
      <c r="I386" s="161"/>
    </row>
    <row r="387" spans="1:9">
      <c r="A387" s="58"/>
      <c r="B387" s="58" t="str">
        <f ca="1">Start.listina!U106</f>
        <v/>
      </c>
      <c r="C387" s="58" t="str">
        <f ca="1">Start.listina!V106</f>
        <v xml:space="preserve"> </v>
      </c>
      <c r="D387" s="58" t="str">
        <f ca="1">Start.listina!W106</f>
        <v xml:space="preserve"> </v>
      </c>
      <c r="E387" s="58" t="str">
        <f ca="1">Start.listina!X106</f>
        <v xml:space="preserve"> </v>
      </c>
      <c r="F387" s="58"/>
      <c r="G387" s="542"/>
      <c r="H387" s="161"/>
      <c r="I387" s="161"/>
    </row>
    <row r="388" spans="1:9">
      <c r="A388" s="58"/>
      <c r="B388" s="58" t="str">
        <f ca="1">Start.listina!AA106</f>
        <v/>
      </c>
      <c r="C388" s="58" t="str">
        <f ca="1">Start.listina!AB106</f>
        <v xml:space="preserve"> </v>
      </c>
      <c r="D388" s="58" t="str">
        <f ca="1">Start.listina!AC106</f>
        <v xml:space="preserve"> </v>
      </c>
      <c r="E388" s="58" t="str">
        <f ca="1">Start.listina!AD106</f>
        <v xml:space="preserve"> </v>
      </c>
      <c r="F388" s="58"/>
      <c r="G388" s="542"/>
      <c r="H388" s="161"/>
      <c r="I388" s="161"/>
    </row>
    <row r="389" spans="1:9">
      <c r="A389" s="58">
        <f ca="1">Start.listina!AH107</f>
        <v>0</v>
      </c>
      <c r="B389" s="58" t="str">
        <f ca="1">Start.listina!I107</f>
        <v/>
      </c>
      <c r="C389" s="543" t="str">
        <f ca="1">Start.listina!J107</f>
        <v xml:space="preserve"> </v>
      </c>
      <c r="D389" s="58" t="str">
        <f ca="1">Start.listina!K107</f>
        <v xml:space="preserve"> </v>
      </c>
      <c r="E389" s="58" t="str">
        <f ca="1">Start.listina!L107</f>
        <v xml:space="preserve"> </v>
      </c>
      <c r="F389" s="58"/>
      <c r="G389" s="542" t="str">
        <f ca="1">IF(N(A389)&gt;0,VLOOKUP(A389,Body!$A$4:$F$259,5,0),"")</f>
        <v/>
      </c>
      <c r="H389" s="161" t="str">
        <f ca="1">IF(N(A389)&gt;0,VLOOKUP(A389,Body!$A$4:$F$259,6,0),"")</f>
        <v/>
      </c>
      <c r="I389" s="161" t="str">
        <f ca="1">IF(N(A389)&gt;0,VLOOKUP(A389,Body!$A$4:$F$259,2,0),"")</f>
        <v/>
      </c>
    </row>
    <row r="390" spans="1:9">
      <c r="A390" s="58"/>
      <c r="B390" s="58" t="str">
        <f ca="1">Start.listina!O107</f>
        <v/>
      </c>
      <c r="C390" s="58" t="str">
        <f ca="1">Start.listina!P107</f>
        <v xml:space="preserve"> </v>
      </c>
      <c r="D390" s="58" t="str">
        <f ca="1">Start.listina!Q107</f>
        <v xml:space="preserve"> </v>
      </c>
      <c r="E390" s="58" t="str">
        <f ca="1">Start.listina!R107</f>
        <v xml:space="preserve"> </v>
      </c>
      <c r="F390" s="58"/>
      <c r="G390" s="542"/>
      <c r="H390" s="161"/>
      <c r="I390" s="161"/>
    </row>
    <row r="391" spans="1:9">
      <c r="A391" s="58"/>
      <c r="B391" s="58" t="str">
        <f ca="1">Start.listina!U107</f>
        <v/>
      </c>
      <c r="C391" s="58" t="str">
        <f ca="1">Start.listina!V107</f>
        <v xml:space="preserve"> </v>
      </c>
      <c r="D391" s="58" t="str">
        <f ca="1">Start.listina!W107</f>
        <v xml:space="preserve"> </v>
      </c>
      <c r="E391" s="58" t="str">
        <f ca="1">Start.listina!X107</f>
        <v xml:space="preserve"> </v>
      </c>
      <c r="F391" s="58"/>
      <c r="G391" s="542"/>
      <c r="H391" s="161"/>
      <c r="I391" s="161"/>
    </row>
    <row r="392" spans="1:9">
      <c r="A392" s="58"/>
      <c r="B392" s="58" t="str">
        <f ca="1">Start.listina!AA107</f>
        <v/>
      </c>
      <c r="C392" s="58" t="str">
        <f ca="1">Start.listina!AB107</f>
        <v xml:space="preserve"> </v>
      </c>
      <c r="D392" s="58" t="str">
        <f ca="1">Start.listina!AC107</f>
        <v xml:space="preserve"> </v>
      </c>
      <c r="E392" s="58" t="str">
        <f ca="1">Start.listina!AD107</f>
        <v xml:space="preserve"> </v>
      </c>
      <c r="F392" s="58"/>
      <c r="G392" s="542"/>
      <c r="H392" s="161"/>
      <c r="I392" s="161"/>
    </row>
    <row r="393" spans="1:9">
      <c r="A393" s="58">
        <f ca="1">Start.listina!AH108</f>
        <v>0</v>
      </c>
      <c r="B393" s="58" t="str">
        <f ca="1">Start.listina!I108</f>
        <v/>
      </c>
      <c r="C393" s="543" t="str">
        <f ca="1">Start.listina!J108</f>
        <v xml:space="preserve"> </v>
      </c>
      <c r="D393" s="58" t="str">
        <f ca="1">Start.listina!K108</f>
        <v xml:space="preserve"> </v>
      </c>
      <c r="E393" s="58" t="str">
        <f ca="1">Start.listina!L108</f>
        <v xml:space="preserve"> </v>
      </c>
      <c r="F393" s="58"/>
      <c r="G393" s="542" t="str">
        <f ca="1">IF(N(A393)&gt;0,VLOOKUP(A393,Body!$A$4:$F$259,5,0),"")</f>
        <v/>
      </c>
      <c r="H393" s="161" t="str">
        <f ca="1">IF(N(A393)&gt;0,VLOOKUP(A393,Body!$A$4:$F$259,6,0),"")</f>
        <v/>
      </c>
      <c r="I393" s="161" t="str">
        <f ca="1">IF(N(A393)&gt;0,VLOOKUP(A393,Body!$A$4:$F$259,2,0),"")</f>
        <v/>
      </c>
    </row>
    <row r="394" spans="1:9">
      <c r="A394" s="58"/>
      <c r="B394" s="58" t="str">
        <f ca="1">Start.listina!O108</f>
        <v/>
      </c>
      <c r="C394" s="58" t="str">
        <f ca="1">Start.listina!P108</f>
        <v xml:space="preserve"> </v>
      </c>
      <c r="D394" s="58" t="str">
        <f ca="1">Start.listina!Q108</f>
        <v xml:space="preserve"> </v>
      </c>
      <c r="E394" s="58" t="str">
        <f ca="1">Start.listina!R108</f>
        <v xml:space="preserve"> </v>
      </c>
      <c r="F394" s="58"/>
      <c r="G394" s="542"/>
      <c r="H394" s="161"/>
      <c r="I394" s="161"/>
    </row>
    <row r="395" spans="1:9">
      <c r="A395" s="58"/>
      <c r="B395" s="58" t="str">
        <f ca="1">Start.listina!U108</f>
        <v/>
      </c>
      <c r="C395" s="58" t="str">
        <f ca="1">Start.listina!V108</f>
        <v xml:space="preserve"> </v>
      </c>
      <c r="D395" s="58" t="str">
        <f ca="1">Start.listina!W108</f>
        <v xml:space="preserve"> </v>
      </c>
      <c r="E395" s="58" t="str">
        <f ca="1">Start.listina!X108</f>
        <v xml:space="preserve"> </v>
      </c>
      <c r="F395" s="58"/>
      <c r="G395" s="542"/>
      <c r="H395" s="161"/>
      <c r="I395" s="161"/>
    </row>
    <row r="396" spans="1:9">
      <c r="A396" s="58"/>
      <c r="B396" s="58" t="str">
        <f ca="1">Start.listina!AA108</f>
        <v/>
      </c>
      <c r="C396" s="58" t="str">
        <f ca="1">Start.listina!AB108</f>
        <v xml:space="preserve"> </v>
      </c>
      <c r="D396" s="58" t="str">
        <f ca="1">Start.listina!AC108</f>
        <v xml:space="preserve"> </v>
      </c>
      <c r="E396" s="58" t="str">
        <f ca="1">Start.listina!AD108</f>
        <v xml:space="preserve"> </v>
      </c>
      <c r="F396" s="58"/>
      <c r="G396" s="542"/>
      <c r="H396" s="161"/>
      <c r="I396" s="161"/>
    </row>
    <row r="397" spans="1:9">
      <c r="A397" s="58">
        <f ca="1">Start.listina!AH109</f>
        <v>0</v>
      </c>
      <c r="B397" s="58" t="str">
        <f ca="1">Start.listina!I109</f>
        <v/>
      </c>
      <c r="C397" s="543" t="str">
        <f ca="1">Start.listina!J109</f>
        <v xml:space="preserve"> </v>
      </c>
      <c r="D397" s="58" t="str">
        <f ca="1">Start.listina!K109</f>
        <v xml:space="preserve"> </v>
      </c>
      <c r="E397" s="58" t="str">
        <f ca="1">Start.listina!L109</f>
        <v xml:space="preserve"> </v>
      </c>
      <c r="F397" s="58"/>
      <c r="G397" s="542" t="str">
        <f ca="1">IF(N(A397)&gt;0,VLOOKUP(A397,Body!$A$4:$F$259,5,0),"")</f>
        <v/>
      </c>
      <c r="H397" s="161" t="str">
        <f ca="1">IF(N(A397)&gt;0,VLOOKUP(A397,Body!$A$4:$F$259,6,0),"")</f>
        <v/>
      </c>
      <c r="I397" s="161" t="str">
        <f ca="1">IF(N(A397)&gt;0,VLOOKUP(A397,Body!$A$4:$F$259,2,0),"")</f>
        <v/>
      </c>
    </row>
    <row r="398" spans="1:9">
      <c r="A398" s="58"/>
      <c r="B398" s="58" t="str">
        <f ca="1">Start.listina!O109</f>
        <v/>
      </c>
      <c r="C398" s="58" t="str">
        <f ca="1">Start.listina!P109</f>
        <v xml:space="preserve"> </v>
      </c>
      <c r="D398" s="58" t="str">
        <f ca="1">Start.listina!Q109</f>
        <v xml:space="preserve"> </v>
      </c>
      <c r="E398" s="58" t="str">
        <f ca="1">Start.listina!R109</f>
        <v xml:space="preserve"> </v>
      </c>
      <c r="F398" s="58"/>
      <c r="G398" s="542"/>
      <c r="H398" s="161"/>
      <c r="I398" s="161"/>
    </row>
    <row r="399" spans="1:9">
      <c r="A399" s="58"/>
      <c r="B399" s="58" t="str">
        <f ca="1">Start.listina!U109</f>
        <v/>
      </c>
      <c r="C399" s="58" t="str">
        <f ca="1">Start.listina!V109</f>
        <v xml:space="preserve"> </v>
      </c>
      <c r="D399" s="58" t="str">
        <f ca="1">Start.listina!W109</f>
        <v xml:space="preserve"> </v>
      </c>
      <c r="E399" s="58" t="str">
        <f ca="1">Start.listina!X109</f>
        <v xml:space="preserve"> </v>
      </c>
      <c r="F399" s="58"/>
      <c r="G399" s="542"/>
      <c r="H399" s="161"/>
      <c r="I399" s="161"/>
    </row>
    <row r="400" spans="1:9">
      <c r="A400" s="58"/>
      <c r="B400" s="58" t="str">
        <f ca="1">Start.listina!AA109</f>
        <v/>
      </c>
      <c r="C400" s="58" t="str">
        <f ca="1">Start.listina!AB109</f>
        <v xml:space="preserve"> </v>
      </c>
      <c r="D400" s="58" t="str">
        <f ca="1">Start.listina!AC109</f>
        <v xml:space="preserve"> </v>
      </c>
      <c r="E400" s="58" t="str">
        <f ca="1">Start.listina!AD109</f>
        <v xml:space="preserve"> </v>
      </c>
      <c r="F400" s="58"/>
      <c r="G400" s="542"/>
      <c r="H400" s="161"/>
      <c r="I400" s="161"/>
    </row>
    <row r="401" spans="1:9">
      <c r="A401" s="58">
        <f ca="1">Start.listina!AH110</f>
        <v>0</v>
      </c>
      <c r="B401" s="58" t="str">
        <f ca="1">Start.listina!I110</f>
        <v/>
      </c>
      <c r="C401" s="543" t="str">
        <f ca="1">Start.listina!J110</f>
        <v xml:space="preserve"> </v>
      </c>
      <c r="D401" s="58" t="str">
        <f ca="1">Start.listina!K110</f>
        <v xml:space="preserve"> </v>
      </c>
      <c r="E401" s="58" t="str">
        <f ca="1">Start.listina!L110</f>
        <v xml:space="preserve"> </v>
      </c>
      <c r="F401" s="58"/>
      <c r="G401" s="542" t="str">
        <f ca="1">IF(N(A401)&gt;0,VLOOKUP(A401,Body!$A$4:$F$259,5,0),"")</f>
        <v/>
      </c>
      <c r="H401" s="161" t="str">
        <f ca="1">IF(N(A401)&gt;0,VLOOKUP(A401,Body!$A$4:$F$259,6,0),"")</f>
        <v/>
      </c>
      <c r="I401" s="161" t="str">
        <f ca="1">IF(N(A401)&gt;0,VLOOKUP(A401,Body!$A$4:$F$259,2,0),"")</f>
        <v/>
      </c>
    </row>
    <row r="402" spans="1:9">
      <c r="A402" s="58"/>
      <c r="B402" s="58" t="str">
        <f ca="1">Start.listina!O110</f>
        <v/>
      </c>
      <c r="C402" s="58" t="str">
        <f ca="1">Start.listina!P110</f>
        <v xml:space="preserve"> </v>
      </c>
      <c r="D402" s="58" t="str">
        <f ca="1">Start.listina!Q110</f>
        <v xml:space="preserve"> </v>
      </c>
      <c r="E402" s="58" t="str">
        <f ca="1">Start.listina!R110</f>
        <v xml:space="preserve"> </v>
      </c>
      <c r="F402" s="58"/>
      <c r="G402" s="542"/>
      <c r="H402" s="161"/>
      <c r="I402" s="161"/>
    </row>
    <row r="403" spans="1:9">
      <c r="A403" s="58"/>
      <c r="B403" s="58" t="str">
        <f ca="1">Start.listina!U110</f>
        <v/>
      </c>
      <c r="C403" s="58" t="str">
        <f ca="1">Start.listina!V110</f>
        <v xml:space="preserve"> </v>
      </c>
      <c r="D403" s="58" t="str">
        <f ca="1">Start.listina!W110</f>
        <v xml:space="preserve"> </v>
      </c>
      <c r="E403" s="58" t="str">
        <f ca="1">Start.listina!X110</f>
        <v xml:space="preserve"> </v>
      </c>
      <c r="F403" s="58"/>
      <c r="G403" s="542"/>
      <c r="H403" s="161"/>
      <c r="I403" s="161"/>
    </row>
    <row r="404" spans="1:9">
      <c r="A404" s="58"/>
      <c r="B404" s="58" t="str">
        <f ca="1">Start.listina!AA110</f>
        <v/>
      </c>
      <c r="C404" s="58" t="str">
        <f ca="1">Start.listina!AB110</f>
        <v xml:space="preserve"> </v>
      </c>
      <c r="D404" s="58" t="str">
        <f ca="1">Start.listina!AC110</f>
        <v xml:space="preserve"> </v>
      </c>
      <c r="E404" s="58" t="str">
        <f ca="1">Start.listina!AD110</f>
        <v xml:space="preserve"> </v>
      </c>
      <c r="F404" s="58"/>
      <c r="G404" s="542"/>
      <c r="H404" s="161"/>
      <c r="I404" s="161"/>
    </row>
    <row r="405" spans="1:9">
      <c r="A405" s="58">
        <f ca="1">Start.listina!AH111</f>
        <v>0</v>
      </c>
      <c r="B405" s="58" t="str">
        <f ca="1">Start.listina!I111</f>
        <v/>
      </c>
      <c r="C405" s="543" t="str">
        <f ca="1">Start.listina!J111</f>
        <v xml:space="preserve"> </v>
      </c>
      <c r="D405" s="58" t="str">
        <f ca="1">Start.listina!K111</f>
        <v xml:space="preserve"> </v>
      </c>
      <c r="E405" s="58" t="str">
        <f ca="1">Start.listina!L111</f>
        <v xml:space="preserve"> </v>
      </c>
      <c r="F405" s="58"/>
      <c r="G405" s="542" t="str">
        <f ca="1">IF(N(A405)&gt;0,VLOOKUP(A405,Body!$A$4:$F$259,5,0),"")</f>
        <v/>
      </c>
      <c r="H405" s="161" t="str">
        <f ca="1">IF(N(A405)&gt;0,VLOOKUP(A405,Body!$A$4:$F$259,6,0),"")</f>
        <v/>
      </c>
      <c r="I405" s="161" t="str">
        <f ca="1">IF(N(A405)&gt;0,VLOOKUP(A405,Body!$A$4:$F$259,2,0),"")</f>
        <v/>
      </c>
    </row>
    <row r="406" spans="1:9">
      <c r="A406" s="58"/>
      <c r="B406" s="58" t="str">
        <f ca="1">Start.listina!O111</f>
        <v/>
      </c>
      <c r="C406" s="58" t="str">
        <f ca="1">Start.listina!P111</f>
        <v xml:space="preserve"> </v>
      </c>
      <c r="D406" s="58" t="str">
        <f ca="1">Start.listina!Q111</f>
        <v xml:space="preserve"> </v>
      </c>
      <c r="E406" s="58" t="str">
        <f ca="1">Start.listina!R111</f>
        <v xml:space="preserve"> </v>
      </c>
      <c r="F406" s="58"/>
      <c r="G406" s="542"/>
      <c r="H406" s="161"/>
      <c r="I406" s="161"/>
    </row>
    <row r="407" spans="1:9">
      <c r="A407" s="58"/>
      <c r="B407" s="58" t="str">
        <f ca="1">Start.listina!U111</f>
        <v/>
      </c>
      <c r="C407" s="58" t="str">
        <f ca="1">Start.listina!V111</f>
        <v xml:space="preserve"> </v>
      </c>
      <c r="D407" s="58" t="str">
        <f ca="1">Start.listina!W111</f>
        <v xml:space="preserve"> </v>
      </c>
      <c r="E407" s="58" t="str">
        <f ca="1">Start.listina!X111</f>
        <v xml:space="preserve"> </v>
      </c>
      <c r="F407" s="58"/>
      <c r="G407" s="542"/>
      <c r="H407" s="161"/>
      <c r="I407" s="161"/>
    </row>
    <row r="408" spans="1:9">
      <c r="A408" s="58"/>
      <c r="B408" s="58" t="str">
        <f ca="1">Start.listina!AA111</f>
        <v/>
      </c>
      <c r="C408" s="58" t="str">
        <f ca="1">Start.listina!AB111</f>
        <v xml:space="preserve"> </v>
      </c>
      <c r="D408" s="58" t="str">
        <f ca="1">Start.listina!AC111</f>
        <v xml:space="preserve"> </v>
      </c>
      <c r="E408" s="58" t="str">
        <f ca="1">Start.listina!AD111</f>
        <v xml:space="preserve"> </v>
      </c>
      <c r="F408" s="58"/>
      <c r="G408" s="542"/>
      <c r="H408" s="161"/>
      <c r="I408" s="161"/>
    </row>
    <row r="409" spans="1:9">
      <c r="A409" s="58">
        <f ca="1">Start.listina!AH112</f>
        <v>0</v>
      </c>
      <c r="B409" s="58" t="str">
        <f ca="1">Start.listina!I112</f>
        <v/>
      </c>
      <c r="C409" s="543" t="str">
        <f ca="1">Start.listina!J112</f>
        <v xml:space="preserve"> </v>
      </c>
      <c r="D409" s="58" t="str">
        <f ca="1">Start.listina!K112</f>
        <v xml:space="preserve"> </v>
      </c>
      <c r="E409" s="58" t="str">
        <f ca="1">Start.listina!L112</f>
        <v xml:space="preserve"> </v>
      </c>
      <c r="F409" s="58"/>
      <c r="G409" s="542" t="str">
        <f ca="1">IF(N(A409)&gt;0,VLOOKUP(A409,Body!$A$4:$F$259,5,0),"")</f>
        <v/>
      </c>
      <c r="H409" s="161" t="str">
        <f ca="1">IF(N(A409)&gt;0,VLOOKUP(A409,Body!$A$4:$F$259,6,0),"")</f>
        <v/>
      </c>
      <c r="I409" s="161" t="str">
        <f ca="1">IF(N(A409)&gt;0,VLOOKUP(A409,Body!$A$4:$F$259,2,0),"")</f>
        <v/>
      </c>
    </row>
    <row r="410" spans="1:9">
      <c r="A410" s="58"/>
      <c r="B410" s="58" t="str">
        <f ca="1">Start.listina!O112</f>
        <v/>
      </c>
      <c r="C410" s="58" t="str">
        <f ca="1">Start.listina!P112</f>
        <v xml:space="preserve"> </v>
      </c>
      <c r="D410" s="58" t="str">
        <f ca="1">Start.listina!Q112</f>
        <v xml:space="preserve"> </v>
      </c>
      <c r="E410" s="58" t="str">
        <f ca="1">Start.listina!R112</f>
        <v xml:space="preserve"> </v>
      </c>
      <c r="F410" s="58"/>
      <c r="G410" s="542"/>
      <c r="H410" s="161"/>
      <c r="I410" s="161"/>
    </row>
    <row r="411" spans="1:9">
      <c r="A411" s="58"/>
      <c r="B411" s="58" t="str">
        <f ca="1">Start.listina!U112</f>
        <v/>
      </c>
      <c r="C411" s="58" t="str">
        <f ca="1">Start.listina!V112</f>
        <v xml:space="preserve"> </v>
      </c>
      <c r="D411" s="58" t="str">
        <f ca="1">Start.listina!W112</f>
        <v xml:space="preserve"> </v>
      </c>
      <c r="E411" s="58" t="str">
        <f ca="1">Start.listina!X112</f>
        <v xml:space="preserve"> </v>
      </c>
      <c r="F411" s="58"/>
      <c r="G411" s="542"/>
      <c r="H411" s="161"/>
      <c r="I411" s="161"/>
    </row>
    <row r="412" spans="1:9">
      <c r="A412" s="58"/>
      <c r="B412" s="58" t="str">
        <f ca="1">Start.listina!AA112</f>
        <v/>
      </c>
      <c r="C412" s="58" t="str">
        <f ca="1">Start.listina!AB112</f>
        <v xml:space="preserve"> </v>
      </c>
      <c r="D412" s="58" t="str">
        <f ca="1">Start.listina!AC112</f>
        <v xml:space="preserve"> </v>
      </c>
      <c r="E412" s="58" t="str">
        <f ca="1">Start.listina!AD112</f>
        <v xml:space="preserve"> </v>
      </c>
      <c r="F412" s="58"/>
      <c r="G412" s="542"/>
      <c r="H412" s="161"/>
      <c r="I412" s="161"/>
    </row>
    <row r="413" spans="1:9">
      <c r="A413" s="58">
        <f ca="1">Start.listina!AH113</f>
        <v>0</v>
      </c>
      <c r="B413" s="58" t="str">
        <f ca="1">Start.listina!I113</f>
        <v/>
      </c>
      <c r="C413" s="543" t="str">
        <f ca="1">Start.listina!J113</f>
        <v xml:space="preserve"> </v>
      </c>
      <c r="D413" s="58" t="str">
        <f ca="1">Start.listina!K113</f>
        <v xml:space="preserve"> </v>
      </c>
      <c r="E413" s="58" t="str">
        <f ca="1">Start.listina!L113</f>
        <v xml:space="preserve"> </v>
      </c>
      <c r="F413" s="58"/>
      <c r="G413" s="542" t="str">
        <f ca="1">IF(N(A413)&gt;0,VLOOKUP(A413,Body!$A$4:$F$259,5,0),"")</f>
        <v/>
      </c>
      <c r="H413" s="161" t="str">
        <f ca="1">IF(N(A413)&gt;0,VLOOKUP(A413,Body!$A$4:$F$259,6,0),"")</f>
        <v/>
      </c>
      <c r="I413" s="161" t="str">
        <f ca="1">IF(N(A413)&gt;0,VLOOKUP(A413,Body!$A$4:$F$259,2,0),"")</f>
        <v/>
      </c>
    </row>
    <row r="414" spans="1:9">
      <c r="A414" s="58"/>
      <c r="B414" s="58" t="str">
        <f ca="1">Start.listina!O113</f>
        <v/>
      </c>
      <c r="C414" s="58" t="str">
        <f ca="1">Start.listina!P113</f>
        <v xml:space="preserve"> </v>
      </c>
      <c r="D414" s="58" t="str">
        <f ca="1">Start.listina!Q113</f>
        <v xml:space="preserve"> </v>
      </c>
      <c r="E414" s="58" t="str">
        <f ca="1">Start.listina!R113</f>
        <v xml:space="preserve"> </v>
      </c>
      <c r="F414" s="58"/>
      <c r="G414" s="542"/>
      <c r="H414" s="161"/>
      <c r="I414" s="161"/>
    </row>
    <row r="415" spans="1:9">
      <c r="A415" s="58"/>
      <c r="B415" s="58" t="str">
        <f ca="1">Start.listina!U113</f>
        <v/>
      </c>
      <c r="C415" s="58" t="str">
        <f ca="1">Start.listina!V113</f>
        <v xml:space="preserve"> </v>
      </c>
      <c r="D415" s="58" t="str">
        <f ca="1">Start.listina!W113</f>
        <v xml:space="preserve"> </v>
      </c>
      <c r="E415" s="58" t="str">
        <f ca="1">Start.listina!X113</f>
        <v xml:space="preserve"> </v>
      </c>
      <c r="F415" s="58"/>
      <c r="G415" s="542"/>
      <c r="H415" s="161"/>
      <c r="I415" s="161"/>
    </row>
    <row r="416" spans="1:9">
      <c r="A416" s="58"/>
      <c r="B416" s="58" t="str">
        <f ca="1">Start.listina!AA113</f>
        <v/>
      </c>
      <c r="C416" s="58" t="str">
        <f ca="1">Start.listina!AB113</f>
        <v xml:space="preserve"> </v>
      </c>
      <c r="D416" s="58" t="str">
        <f ca="1">Start.listina!AC113</f>
        <v xml:space="preserve"> </v>
      </c>
      <c r="E416" s="58" t="str">
        <f ca="1">Start.listina!AD113</f>
        <v xml:space="preserve"> </v>
      </c>
      <c r="F416" s="58"/>
      <c r="G416" s="542"/>
      <c r="H416" s="161"/>
      <c r="I416" s="161"/>
    </row>
    <row r="417" spans="1:9">
      <c r="A417" s="58">
        <f ca="1">Start.listina!AH114</f>
        <v>0</v>
      </c>
      <c r="B417" s="58" t="str">
        <f ca="1">Start.listina!I114</f>
        <v/>
      </c>
      <c r="C417" s="543" t="str">
        <f ca="1">Start.listina!J114</f>
        <v xml:space="preserve"> </v>
      </c>
      <c r="D417" s="58" t="str">
        <f ca="1">Start.listina!K114</f>
        <v xml:space="preserve"> </v>
      </c>
      <c r="E417" s="58" t="str">
        <f ca="1">Start.listina!L114</f>
        <v xml:space="preserve"> </v>
      </c>
      <c r="F417" s="58"/>
      <c r="G417" s="542" t="str">
        <f ca="1">IF(N(A417)&gt;0,VLOOKUP(A417,Body!$A$4:$F$259,5,0),"")</f>
        <v/>
      </c>
      <c r="H417" s="161" t="str">
        <f ca="1">IF(N(A417)&gt;0,VLOOKUP(A417,Body!$A$4:$F$259,6,0),"")</f>
        <v/>
      </c>
      <c r="I417" s="161" t="str">
        <f ca="1">IF(N(A417)&gt;0,VLOOKUP(A417,Body!$A$4:$F$259,2,0),"")</f>
        <v/>
      </c>
    </row>
    <row r="418" spans="1:9">
      <c r="A418" s="58"/>
      <c r="B418" s="58" t="str">
        <f ca="1">Start.listina!O114</f>
        <v/>
      </c>
      <c r="C418" s="58" t="str">
        <f ca="1">Start.listina!P114</f>
        <v xml:space="preserve"> </v>
      </c>
      <c r="D418" s="58" t="str">
        <f ca="1">Start.listina!Q114</f>
        <v xml:space="preserve"> </v>
      </c>
      <c r="E418" s="58" t="str">
        <f ca="1">Start.listina!R114</f>
        <v xml:space="preserve"> </v>
      </c>
      <c r="F418" s="58"/>
      <c r="G418" s="542"/>
      <c r="H418" s="161"/>
      <c r="I418" s="161"/>
    </row>
    <row r="419" spans="1:9">
      <c r="A419" s="58"/>
      <c r="B419" s="58" t="str">
        <f ca="1">Start.listina!U114</f>
        <v/>
      </c>
      <c r="C419" s="58" t="str">
        <f ca="1">Start.listina!V114</f>
        <v xml:space="preserve"> </v>
      </c>
      <c r="D419" s="58" t="str">
        <f ca="1">Start.listina!W114</f>
        <v xml:space="preserve"> </v>
      </c>
      <c r="E419" s="58" t="str">
        <f ca="1">Start.listina!X114</f>
        <v xml:space="preserve"> </v>
      </c>
      <c r="F419" s="58"/>
      <c r="G419" s="542"/>
      <c r="H419" s="161"/>
      <c r="I419" s="161"/>
    </row>
    <row r="420" spans="1:9">
      <c r="A420" s="58"/>
      <c r="B420" s="58" t="str">
        <f ca="1">Start.listina!AA114</f>
        <v/>
      </c>
      <c r="C420" s="58" t="str">
        <f ca="1">Start.listina!AB114</f>
        <v xml:space="preserve"> </v>
      </c>
      <c r="D420" s="58" t="str">
        <f ca="1">Start.listina!AC114</f>
        <v xml:space="preserve"> </v>
      </c>
      <c r="E420" s="58" t="str">
        <f ca="1">Start.listina!AD114</f>
        <v xml:space="preserve"> </v>
      </c>
      <c r="F420" s="58"/>
      <c r="G420" s="542"/>
      <c r="H420" s="161"/>
      <c r="I420" s="161"/>
    </row>
    <row r="421" spans="1:9">
      <c r="A421" s="58">
        <f ca="1">Start.listina!AH115</f>
        <v>0</v>
      </c>
      <c r="B421" s="58" t="str">
        <f ca="1">Start.listina!I115</f>
        <v/>
      </c>
      <c r="C421" s="543" t="str">
        <f ca="1">Start.listina!J115</f>
        <v xml:space="preserve"> </v>
      </c>
      <c r="D421" s="58" t="str">
        <f ca="1">Start.listina!K115</f>
        <v xml:space="preserve"> </v>
      </c>
      <c r="E421" s="58" t="str">
        <f ca="1">Start.listina!L115</f>
        <v xml:space="preserve"> </v>
      </c>
      <c r="F421" s="58"/>
      <c r="G421" s="542" t="str">
        <f ca="1">IF(N(A421)&gt;0,VLOOKUP(A421,Body!$A$4:$F$259,5,0),"")</f>
        <v/>
      </c>
      <c r="H421" s="161" t="str">
        <f ca="1">IF(N(A421)&gt;0,VLOOKUP(A421,Body!$A$4:$F$259,6,0),"")</f>
        <v/>
      </c>
      <c r="I421" s="161" t="str">
        <f ca="1">IF(N(A421)&gt;0,VLOOKUP(A421,Body!$A$4:$F$259,2,0),"")</f>
        <v/>
      </c>
    </row>
    <row r="422" spans="1:9">
      <c r="A422" s="58"/>
      <c r="B422" s="58" t="str">
        <f ca="1">Start.listina!O115</f>
        <v/>
      </c>
      <c r="C422" s="58" t="str">
        <f ca="1">Start.listina!P115</f>
        <v xml:space="preserve"> </v>
      </c>
      <c r="D422" s="58" t="str">
        <f ca="1">Start.listina!Q115</f>
        <v xml:space="preserve"> </v>
      </c>
      <c r="E422" s="58" t="str">
        <f ca="1">Start.listina!R115</f>
        <v xml:space="preserve"> </v>
      </c>
      <c r="F422" s="58"/>
      <c r="G422" s="542"/>
      <c r="H422" s="161"/>
      <c r="I422" s="161"/>
    </row>
    <row r="423" spans="1:9">
      <c r="A423" s="58"/>
      <c r="B423" s="58" t="str">
        <f ca="1">Start.listina!U115</f>
        <v/>
      </c>
      <c r="C423" s="58" t="str">
        <f ca="1">Start.listina!V115</f>
        <v xml:space="preserve"> </v>
      </c>
      <c r="D423" s="58" t="str">
        <f ca="1">Start.listina!W115</f>
        <v xml:space="preserve"> </v>
      </c>
      <c r="E423" s="58" t="str">
        <f ca="1">Start.listina!X115</f>
        <v xml:space="preserve"> </v>
      </c>
      <c r="F423" s="58"/>
      <c r="G423" s="542"/>
      <c r="H423" s="161"/>
      <c r="I423" s="161"/>
    </row>
    <row r="424" spans="1:9">
      <c r="A424" s="58"/>
      <c r="B424" s="58" t="str">
        <f ca="1">Start.listina!AA115</f>
        <v/>
      </c>
      <c r="C424" s="58" t="str">
        <f ca="1">Start.listina!AB115</f>
        <v xml:space="preserve"> </v>
      </c>
      <c r="D424" s="58" t="str">
        <f ca="1">Start.listina!AC115</f>
        <v xml:space="preserve"> </v>
      </c>
      <c r="E424" s="58" t="str">
        <f ca="1">Start.listina!AD115</f>
        <v xml:space="preserve"> </v>
      </c>
      <c r="F424" s="58"/>
      <c r="G424" s="542"/>
      <c r="H424" s="161"/>
      <c r="I424" s="161"/>
    </row>
    <row r="425" spans="1:9">
      <c r="A425" s="58">
        <f ca="1">Start.listina!AH116</f>
        <v>0</v>
      </c>
      <c r="B425" s="58" t="str">
        <f ca="1">Start.listina!I116</f>
        <v/>
      </c>
      <c r="C425" s="543" t="str">
        <f ca="1">Start.listina!J116</f>
        <v xml:space="preserve"> </v>
      </c>
      <c r="D425" s="58" t="str">
        <f ca="1">Start.listina!K116</f>
        <v xml:space="preserve"> </v>
      </c>
      <c r="E425" s="58" t="str">
        <f ca="1">Start.listina!L116</f>
        <v xml:space="preserve"> </v>
      </c>
      <c r="F425" s="58"/>
      <c r="G425" s="542" t="str">
        <f ca="1">IF(N(A425)&gt;0,VLOOKUP(A425,Body!$A$4:$F$259,5,0),"")</f>
        <v/>
      </c>
      <c r="H425" s="161" t="str">
        <f ca="1">IF(N(A425)&gt;0,VLOOKUP(A425,Body!$A$4:$F$259,6,0),"")</f>
        <v/>
      </c>
      <c r="I425" s="161" t="str">
        <f ca="1">IF(N(A425)&gt;0,VLOOKUP(A425,Body!$A$4:$F$259,2,0),"")</f>
        <v/>
      </c>
    </row>
    <row r="426" spans="1:9">
      <c r="A426" s="58"/>
      <c r="B426" s="58" t="str">
        <f ca="1">Start.listina!O116</f>
        <v/>
      </c>
      <c r="C426" s="58" t="str">
        <f ca="1">Start.listina!P116</f>
        <v xml:space="preserve"> </v>
      </c>
      <c r="D426" s="58" t="str">
        <f ca="1">Start.listina!Q116</f>
        <v xml:space="preserve"> </v>
      </c>
      <c r="E426" s="58" t="str">
        <f ca="1">Start.listina!R116</f>
        <v xml:space="preserve"> </v>
      </c>
      <c r="F426" s="58"/>
      <c r="G426" s="542"/>
      <c r="H426" s="161"/>
      <c r="I426" s="161"/>
    </row>
    <row r="427" spans="1:9">
      <c r="A427" s="58"/>
      <c r="B427" s="58" t="str">
        <f ca="1">Start.listina!U116</f>
        <v/>
      </c>
      <c r="C427" s="58" t="str">
        <f ca="1">Start.listina!V116</f>
        <v xml:space="preserve"> </v>
      </c>
      <c r="D427" s="58" t="str">
        <f ca="1">Start.listina!W116</f>
        <v xml:space="preserve"> </v>
      </c>
      <c r="E427" s="58" t="str">
        <f ca="1">Start.listina!X116</f>
        <v xml:space="preserve"> </v>
      </c>
      <c r="F427" s="58"/>
      <c r="G427" s="542"/>
      <c r="H427" s="161"/>
      <c r="I427" s="161"/>
    </row>
    <row r="428" spans="1:9">
      <c r="A428" s="58"/>
      <c r="B428" s="58" t="str">
        <f ca="1">Start.listina!AA116</f>
        <v/>
      </c>
      <c r="C428" s="58" t="str">
        <f ca="1">Start.listina!AB116</f>
        <v xml:space="preserve"> </v>
      </c>
      <c r="D428" s="58" t="str">
        <f ca="1">Start.listina!AC116</f>
        <v xml:space="preserve"> </v>
      </c>
      <c r="E428" s="58" t="str">
        <f ca="1">Start.listina!AD116</f>
        <v xml:space="preserve"> </v>
      </c>
      <c r="F428" s="58"/>
      <c r="G428" s="542"/>
      <c r="H428" s="161"/>
      <c r="I428" s="161"/>
    </row>
    <row r="429" spans="1:9">
      <c r="A429" s="58">
        <f ca="1">Start.listina!AH117</f>
        <v>0</v>
      </c>
      <c r="B429" s="58" t="str">
        <f ca="1">Start.listina!I117</f>
        <v/>
      </c>
      <c r="C429" s="543" t="str">
        <f ca="1">Start.listina!J117</f>
        <v xml:space="preserve"> </v>
      </c>
      <c r="D429" s="58" t="str">
        <f ca="1">Start.listina!K117</f>
        <v xml:space="preserve"> </v>
      </c>
      <c r="E429" s="58" t="str">
        <f ca="1">Start.listina!L117</f>
        <v xml:space="preserve"> </v>
      </c>
      <c r="F429" s="58"/>
      <c r="G429" s="542" t="str">
        <f ca="1">IF(N(A429)&gt;0,VLOOKUP(A429,Body!$A$4:$F$259,5,0),"")</f>
        <v/>
      </c>
      <c r="H429" s="161" t="str">
        <f ca="1">IF(N(A429)&gt;0,VLOOKUP(A429,Body!$A$4:$F$259,6,0),"")</f>
        <v/>
      </c>
      <c r="I429" s="161" t="str">
        <f ca="1">IF(N(A429)&gt;0,VLOOKUP(A429,Body!$A$4:$F$259,2,0),"")</f>
        <v/>
      </c>
    </row>
    <row r="430" spans="1:9">
      <c r="A430" s="58"/>
      <c r="B430" s="58" t="str">
        <f ca="1">Start.listina!O117</f>
        <v/>
      </c>
      <c r="C430" s="58" t="str">
        <f ca="1">Start.listina!P117</f>
        <v xml:space="preserve"> </v>
      </c>
      <c r="D430" s="58" t="str">
        <f ca="1">Start.listina!Q117</f>
        <v xml:space="preserve"> </v>
      </c>
      <c r="E430" s="58" t="str">
        <f ca="1">Start.listina!R117</f>
        <v xml:space="preserve"> </v>
      </c>
      <c r="F430" s="58"/>
      <c r="G430" s="542"/>
      <c r="H430" s="161"/>
      <c r="I430" s="161"/>
    </row>
    <row r="431" spans="1:9">
      <c r="A431" s="58"/>
      <c r="B431" s="58" t="str">
        <f ca="1">Start.listina!U117</f>
        <v/>
      </c>
      <c r="C431" s="58" t="str">
        <f ca="1">Start.listina!V117</f>
        <v xml:space="preserve"> </v>
      </c>
      <c r="D431" s="58" t="str">
        <f ca="1">Start.listina!W117</f>
        <v xml:space="preserve"> </v>
      </c>
      <c r="E431" s="58" t="str">
        <f ca="1">Start.listina!X117</f>
        <v xml:space="preserve"> </v>
      </c>
      <c r="F431" s="58"/>
      <c r="G431" s="542"/>
      <c r="H431" s="161"/>
      <c r="I431" s="161"/>
    </row>
    <row r="432" spans="1:9">
      <c r="A432" s="58"/>
      <c r="B432" s="58" t="str">
        <f ca="1">Start.listina!AA117</f>
        <v/>
      </c>
      <c r="C432" s="58" t="str">
        <f ca="1">Start.listina!AB117</f>
        <v xml:space="preserve"> </v>
      </c>
      <c r="D432" s="58" t="str">
        <f ca="1">Start.listina!AC117</f>
        <v xml:space="preserve"> </v>
      </c>
      <c r="E432" s="58" t="str">
        <f ca="1">Start.listina!AD117</f>
        <v xml:space="preserve"> </v>
      </c>
      <c r="F432" s="58"/>
      <c r="G432" s="542"/>
      <c r="H432" s="161"/>
      <c r="I432" s="161"/>
    </row>
    <row r="433" spans="1:9">
      <c r="A433" s="58">
        <f ca="1">Start.listina!AH118</f>
        <v>0</v>
      </c>
      <c r="B433" s="58" t="str">
        <f ca="1">Start.listina!I118</f>
        <v/>
      </c>
      <c r="C433" s="543" t="str">
        <f ca="1">Start.listina!J118</f>
        <v xml:space="preserve"> </v>
      </c>
      <c r="D433" s="58" t="str">
        <f ca="1">Start.listina!K118</f>
        <v xml:space="preserve"> </v>
      </c>
      <c r="E433" s="58" t="str">
        <f ca="1">Start.listina!L118</f>
        <v xml:space="preserve"> </v>
      </c>
      <c r="F433" s="58"/>
      <c r="G433" s="542" t="str">
        <f ca="1">IF(N(A433)&gt;0,VLOOKUP(A433,Body!$A$4:$F$259,5,0),"")</f>
        <v/>
      </c>
      <c r="H433" s="161" t="str">
        <f ca="1">IF(N(A433)&gt;0,VLOOKUP(A433,Body!$A$4:$F$259,6,0),"")</f>
        <v/>
      </c>
      <c r="I433" s="161" t="str">
        <f ca="1">IF(N(A433)&gt;0,VLOOKUP(A433,Body!$A$4:$F$259,2,0),"")</f>
        <v/>
      </c>
    </row>
    <row r="434" spans="1:9">
      <c r="A434" s="58"/>
      <c r="B434" s="58" t="str">
        <f ca="1">Start.listina!O118</f>
        <v/>
      </c>
      <c r="C434" s="58" t="str">
        <f ca="1">Start.listina!P118</f>
        <v xml:space="preserve"> </v>
      </c>
      <c r="D434" s="58" t="str">
        <f ca="1">Start.listina!Q118</f>
        <v xml:space="preserve"> </v>
      </c>
      <c r="E434" s="58" t="str">
        <f ca="1">Start.listina!R118</f>
        <v xml:space="preserve"> </v>
      </c>
      <c r="F434" s="58"/>
      <c r="G434" s="542"/>
      <c r="H434" s="161"/>
      <c r="I434" s="161"/>
    </row>
    <row r="435" spans="1:9">
      <c r="A435" s="58"/>
      <c r="B435" s="58" t="str">
        <f ca="1">Start.listina!U118</f>
        <v/>
      </c>
      <c r="C435" s="58" t="str">
        <f ca="1">Start.listina!V118</f>
        <v xml:space="preserve"> </v>
      </c>
      <c r="D435" s="58" t="str">
        <f ca="1">Start.listina!W118</f>
        <v xml:space="preserve"> </v>
      </c>
      <c r="E435" s="58" t="str">
        <f ca="1">Start.listina!X118</f>
        <v xml:space="preserve"> </v>
      </c>
      <c r="F435" s="58"/>
      <c r="G435" s="542"/>
      <c r="H435" s="161"/>
      <c r="I435" s="161"/>
    </row>
    <row r="436" spans="1:9">
      <c r="A436" s="58"/>
      <c r="B436" s="58" t="str">
        <f ca="1">Start.listina!AA118</f>
        <v/>
      </c>
      <c r="C436" s="58" t="str">
        <f ca="1">Start.listina!AB118</f>
        <v xml:space="preserve"> </v>
      </c>
      <c r="D436" s="58" t="str">
        <f ca="1">Start.listina!AC118</f>
        <v xml:space="preserve"> </v>
      </c>
      <c r="E436" s="58" t="str">
        <f ca="1">Start.listina!AD118</f>
        <v xml:space="preserve"> </v>
      </c>
      <c r="F436" s="58"/>
      <c r="G436" s="542"/>
      <c r="H436" s="161"/>
      <c r="I436" s="161"/>
    </row>
    <row r="437" spans="1:9">
      <c r="A437" s="58">
        <f ca="1">Start.listina!AH119</f>
        <v>0</v>
      </c>
      <c r="B437" s="58" t="str">
        <f ca="1">Start.listina!I119</f>
        <v/>
      </c>
      <c r="C437" s="543" t="str">
        <f ca="1">Start.listina!J119</f>
        <v xml:space="preserve"> </v>
      </c>
      <c r="D437" s="58" t="str">
        <f ca="1">Start.listina!K119</f>
        <v xml:space="preserve"> </v>
      </c>
      <c r="E437" s="58" t="str">
        <f ca="1">Start.listina!L119</f>
        <v xml:space="preserve"> </v>
      </c>
      <c r="F437" s="58"/>
      <c r="G437" s="542" t="str">
        <f ca="1">IF(N(A437)&gt;0,VLOOKUP(A437,Body!$A$4:$F$259,5,0),"")</f>
        <v/>
      </c>
      <c r="H437" s="161" t="str">
        <f ca="1">IF(N(A437)&gt;0,VLOOKUP(A437,Body!$A$4:$F$259,6,0),"")</f>
        <v/>
      </c>
      <c r="I437" s="161" t="str">
        <f ca="1">IF(N(A437)&gt;0,VLOOKUP(A437,Body!$A$4:$F$259,2,0),"")</f>
        <v/>
      </c>
    </row>
    <row r="438" spans="1:9">
      <c r="A438" s="58"/>
      <c r="B438" s="58" t="str">
        <f ca="1">Start.listina!O119</f>
        <v/>
      </c>
      <c r="C438" s="58" t="str">
        <f ca="1">Start.listina!P119</f>
        <v xml:space="preserve"> </v>
      </c>
      <c r="D438" s="58" t="str">
        <f ca="1">Start.listina!Q119</f>
        <v xml:space="preserve"> </v>
      </c>
      <c r="E438" s="58" t="str">
        <f ca="1">Start.listina!R119</f>
        <v xml:space="preserve"> </v>
      </c>
      <c r="F438" s="58"/>
      <c r="G438" s="542"/>
      <c r="H438" s="161"/>
      <c r="I438" s="161"/>
    </row>
    <row r="439" spans="1:9">
      <c r="A439" s="58"/>
      <c r="B439" s="58" t="str">
        <f ca="1">Start.listina!U119</f>
        <v/>
      </c>
      <c r="C439" s="58" t="str">
        <f ca="1">Start.listina!V119</f>
        <v xml:space="preserve"> </v>
      </c>
      <c r="D439" s="58" t="str">
        <f ca="1">Start.listina!W119</f>
        <v xml:space="preserve"> </v>
      </c>
      <c r="E439" s="58" t="str">
        <f ca="1">Start.listina!X119</f>
        <v xml:space="preserve"> </v>
      </c>
      <c r="F439" s="58"/>
      <c r="G439" s="542"/>
      <c r="H439" s="161"/>
      <c r="I439" s="161"/>
    </row>
    <row r="440" spans="1:9">
      <c r="A440" s="58"/>
      <c r="B440" s="58" t="str">
        <f ca="1">Start.listina!AA119</f>
        <v/>
      </c>
      <c r="C440" s="58" t="str">
        <f ca="1">Start.listina!AB119</f>
        <v xml:space="preserve"> </v>
      </c>
      <c r="D440" s="58" t="str">
        <f ca="1">Start.listina!AC119</f>
        <v xml:space="preserve"> </v>
      </c>
      <c r="E440" s="58" t="str">
        <f ca="1">Start.listina!AD119</f>
        <v xml:space="preserve"> </v>
      </c>
      <c r="F440" s="58"/>
      <c r="G440" s="542"/>
      <c r="H440" s="161"/>
      <c r="I440" s="161"/>
    </row>
    <row r="441" spans="1:9">
      <c r="A441" s="58">
        <f ca="1">Start.listina!AH120</f>
        <v>0</v>
      </c>
      <c r="B441" s="58" t="str">
        <f ca="1">Start.listina!I120</f>
        <v/>
      </c>
      <c r="C441" s="543" t="str">
        <f ca="1">Start.listina!J120</f>
        <v xml:space="preserve"> </v>
      </c>
      <c r="D441" s="58" t="str">
        <f ca="1">Start.listina!K120</f>
        <v xml:space="preserve"> </v>
      </c>
      <c r="E441" s="58" t="str">
        <f ca="1">Start.listina!L120</f>
        <v xml:space="preserve"> </v>
      </c>
      <c r="F441" s="58"/>
      <c r="G441" s="542" t="str">
        <f ca="1">IF(N(A441)&gt;0,VLOOKUP(A441,Body!$A$4:$F$259,5,0),"")</f>
        <v/>
      </c>
      <c r="H441" s="161" t="str">
        <f ca="1">IF(N(A441)&gt;0,VLOOKUP(A441,Body!$A$4:$F$259,6,0),"")</f>
        <v/>
      </c>
      <c r="I441" s="161" t="str">
        <f ca="1">IF(N(A441)&gt;0,VLOOKUP(A441,Body!$A$4:$F$259,2,0),"")</f>
        <v/>
      </c>
    </row>
    <row r="442" spans="1:9">
      <c r="A442" s="58"/>
      <c r="B442" s="58" t="str">
        <f ca="1">Start.listina!O120</f>
        <v/>
      </c>
      <c r="C442" s="58" t="str">
        <f ca="1">Start.listina!P120</f>
        <v xml:space="preserve"> </v>
      </c>
      <c r="D442" s="58" t="str">
        <f ca="1">Start.listina!Q120</f>
        <v xml:space="preserve"> </v>
      </c>
      <c r="E442" s="58" t="str">
        <f ca="1">Start.listina!R120</f>
        <v xml:space="preserve"> </v>
      </c>
      <c r="F442" s="58"/>
      <c r="G442" s="542"/>
      <c r="H442" s="161"/>
      <c r="I442" s="161"/>
    </row>
    <row r="443" spans="1:9">
      <c r="A443" s="58"/>
      <c r="B443" s="58" t="str">
        <f ca="1">Start.listina!U120</f>
        <v/>
      </c>
      <c r="C443" s="58" t="str">
        <f ca="1">Start.listina!V120</f>
        <v xml:space="preserve"> </v>
      </c>
      <c r="D443" s="58" t="str">
        <f ca="1">Start.listina!W120</f>
        <v xml:space="preserve"> </v>
      </c>
      <c r="E443" s="58" t="str">
        <f ca="1">Start.listina!X120</f>
        <v xml:space="preserve"> </v>
      </c>
      <c r="F443" s="58"/>
      <c r="G443" s="542"/>
      <c r="H443" s="161"/>
      <c r="I443" s="161"/>
    </row>
    <row r="444" spans="1:9">
      <c r="A444" s="58"/>
      <c r="B444" s="58" t="str">
        <f ca="1">Start.listina!AA120</f>
        <v/>
      </c>
      <c r="C444" s="58" t="str">
        <f ca="1">Start.listina!AB120</f>
        <v xml:space="preserve"> </v>
      </c>
      <c r="D444" s="58" t="str">
        <f ca="1">Start.listina!AC120</f>
        <v xml:space="preserve"> </v>
      </c>
      <c r="E444" s="58" t="str">
        <f ca="1">Start.listina!AD120</f>
        <v xml:space="preserve"> </v>
      </c>
      <c r="F444" s="58"/>
      <c r="G444" s="542"/>
      <c r="H444" s="161"/>
      <c r="I444" s="161"/>
    </row>
    <row r="445" spans="1:9">
      <c r="A445" s="58">
        <f ca="1">Start.listina!AH121</f>
        <v>0</v>
      </c>
      <c r="B445" s="58" t="str">
        <f ca="1">Start.listina!I121</f>
        <v/>
      </c>
      <c r="C445" s="543" t="str">
        <f ca="1">Start.listina!J121</f>
        <v xml:space="preserve"> </v>
      </c>
      <c r="D445" s="58" t="str">
        <f ca="1">Start.listina!K121</f>
        <v xml:space="preserve"> </v>
      </c>
      <c r="E445" s="58" t="str">
        <f ca="1">Start.listina!L121</f>
        <v xml:space="preserve"> </v>
      </c>
      <c r="F445" s="58"/>
      <c r="G445" s="542" t="str">
        <f ca="1">IF(N(A445)&gt;0,VLOOKUP(A445,Body!$A$4:$F$259,5,0),"")</f>
        <v/>
      </c>
      <c r="H445" s="161" t="str">
        <f ca="1">IF(N(A445)&gt;0,VLOOKUP(A445,Body!$A$4:$F$259,6,0),"")</f>
        <v/>
      </c>
      <c r="I445" s="161" t="str">
        <f ca="1">IF(N(A445)&gt;0,VLOOKUP(A445,Body!$A$4:$F$259,2,0),"")</f>
        <v/>
      </c>
    </row>
    <row r="446" spans="1:9">
      <c r="A446" s="58"/>
      <c r="B446" s="58" t="str">
        <f ca="1">Start.listina!O121</f>
        <v/>
      </c>
      <c r="C446" s="58" t="str">
        <f ca="1">Start.listina!P121</f>
        <v xml:space="preserve"> </v>
      </c>
      <c r="D446" s="58" t="str">
        <f ca="1">Start.listina!Q121</f>
        <v xml:space="preserve"> </v>
      </c>
      <c r="E446" s="58" t="str">
        <f ca="1">Start.listina!R121</f>
        <v xml:space="preserve"> </v>
      </c>
      <c r="F446" s="58"/>
      <c r="G446" s="542"/>
      <c r="H446" s="161"/>
      <c r="I446" s="161"/>
    </row>
    <row r="447" spans="1:9">
      <c r="A447" s="58"/>
      <c r="B447" s="58" t="str">
        <f ca="1">Start.listina!U121</f>
        <v/>
      </c>
      <c r="C447" s="58" t="str">
        <f ca="1">Start.listina!V121</f>
        <v xml:space="preserve"> </v>
      </c>
      <c r="D447" s="58" t="str">
        <f ca="1">Start.listina!W121</f>
        <v xml:space="preserve"> </v>
      </c>
      <c r="E447" s="58" t="str">
        <f ca="1">Start.listina!X121</f>
        <v xml:space="preserve"> </v>
      </c>
      <c r="F447" s="58"/>
      <c r="G447" s="542"/>
      <c r="H447" s="161"/>
      <c r="I447" s="161"/>
    </row>
    <row r="448" spans="1:9">
      <c r="A448" s="58"/>
      <c r="B448" s="58" t="str">
        <f ca="1">Start.listina!AA121</f>
        <v/>
      </c>
      <c r="C448" s="58" t="str">
        <f ca="1">Start.listina!AB121</f>
        <v xml:space="preserve"> </v>
      </c>
      <c r="D448" s="58" t="str">
        <f ca="1">Start.listina!AC121</f>
        <v xml:space="preserve"> </v>
      </c>
      <c r="E448" s="58" t="str">
        <f ca="1">Start.listina!AD121</f>
        <v xml:space="preserve"> </v>
      </c>
      <c r="F448" s="58"/>
      <c r="G448" s="542"/>
      <c r="H448" s="161"/>
      <c r="I448" s="161"/>
    </row>
    <row r="449" spans="1:9">
      <c r="A449" s="58">
        <f ca="1">Start.listina!AH122</f>
        <v>0</v>
      </c>
      <c r="B449" s="58" t="str">
        <f ca="1">Start.listina!I122</f>
        <v/>
      </c>
      <c r="C449" s="543" t="str">
        <f ca="1">Start.listina!J122</f>
        <v xml:space="preserve"> </v>
      </c>
      <c r="D449" s="58" t="str">
        <f ca="1">Start.listina!K122</f>
        <v xml:space="preserve"> </v>
      </c>
      <c r="E449" s="58" t="str">
        <f ca="1">Start.listina!L122</f>
        <v xml:space="preserve"> </v>
      </c>
      <c r="F449" s="58"/>
      <c r="G449" s="542" t="str">
        <f ca="1">IF(N(A449)&gt;0,VLOOKUP(A449,Body!$A$4:$F$259,5,0),"")</f>
        <v/>
      </c>
      <c r="H449" s="161" t="str">
        <f ca="1">IF(N(A449)&gt;0,VLOOKUP(A449,Body!$A$4:$F$259,6,0),"")</f>
        <v/>
      </c>
      <c r="I449" s="161" t="str">
        <f ca="1">IF(N(A449)&gt;0,VLOOKUP(A449,Body!$A$4:$F$259,2,0),"")</f>
        <v/>
      </c>
    </row>
    <row r="450" spans="1:9">
      <c r="A450" s="58"/>
      <c r="B450" s="58" t="str">
        <f ca="1">Start.listina!O122</f>
        <v/>
      </c>
      <c r="C450" s="58" t="str">
        <f ca="1">Start.listina!P122</f>
        <v xml:space="preserve"> </v>
      </c>
      <c r="D450" s="58" t="str">
        <f ca="1">Start.listina!Q122</f>
        <v xml:space="preserve"> </v>
      </c>
      <c r="E450" s="58" t="str">
        <f ca="1">Start.listina!R122</f>
        <v xml:space="preserve"> </v>
      </c>
      <c r="F450" s="58"/>
      <c r="G450" s="542"/>
      <c r="H450" s="161"/>
      <c r="I450" s="161"/>
    </row>
    <row r="451" spans="1:9">
      <c r="A451" s="58"/>
      <c r="B451" s="58" t="str">
        <f ca="1">Start.listina!U122</f>
        <v/>
      </c>
      <c r="C451" s="58" t="str">
        <f ca="1">Start.listina!V122</f>
        <v xml:space="preserve"> </v>
      </c>
      <c r="D451" s="58" t="str">
        <f ca="1">Start.listina!W122</f>
        <v xml:space="preserve"> </v>
      </c>
      <c r="E451" s="58" t="str">
        <f ca="1">Start.listina!X122</f>
        <v xml:space="preserve"> </v>
      </c>
      <c r="F451" s="58"/>
      <c r="G451" s="542"/>
      <c r="H451" s="161"/>
      <c r="I451" s="161"/>
    </row>
    <row r="452" spans="1:9">
      <c r="A452" s="58"/>
      <c r="B452" s="58" t="str">
        <f ca="1">Start.listina!AA122</f>
        <v/>
      </c>
      <c r="C452" s="58" t="str">
        <f ca="1">Start.listina!AB122</f>
        <v xml:space="preserve"> </v>
      </c>
      <c r="D452" s="58" t="str">
        <f ca="1">Start.listina!AC122</f>
        <v xml:space="preserve"> </v>
      </c>
      <c r="E452" s="58" t="str">
        <f ca="1">Start.listina!AD122</f>
        <v xml:space="preserve"> </v>
      </c>
      <c r="F452" s="58"/>
      <c r="G452" s="542"/>
      <c r="H452" s="161"/>
      <c r="I452" s="161"/>
    </row>
    <row r="453" spans="1:9">
      <c r="A453" s="58">
        <f ca="1">Start.listina!AH123</f>
        <v>0</v>
      </c>
      <c r="B453" s="58" t="str">
        <f ca="1">Start.listina!I123</f>
        <v/>
      </c>
      <c r="C453" s="543" t="str">
        <f ca="1">Start.listina!J123</f>
        <v xml:space="preserve"> </v>
      </c>
      <c r="D453" s="58" t="str">
        <f ca="1">Start.listina!K123</f>
        <v xml:space="preserve"> </v>
      </c>
      <c r="E453" s="58" t="str">
        <f ca="1">Start.listina!L123</f>
        <v xml:space="preserve"> </v>
      </c>
      <c r="F453" s="58"/>
      <c r="G453" s="542" t="str">
        <f ca="1">IF(N(A453)&gt;0,VLOOKUP(A453,Body!$A$4:$F$259,5,0),"")</f>
        <v/>
      </c>
      <c r="H453" s="161" t="str">
        <f ca="1">IF(N(A453)&gt;0,VLOOKUP(A453,Body!$A$4:$F$259,6,0),"")</f>
        <v/>
      </c>
      <c r="I453" s="161" t="str">
        <f ca="1">IF(N(A453)&gt;0,VLOOKUP(A453,Body!$A$4:$F$259,2,0),"")</f>
        <v/>
      </c>
    </row>
    <row r="454" spans="1:9">
      <c r="A454" s="58"/>
      <c r="B454" s="58" t="str">
        <f ca="1">Start.listina!O123</f>
        <v/>
      </c>
      <c r="C454" s="58" t="str">
        <f ca="1">Start.listina!P123</f>
        <v xml:space="preserve"> </v>
      </c>
      <c r="D454" s="58" t="str">
        <f ca="1">Start.listina!Q123</f>
        <v xml:space="preserve"> </v>
      </c>
      <c r="E454" s="58" t="str">
        <f ca="1">Start.listina!R123</f>
        <v xml:space="preserve"> </v>
      </c>
      <c r="F454" s="58"/>
      <c r="G454" s="542"/>
      <c r="H454" s="161"/>
      <c r="I454" s="161"/>
    </row>
    <row r="455" spans="1:9">
      <c r="A455" s="58"/>
      <c r="B455" s="58" t="str">
        <f ca="1">Start.listina!U123</f>
        <v/>
      </c>
      <c r="C455" s="58" t="str">
        <f ca="1">Start.listina!V123</f>
        <v xml:space="preserve"> </v>
      </c>
      <c r="D455" s="58" t="str">
        <f ca="1">Start.listina!W123</f>
        <v xml:space="preserve"> </v>
      </c>
      <c r="E455" s="58" t="str">
        <f ca="1">Start.listina!X123</f>
        <v xml:space="preserve"> </v>
      </c>
      <c r="F455" s="58"/>
      <c r="G455" s="542"/>
      <c r="H455" s="161"/>
      <c r="I455" s="161"/>
    </row>
    <row r="456" spans="1:9">
      <c r="A456" s="58"/>
      <c r="B456" s="58" t="str">
        <f ca="1">Start.listina!AA123</f>
        <v/>
      </c>
      <c r="C456" s="58" t="str">
        <f ca="1">Start.listina!AB123</f>
        <v xml:space="preserve"> </v>
      </c>
      <c r="D456" s="58" t="str">
        <f ca="1">Start.listina!AC123</f>
        <v xml:space="preserve"> </v>
      </c>
      <c r="E456" s="58" t="str">
        <f ca="1">Start.listina!AD123</f>
        <v xml:space="preserve"> </v>
      </c>
      <c r="F456" s="58"/>
      <c r="G456" s="542"/>
      <c r="H456" s="161"/>
      <c r="I456" s="161"/>
    </row>
    <row r="457" spans="1:9">
      <c r="A457" s="58">
        <f ca="1">Start.listina!AH124</f>
        <v>0</v>
      </c>
      <c r="B457" s="58" t="str">
        <f ca="1">Start.listina!I124</f>
        <v/>
      </c>
      <c r="C457" s="543" t="str">
        <f ca="1">Start.listina!J124</f>
        <v xml:space="preserve"> </v>
      </c>
      <c r="D457" s="58" t="str">
        <f ca="1">Start.listina!K124</f>
        <v xml:space="preserve"> </v>
      </c>
      <c r="E457" s="58" t="str">
        <f ca="1">Start.listina!L124</f>
        <v xml:space="preserve"> </v>
      </c>
      <c r="F457" s="58"/>
      <c r="G457" s="542" t="str">
        <f ca="1">IF(N(A457)&gt;0,VLOOKUP(A457,Body!$A$4:$F$259,5,0),"")</f>
        <v/>
      </c>
      <c r="H457" s="161" t="str">
        <f ca="1">IF(N(A457)&gt;0,VLOOKUP(A457,Body!$A$4:$F$259,6,0),"")</f>
        <v/>
      </c>
      <c r="I457" s="161" t="str">
        <f ca="1">IF(N(A457)&gt;0,VLOOKUP(A457,Body!$A$4:$F$259,2,0),"")</f>
        <v/>
      </c>
    </row>
    <row r="458" spans="1:9">
      <c r="A458" s="58"/>
      <c r="B458" s="58" t="str">
        <f ca="1">Start.listina!O124</f>
        <v/>
      </c>
      <c r="C458" s="58" t="str">
        <f ca="1">Start.listina!P124</f>
        <v xml:space="preserve"> </v>
      </c>
      <c r="D458" s="58" t="str">
        <f ca="1">Start.listina!Q124</f>
        <v xml:space="preserve"> </v>
      </c>
      <c r="E458" s="58" t="str">
        <f ca="1">Start.listina!R124</f>
        <v xml:space="preserve"> </v>
      </c>
      <c r="F458" s="58"/>
      <c r="G458" s="542"/>
      <c r="H458" s="161"/>
      <c r="I458" s="161"/>
    </row>
    <row r="459" spans="1:9">
      <c r="A459" s="58"/>
      <c r="B459" s="58" t="str">
        <f ca="1">Start.listina!U124</f>
        <v/>
      </c>
      <c r="C459" s="58" t="str">
        <f ca="1">Start.listina!V124</f>
        <v xml:space="preserve"> </v>
      </c>
      <c r="D459" s="58" t="str">
        <f ca="1">Start.listina!W124</f>
        <v xml:space="preserve"> </v>
      </c>
      <c r="E459" s="58" t="str">
        <f ca="1">Start.listina!X124</f>
        <v xml:space="preserve"> </v>
      </c>
      <c r="F459" s="58"/>
      <c r="G459" s="542"/>
      <c r="H459" s="161"/>
      <c r="I459" s="161"/>
    </row>
    <row r="460" spans="1:9">
      <c r="A460" s="58"/>
      <c r="B460" s="58" t="str">
        <f ca="1">Start.listina!AA124</f>
        <v/>
      </c>
      <c r="C460" s="58" t="str">
        <f ca="1">Start.listina!AB124</f>
        <v xml:space="preserve"> </v>
      </c>
      <c r="D460" s="58" t="str">
        <f ca="1">Start.listina!AC124</f>
        <v xml:space="preserve"> </v>
      </c>
      <c r="E460" s="58" t="str">
        <f ca="1">Start.listina!AD124</f>
        <v xml:space="preserve"> </v>
      </c>
      <c r="F460" s="58"/>
      <c r="G460" s="542"/>
      <c r="H460" s="161"/>
      <c r="I460" s="161"/>
    </row>
    <row r="461" spans="1:9">
      <c r="A461" s="58">
        <f ca="1">Start.listina!AH125</f>
        <v>0</v>
      </c>
      <c r="B461" s="58" t="str">
        <f ca="1">Start.listina!I125</f>
        <v/>
      </c>
      <c r="C461" s="543" t="str">
        <f ca="1">Start.listina!J125</f>
        <v xml:space="preserve"> </v>
      </c>
      <c r="D461" s="58" t="str">
        <f ca="1">Start.listina!K125</f>
        <v xml:space="preserve"> </v>
      </c>
      <c r="E461" s="58" t="str">
        <f ca="1">Start.listina!L125</f>
        <v xml:space="preserve"> </v>
      </c>
      <c r="F461" s="58"/>
      <c r="G461" s="542" t="str">
        <f ca="1">IF(N(A461)&gt;0,VLOOKUP(A461,Body!$A$4:$F$259,5,0),"")</f>
        <v/>
      </c>
      <c r="H461" s="161" t="str">
        <f ca="1">IF(N(A461)&gt;0,VLOOKUP(A461,Body!$A$4:$F$259,6,0),"")</f>
        <v/>
      </c>
      <c r="I461" s="161" t="str">
        <f ca="1">IF(N(A461)&gt;0,VLOOKUP(A461,Body!$A$4:$F$259,2,0),"")</f>
        <v/>
      </c>
    </row>
    <row r="462" spans="1:9">
      <c r="A462" s="58"/>
      <c r="B462" s="58" t="str">
        <f ca="1">Start.listina!O125</f>
        <v/>
      </c>
      <c r="C462" s="58" t="str">
        <f ca="1">Start.listina!P125</f>
        <v xml:space="preserve"> </v>
      </c>
      <c r="D462" s="58" t="str">
        <f ca="1">Start.listina!Q125</f>
        <v xml:space="preserve"> </v>
      </c>
      <c r="E462" s="58" t="str">
        <f ca="1">Start.listina!R125</f>
        <v xml:space="preserve"> </v>
      </c>
      <c r="F462" s="58"/>
      <c r="G462" s="542"/>
      <c r="H462" s="161"/>
      <c r="I462" s="161"/>
    </row>
    <row r="463" spans="1:9">
      <c r="A463" s="58"/>
      <c r="B463" s="58" t="str">
        <f ca="1">Start.listina!U125</f>
        <v/>
      </c>
      <c r="C463" s="58" t="str">
        <f ca="1">Start.listina!V125</f>
        <v xml:space="preserve"> </v>
      </c>
      <c r="D463" s="58" t="str">
        <f ca="1">Start.listina!W125</f>
        <v xml:space="preserve"> </v>
      </c>
      <c r="E463" s="58" t="str">
        <f ca="1">Start.listina!X125</f>
        <v xml:space="preserve"> </v>
      </c>
      <c r="F463" s="58"/>
      <c r="G463" s="542"/>
      <c r="H463" s="161"/>
      <c r="I463" s="161"/>
    </row>
    <row r="464" spans="1:9">
      <c r="A464" s="58"/>
      <c r="B464" s="58" t="str">
        <f ca="1">Start.listina!AA125</f>
        <v/>
      </c>
      <c r="C464" s="58" t="str">
        <f ca="1">Start.listina!AB125</f>
        <v xml:space="preserve"> </v>
      </c>
      <c r="D464" s="58" t="str">
        <f ca="1">Start.listina!AC125</f>
        <v xml:space="preserve"> </v>
      </c>
      <c r="E464" s="58" t="str">
        <f ca="1">Start.listina!AD125</f>
        <v xml:space="preserve"> </v>
      </c>
      <c r="F464" s="58"/>
      <c r="G464" s="542"/>
      <c r="H464" s="161"/>
      <c r="I464" s="161"/>
    </row>
    <row r="465" spans="1:9">
      <c r="A465" s="58">
        <f ca="1">Start.listina!AH126</f>
        <v>0</v>
      </c>
      <c r="B465" s="58" t="str">
        <f ca="1">Start.listina!I126</f>
        <v/>
      </c>
      <c r="C465" s="543" t="str">
        <f ca="1">Start.listina!J126</f>
        <v xml:space="preserve"> </v>
      </c>
      <c r="D465" s="58" t="str">
        <f ca="1">Start.listina!K126</f>
        <v xml:space="preserve"> </v>
      </c>
      <c r="E465" s="58" t="str">
        <f ca="1">Start.listina!L126</f>
        <v xml:space="preserve"> </v>
      </c>
      <c r="F465" s="58"/>
      <c r="G465" s="542" t="str">
        <f ca="1">IF(N(A465)&gt;0,VLOOKUP(A465,Body!$A$4:$F$259,5,0),"")</f>
        <v/>
      </c>
      <c r="H465" s="161" t="str">
        <f ca="1">IF(N(A465)&gt;0,VLOOKUP(A465,Body!$A$4:$F$259,6,0),"")</f>
        <v/>
      </c>
      <c r="I465" s="161" t="str">
        <f ca="1">IF(N(A465)&gt;0,VLOOKUP(A465,Body!$A$4:$F$259,2,0),"")</f>
        <v/>
      </c>
    </row>
    <row r="466" spans="1:9">
      <c r="A466" s="58"/>
      <c r="B466" s="58" t="str">
        <f ca="1">Start.listina!O126</f>
        <v/>
      </c>
      <c r="C466" s="58" t="str">
        <f ca="1">Start.listina!P126</f>
        <v xml:space="preserve"> </v>
      </c>
      <c r="D466" s="58" t="str">
        <f ca="1">Start.listina!Q126</f>
        <v xml:space="preserve"> </v>
      </c>
      <c r="E466" s="58" t="str">
        <f ca="1">Start.listina!R126</f>
        <v xml:space="preserve"> </v>
      </c>
      <c r="F466" s="58"/>
      <c r="G466" s="542"/>
      <c r="H466" s="161"/>
      <c r="I466" s="161"/>
    </row>
    <row r="467" spans="1:9">
      <c r="A467" s="58"/>
      <c r="B467" s="58" t="str">
        <f ca="1">Start.listina!U126</f>
        <v/>
      </c>
      <c r="C467" s="58" t="str">
        <f ca="1">Start.listina!V126</f>
        <v xml:space="preserve"> </v>
      </c>
      <c r="D467" s="58" t="str">
        <f ca="1">Start.listina!W126</f>
        <v xml:space="preserve"> </v>
      </c>
      <c r="E467" s="58" t="str">
        <f ca="1">Start.listina!X126</f>
        <v xml:space="preserve"> </v>
      </c>
      <c r="F467" s="58"/>
      <c r="G467" s="542"/>
      <c r="H467" s="161"/>
      <c r="I467" s="161"/>
    </row>
    <row r="468" spans="1:9">
      <c r="A468" s="58"/>
      <c r="B468" s="58" t="str">
        <f ca="1">Start.listina!AA126</f>
        <v/>
      </c>
      <c r="C468" s="58" t="str">
        <f ca="1">Start.listina!AB126</f>
        <v xml:space="preserve"> </v>
      </c>
      <c r="D468" s="58" t="str">
        <f ca="1">Start.listina!AC126</f>
        <v xml:space="preserve"> </v>
      </c>
      <c r="E468" s="58" t="str">
        <f ca="1">Start.listina!AD126</f>
        <v xml:space="preserve"> </v>
      </c>
      <c r="F468" s="58"/>
      <c r="G468" s="542"/>
      <c r="H468" s="161"/>
      <c r="I468" s="161"/>
    </row>
    <row r="469" spans="1:9">
      <c r="A469" s="58">
        <f ca="1">Start.listina!AH127</f>
        <v>0</v>
      </c>
      <c r="B469" s="58" t="str">
        <f ca="1">Start.listina!I127</f>
        <v/>
      </c>
      <c r="C469" s="543" t="str">
        <f ca="1">Start.listina!J127</f>
        <v xml:space="preserve"> </v>
      </c>
      <c r="D469" s="58" t="str">
        <f ca="1">Start.listina!K127</f>
        <v xml:space="preserve"> </v>
      </c>
      <c r="E469" s="58" t="str">
        <f ca="1">Start.listina!L127</f>
        <v xml:space="preserve"> </v>
      </c>
      <c r="F469" s="58"/>
      <c r="G469" s="542" t="str">
        <f ca="1">IF(N(A469)&gt;0,VLOOKUP(A469,Body!$A$4:$F$259,5,0),"")</f>
        <v/>
      </c>
      <c r="H469" s="161" t="str">
        <f ca="1">IF(N(A469)&gt;0,VLOOKUP(A469,Body!$A$4:$F$259,6,0),"")</f>
        <v/>
      </c>
      <c r="I469" s="161" t="str">
        <f ca="1">IF(N(A469)&gt;0,VLOOKUP(A469,Body!$A$4:$F$259,2,0),"")</f>
        <v/>
      </c>
    </row>
    <row r="470" spans="1:9">
      <c r="A470" s="58"/>
      <c r="B470" s="58" t="str">
        <f ca="1">Start.listina!O127</f>
        <v/>
      </c>
      <c r="C470" s="58" t="str">
        <f ca="1">Start.listina!P127</f>
        <v xml:space="preserve"> </v>
      </c>
      <c r="D470" s="58" t="str">
        <f ca="1">Start.listina!Q127</f>
        <v xml:space="preserve"> </v>
      </c>
      <c r="E470" s="58" t="str">
        <f ca="1">Start.listina!R127</f>
        <v xml:space="preserve"> </v>
      </c>
      <c r="F470" s="58"/>
      <c r="G470" s="542"/>
      <c r="H470" s="161"/>
      <c r="I470" s="161"/>
    </row>
    <row r="471" spans="1:9">
      <c r="A471" s="58"/>
      <c r="B471" s="58" t="str">
        <f ca="1">Start.listina!U127</f>
        <v/>
      </c>
      <c r="C471" s="58" t="str">
        <f ca="1">Start.listina!V127</f>
        <v xml:space="preserve"> </v>
      </c>
      <c r="D471" s="58" t="str">
        <f ca="1">Start.listina!W127</f>
        <v xml:space="preserve"> </v>
      </c>
      <c r="E471" s="58" t="str">
        <f ca="1">Start.listina!X127</f>
        <v xml:space="preserve"> </v>
      </c>
      <c r="F471" s="58"/>
      <c r="G471" s="542"/>
      <c r="H471" s="161"/>
      <c r="I471" s="161"/>
    </row>
    <row r="472" spans="1:9">
      <c r="A472" s="58"/>
      <c r="B472" s="58" t="str">
        <f ca="1">Start.listina!AA127</f>
        <v/>
      </c>
      <c r="C472" s="58" t="str">
        <f ca="1">Start.listina!AB127</f>
        <v xml:space="preserve"> </v>
      </c>
      <c r="D472" s="58" t="str">
        <f ca="1">Start.listina!AC127</f>
        <v xml:space="preserve"> </v>
      </c>
      <c r="E472" s="58" t="str">
        <f ca="1">Start.listina!AD127</f>
        <v xml:space="preserve"> </v>
      </c>
      <c r="F472" s="58"/>
      <c r="G472" s="542"/>
      <c r="H472" s="161"/>
      <c r="I472" s="161"/>
    </row>
    <row r="473" spans="1:9">
      <c r="A473" s="58">
        <f ca="1">Start.listina!AH128</f>
        <v>0</v>
      </c>
      <c r="B473" s="58" t="str">
        <f ca="1">Start.listina!I128</f>
        <v/>
      </c>
      <c r="C473" s="543" t="str">
        <f ca="1">Start.listina!J128</f>
        <v xml:space="preserve"> </v>
      </c>
      <c r="D473" s="58" t="str">
        <f ca="1">Start.listina!K128</f>
        <v xml:space="preserve"> </v>
      </c>
      <c r="E473" s="58" t="str">
        <f ca="1">Start.listina!L128</f>
        <v xml:space="preserve"> </v>
      </c>
      <c r="F473" s="58"/>
      <c r="G473" s="542" t="str">
        <f ca="1">IF(N(A473)&gt;0,VLOOKUP(A473,Body!$A$4:$F$259,5,0),"")</f>
        <v/>
      </c>
      <c r="H473" s="161" t="str">
        <f ca="1">IF(N(A473)&gt;0,VLOOKUP(A473,Body!$A$4:$F$259,6,0),"")</f>
        <v/>
      </c>
      <c r="I473" s="161" t="str">
        <f ca="1">IF(N(A473)&gt;0,VLOOKUP(A473,Body!$A$4:$F$259,2,0),"")</f>
        <v/>
      </c>
    </row>
    <row r="474" spans="1:9">
      <c r="A474" s="58"/>
      <c r="B474" s="58" t="str">
        <f ca="1">Start.listina!O128</f>
        <v/>
      </c>
      <c r="C474" s="58" t="str">
        <f ca="1">Start.listina!P128</f>
        <v xml:space="preserve"> </v>
      </c>
      <c r="D474" s="58" t="str">
        <f ca="1">Start.listina!Q128</f>
        <v xml:space="preserve"> </v>
      </c>
      <c r="E474" s="58" t="str">
        <f ca="1">Start.listina!R128</f>
        <v xml:space="preserve"> </v>
      </c>
      <c r="F474" s="58"/>
      <c r="G474" s="542"/>
      <c r="H474" s="161"/>
      <c r="I474" s="161"/>
    </row>
    <row r="475" spans="1:9">
      <c r="A475" s="58"/>
      <c r="B475" s="58" t="str">
        <f ca="1">Start.listina!U128</f>
        <v/>
      </c>
      <c r="C475" s="58" t="str">
        <f ca="1">Start.listina!V128</f>
        <v xml:space="preserve"> </v>
      </c>
      <c r="D475" s="58" t="str">
        <f ca="1">Start.listina!W128</f>
        <v xml:space="preserve"> </v>
      </c>
      <c r="E475" s="58" t="str">
        <f ca="1">Start.listina!X128</f>
        <v xml:space="preserve"> </v>
      </c>
      <c r="F475" s="58"/>
      <c r="G475" s="542"/>
      <c r="H475" s="161"/>
      <c r="I475" s="161"/>
    </row>
    <row r="476" spans="1:9">
      <c r="A476" s="58"/>
      <c r="B476" s="58" t="str">
        <f ca="1">Start.listina!AA128</f>
        <v/>
      </c>
      <c r="C476" s="58" t="str">
        <f ca="1">Start.listina!AB128</f>
        <v xml:space="preserve"> </v>
      </c>
      <c r="D476" s="58" t="str">
        <f ca="1">Start.listina!AC128</f>
        <v xml:space="preserve"> </v>
      </c>
      <c r="E476" s="58" t="str">
        <f ca="1">Start.listina!AD128</f>
        <v xml:space="preserve"> </v>
      </c>
      <c r="F476" s="58"/>
      <c r="G476" s="542"/>
      <c r="H476" s="161"/>
      <c r="I476" s="161"/>
    </row>
    <row r="477" spans="1:9">
      <c r="A477" s="58">
        <f ca="1">Start.listina!AH129</f>
        <v>0</v>
      </c>
      <c r="B477" s="58" t="str">
        <f ca="1">Start.listina!I129</f>
        <v/>
      </c>
      <c r="C477" s="543" t="str">
        <f ca="1">Start.listina!J129</f>
        <v xml:space="preserve"> </v>
      </c>
      <c r="D477" s="58" t="str">
        <f ca="1">Start.listina!K129</f>
        <v xml:space="preserve"> </v>
      </c>
      <c r="E477" s="58" t="str">
        <f ca="1">Start.listina!L129</f>
        <v xml:space="preserve"> </v>
      </c>
      <c r="F477" s="58"/>
      <c r="G477" s="542" t="str">
        <f ca="1">IF(N(A477)&gt;0,VLOOKUP(A477,Body!$A$4:$F$259,5,0),"")</f>
        <v/>
      </c>
      <c r="H477" s="161" t="str">
        <f ca="1">IF(N(A477)&gt;0,VLOOKUP(A477,Body!$A$4:$F$259,6,0),"")</f>
        <v/>
      </c>
      <c r="I477" s="161" t="str">
        <f ca="1">IF(N(A477)&gt;0,VLOOKUP(A477,Body!$A$4:$F$259,2,0),"")</f>
        <v/>
      </c>
    </row>
    <row r="478" spans="1:9">
      <c r="A478" s="58"/>
      <c r="B478" s="58" t="str">
        <f ca="1">Start.listina!O129</f>
        <v/>
      </c>
      <c r="C478" s="58" t="str">
        <f ca="1">Start.listina!P129</f>
        <v xml:space="preserve"> </v>
      </c>
      <c r="D478" s="58" t="str">
        <f ca="1">Start.listina!Q129</f>
        <v xml:space="preserve"> </v>
      </c>
      <c r="E478" s="58" t="str">
        <f ca="1">Start.listina!R129</f>
        <v xml:space="preserve"> </v>
      </c>
      <c r="F478" s="58"/>
      <c r="G478" s="542"/>
      <c r="H478" s="161"/>
      <c r="I478" s="161"/>
    </row>
    <row r="479" spans="1:9">
      <c r="A479" s="58"/>
      <c r="B479" s="58" t="str">
        <f ca="1">Start.listina!U129</f>
        <v/>
      </c>
      <c r="C479" s="58" t="str">
        <f ca="1">Start.listina!V129</f>
        <v xml:space="preserve"> </v>
      </c>
      <c r="D479" s="58" t="str">
        <f ca="1">Start.listina!W129</f>
        <v xml:space="preserve"> </v>
      </c>
      <c r="E479" s="58" t="str">
        <f ca="1">Start.listina!X129</f>
        <v xml:space="preserve"> </v>
      </c>
      <c r="F479" s="58"/>
      <c r="G479" s="542"/>
      <c r="H479" s="161"/>
      <c r="I479" s="161"/>
    </row>
    <row r="480" spans="1:9">
      <c r="A480" s="58"/>
      <c r="B480" s="58" t="str">
        <f ca="1">Start.listina!AA129</f>
        <v/>
      </c>
      <c r="C480" s="58" t="str">
        <f ca="1">Start.listina!AB129</f>
        <v xml:space="preserve"> </v>
      </c>
      <c r="D480" s="58" t="str">
        <f ca="1">Start.listina!AC129</f>
        <v xml:space="preserve"> </v>
      </c>
      <c r="E480" s="58" t="str">
        <f ca="1">Start.listina!AD129</f>
        <v xml:space="preserve"> </v>
      </c>
      <c r="F480" s="58"/>
      <c r="G480" s="542"/>
      <c r="H480" s="161"/>
      <c r="I480" s="161"/>
    </row>
    <row r="481" spans="1:9">
      <c r="A481" s="58">
        <f ca="1">Start.listina!AH130</f>
        <v>0</v>
      </c>
      <c r="B481" s="58" t="str">
        <f ca="1">Start.listina!I130</f>
        <v/>
      </c>
      <c r="C481" s="543" t="str">
        <f ca="1">Start.listina!J130</f>
        <v xml:space="preserve"> </v>
      </c>
      <c r="D481" s="58" t="str">
        <f ca="1">Start.listina!K130</f>
        <v xml:space="preserve"> </v>
      </c>
      <c r="E481" s="58" t="str">
        <f ca="1">Start.listina!L130</f>
        <v xml:space="preserve"> </v>
      </c>
      <c r="F481" s="58"/>
      <c r="G481" s="542" t="str">
        <f ca="1">IF(N(A481)&gt;0,VLOOKUP(A481,Body!$A$4:$F$259,5,0),"")</f>
        <v/>
      </c>
      <c r="H481" s="161" t="str">
        <f ca="1">IF(N(A481)&gt;0,VLOOKUP(A481,Body!$A$4:$F$259,6,0),"")</f>
        <v/>
      </c>
      <c r="I481" s="161" t="str">
        <f ca="1">IF(N(A481)&gt;0,VLOOKUP(A481,Body!$A$4:$F$259,2,0),"")</f>
        <v/>
      </c>
    </row>
    <row r="482" spans="1:9">
      <c r="A482" s="58"/>
      <c r="B482" s="58" t="str">
        <f ca="1">Start.listina!O130</f>
        <v/>
      </c>
      <c r="C482" s="58" t="str">
        <f ca="1">Start.listina!P130</f>
        <v xml:space="preserve"> </v>
      </c>
      <c r="D482" s="58" t="str">
        <f ca="1">Start.listina!Q130</f>
        <v xml:space="preserve"> </v>
      </c>
      <c r="E482" s="58" t="str">
        <f ca="1">Start.listina!R130</f>
        <v xml:space="preserve"> </v>
      </c>
      <c r="F482" s="58"/>
      <c r="G482" s="542"/>
      <c r="H482" s="161"/>
      <c r="I482" s="161"/>
    </row>
    <row r="483" spans="1:9">
      <c r="A483" s="58"/>
      <c r="B483" s="58" t="str">
        <f ca="1">Start.listina!U130</f>
        <v/>
      </c>
      <c r="C483" s="58" t="str">
        <f ca="1">Start.listina!V130</f>
        <v xml:space="preserve"> </v>
      </c>
      <c r="D483" s="58" t="str">
        <f ca="1">Start.listina!W130</f>
        <v xml:space="preserve"> </v>
      </c>
      <c r="E483" s="58" t="str">
        <f ca="1">Start.listina!X130</f>
        <v xml:space="preserve"> </v>
      </c>
      <c r="F483" s="58"/>
      <c r="G483" s="542"/>
      <c r="H483" s="161"/>
      <c r="I483" s="161"/>
    </row>
    <row r="484" spans="1:9">
      <c r="A484" s="58"/>
      <c r="B484" s="58" t="str">
        <f ca="1">Start.listina!AA130</f>
        <v/>
      </c>
      <c r="C484" s="58" t="str">
        <f ca="1">Start.listina!AB130</f>
        <v xml:space="preserve"> </v>
      </c>
      <c r="D484" s="58" t="str">
        <f ca="1">Start.listina!AC130</f>
        <v xml:space="preserve"> </v>
      </c>
      <c r="E484" s="58" t="str">
        <f ca="1">Start.listina!AD130</f>
        <v xml:space="preserve"> </v>
      </c>
      <c r="F484" s="58"/>
      <c r="G484" s="542"/>
      <c r="H484" s="161"/>
      <c r="I484" s="161"/>
    </row>
    <row r="485" spans="1:9">
      <c r="A485" s="58">
        <f ca="1">Start.listina!AH131</f>
        <v>0</v>
      </c>
      <c r="B485" s="58" t="str">
        <f ca="1">Start.listina!I131</f>
        <v/>
      </c>
      <c r="C485" s="543" t="str">
        <f ca="1">Start.listina!J131</f>
        <v xml:space="preserve"> </v>
      </c>
      <c r="D485" s="58" t="str">
        <f ca="1">Start.listina!K131</f>
        <v xml:space="preserve"> </v>
      </c>
      <c r="E485" s="58" t="str">
        <f ca="1">Start.listina!L131</f>
        <v xml:space="preserve"> </v>
      </c>
      <c r="F485" s="58"/>
      <c r="G485" s="542" t="str">
        <f ca="1">IF(N(A485)&gt;0,VLOOKUP(A485,Body!$A$4:$F$259,5,0),"")</f>
        <v/>
      </c>
      <c r="H485" s="161" t="str">
        <f ca="1">IF(N(A485)&gt;0,VLOOKUP(A485,Body!$A$4:$F$259,6,0),"")</f>
        <v/>
      </c>
      <c r="I485" s="161" t="str">
        <f ca="1">IF(N(A485)&gt;0,VLOOKUP(A485,Body!$A$4:$F$259,2,0),"")</f>
        <v/>
      </c>
    </row>
    <row r="486" spans="1:9">
      <c r="A486" s="58"/>
      <c r="B486" s="58" t="str">
        <f ca="1">Start.listina!O131</f>
        <v/>
      </c>
      <c r="C486" s="58" t="str">
        <f ca="1">Start.listina!P131</f>
        <v xml:space="preserve"> </v>
      </c>
      <c r="D486" s="58" t="str">
        <f ca="1">Start.listina!Q131</f>
        <v xml:space="preserve"> </v>
      </c>
      <c r="E486" s="58" t="str">
        <f ca="1">Start.listina!R131</f>
        <v xml:space="preserve"> </v>
      </c>
      <c r="F486" s="58"/>
      <c r="G486" s="542"/>
      <c r="H486" s="161"/>
      <c r="I486" s="161"/>
    </row>
    <row r="487" spans="1:9">
      <c r="A487" s="58"/>
      <c r="B487" s="58" t="str">
        <f ca="1">Start.listina!U131</f>
        <v/>
      </c>
      <c r="C487" s="58" t="str">
        <f ca="1">Start.listina!V131</f>
        <v xml:space="preserve"> </v>
      </c>
      <c r="D487" s="58" t="str">
        <f ca="1">Start.listina!W131</f>
        <v xml:space="preserve"> </v>
      </c>
      <c r="E487" s="58" t="str">
        <f ca="1">Start.listina!X131</f>
        <v xml:space="preserve"> </v>
      </c>
      <c r="F487" s="58"/>
      <c r="G487" s="542"/>
      <c r="H487" s="161"/>
      <c r="I487" s="161"/>
    </row>
    <row r="488" spans="1:9">
      <c r="A488" s="58"/>
      <c r="B488" s="58" t="str">
        <f ca="1">Start.listina!AA131</f>
        <v/>
      </c>
      <c r="C488" s="58" t="str">
        <f ca="1">Start.listina!AB131</f>
        <v xml:space="preserve"> </v>
      </c>
      <c r="D488" s="58" t="str">
        <f ca="1">Start.listina!AC131</f>
        <v xml:space="preserve"> </v>
      </c>
      <c r="E488" s="58" t="str">
        <f ca="1">Start.listina!AD131</f>
        <v xml:space="preserve"> </v>
      </c>
      <c r="F488" s="58"/>
      <c r="G488" s="542"/>
      <c r="H488" s="161"/>
      <c r="I488" s="161"/>
    </row>
    <row r="489" spans="1:9">
      <c r="A489" s="58">
        <f ca="1">Start.listina!AH132</f>
        <v>0</v>
      </c>
      <c r="B489" s="58" t="str">
        <f ca="1">Start.listina!I132</f>
        <v/>
      </c>
      <c r="C489" s="543" t="str">
        <f ca="1">Start.listina!J132</f>
        <v xml:space="preserve"> </v>
      </c>
      <c r="D489" s="58" t="str">
        <f ca="1">Start.listina!K132</f>
        <v xml:space="preserve"> </v>
      </c>
      <c r="E489" s="58" t="str">
        <f ca="1">Start.listina!L132</f>
        <v xml:space="preserve"> </v>
      </c>
      <c r="F489" s="58"/>
      <c r="G489" s="542" t="str">
        <f ca="1">IF(N(A489)&gt;0,VLOOKUP(A489,Body!$A$4:$F$259,5,0),"")</f>
        <v/>
      </c>
      <c r="H489" s="161" t="str">
        <f ca="1">IF(N(A489)&gt;0,VLOOKUP(A489,Body!$A$4:$F$259,6,0),"")</f>
        <v/>
      </c>
      <c r="I489" s="161" t="str">
        <f ca="1">IF(N(A489)&gt;0,VLOOKUP(A489,Body!$A$4:$F$259,2,0),"")</f>
        <v/>
      </c>
    </row>
    <row r="490" spans="1:9">
      <c r="A490" s="58"/>
      <c r="B490" s="58" t="str">
        <f ca="1">Start.listina!O132</f>
        <v/>
      </c>
      <c r="C490" s="58" t="str">
        <f ca="1">Start.listina!P132</f>
        <v xml:space="preserve"> </v>
      </c>
      <c r="D490" s="58" t="str">
        <f ca="1">Start.listina!Q132</f>
        <v xml:space="preserve"> </v>
      </c>
      <c r="E490" s="58" t="str">
        <f ca="1">Start.listina!R132</f>
        <v xml:space="preserve"> </v>
      </c>
      <c r="F490" s="58"/>
      <c r="G490" s="542"/>
      <c r="H490" s="161"/>
      <c r="I490" s="161"/>
    </row>
    <row r="491" spans="1:9">
      <c r="A491" s="58"/>
      <c r="B491" s="58" t="str">
        <f ca="1">Start.listina!U132</f>
        <v/>
      </c>
      <c r="C491" s="58" t="str">
        <f ca="1">Start.listina!V132</f>
        <v xml:space="preserve"> </v>
      </c>
      <c r="D491" s="58" t="str">
        <f ca="1">Start.listina!W132</f>
        <v xml:space="preserve"> </v>
      </c>
      <c r="E491" s="58" t="str">
        <f ca="1">Start.listina!X132</f>
        <v xml:space="preserve"> </v>
      </c>
      <c r="F491" s="58"/>
      <c r="G491" s="542"/>
      <c r="H491" s="161"/>
      <c r="I491" s="161"/>
    </row>
    <row r="492" spans="1:9">
      <c r="A492" s="58"/>
      <c r="B492" s="58" t="str">
        <f ca="1">Start.listina!AA132</f>
        <v/>
      </c>
      <c r="C492" s="58" t="str">
        <f ca="1">Start.listina!AB132</f>
        <v xml:space="preserve"> </v>
      </c>
      <c r="D492" s="58" t="str">
        <f ca="1">Start.listina!AC132</f>
        <v xml:space="preserve"> </v>
      </c>
      <c r="E492" s="58" t="str">
        <f ca="1">Start.listina!AD132</f>
        <v xml:space="preserve"> </v>
      </c>
      <c r="F492" s="58"/>
      <c r="G492" s="542"/>
      <c r="H492" s="161"/>
      <c r="I492" s="161"/>
    </row>
    <row r="493" spans="1:9">
      <c r="A493" s="58">
        <f ca="1">Start.listina!AH133</f>
        <v>0</v>
      </c>
      <c r="B493" s="58" t="str">
        <f ca="1">Start.listina!I133</f>
        <v/>
      </c>
      <c r="C493" s="543" t="str">
        <f ca="1">Start.listina!J133</f>
        <v xml:space="preserve"> </v>
      </c>
      <c r="D493" s="58" t="str">
        <f ca="1">Start.listina!K133</f>
        <v xml:space="preserve"> </v>
      </c>
      <c r="E493" s="58" t="str">
        <f ca="1">Start.listina!L133</f>
        <v xml:space="preserve"> </v>
      </c>
      <c r="F493" s="58"/>
      <c r="G493" s="542" t="str">
        <f ca="1">IF(N(A493)&gt;0,VLOOKUP(A493,Body!$A$4:$F$259,5,0),"")</f>
        <v/>
      </c>
      <c r="H493" s="161" t="str">
        <f ca="1">IF(N(A493)&gt;0,VLOOKUP(A493,Body!$A$4:$F$259,6,0),"")</f>
        <v/>
      </c>
      <c r="I493" s="161" t="str">
        <f ca="1">IF(N(A493)&gt;0,VLOOKUP(A493,Body!$A$4:$F$259,2,0),"")</f>
        <v/>
      </c>
    </row>
    <row r="494" spans="1:9">
      <c r="A494" s="58"/>
      <c r="B494" s="58" t="str">
        <f ca="1">Start.listina!O133</f>
        <v/>
      </c>
      <c r="C494" s="58" t="str">
        <f ca="1">Start.listina!P133</f>
        <v xml:space="preserve"> </v>
      </c>
      <c r="D494" s="58" t="str">
        <f ca="1">Start.listina!Q133</f>
        <v xml:space="preserve"> </v>
      </c>
      <c r="E494" s="58" t="str">
        <f ca="1">Start.listina!R133</f>
        <v xml:space="preserve"> </v>
      </c>
      <c r="F494" s="58"/>
      <c r="G494" s="542"/>
      <c r="H494" s="161"/>
      <c r="I494" s="161"/>
    </row>
    <row r="495" spans="1:9">
      <c r="A495" s="58"/>
      <c r="B495" s="58" t="str">
        <f ca="1">Start.listina!U133</f>
        <v/>
      </c>
      <c r="C495" s="58" t="str">
        <f ca="1">Start.listina!V133</f>
        <v xml:space="preserve"> </v>
      </c>
      <c r="D495" s="58" t="str">
        <f ca="1">Start.listina!W133</f>
        <v xml:space="preserve"> </v>
      </c>
      <c r="E495" s="58" t="str">
        <f ca="1">Start.listina!X133</f>
        <v xml:space="preserve"> </v>
      </c>
      <c r="F495" s="58"/>
      <c r="G495" s="542"/>
      <c r="H495" s="161"/>
      <c r="I495" s="161"/>
    </row>
    <row r="496" spans="1:9">
      <c r="A496" s="58"/>
      <c r="B496" s="58" t="str">
        <f ca="1">Start.listina!AA133</f>
        <v/>
      </c>
      <c r="C496" s="58" t="str">
        <f ca="1">Start.listina!AB133</f>
        <v xml:space="preserve"> </v>
      </c>
      <c r="D496" s="58" t="str">
        <f ca="1">Start.listina!AC133</f>
        <v xml:space="preserve"> </v>
      </c>
      <c r="E496" s="58" t="str">
        <f ca="1">Start.listina!AD133</f>
        <v xml:space="preserve"> </v>
      </c>
      <c r="F496" s="58"/>
      <c r="G496" s="542"/>
      <c r="H496" s="161"/>
      <c r="I496" s="161"/>
    </row>
    <row r="497" spans="1:9">
      <c r="A497" s="58">
        <f ca="1">Start.listina!AH134</f>
        <v>0</v>
      </c>
      <c r="B497" s="58" t="str">
        <f ca="1">Start.listina!I134</f>
        <v/>
      </c>
      <c r="C497" s="543" t="str">
        <f ca="1">Start.listina!J134</f>
        <v xml:space="preserve"> </v>
      </c>
      <c r="D497" s="58" t="str">
        <f ca="1">Start.listina!K134</f>
        <v xml:space="preserve"> </v>
      </c>
      <c r="E497" s="58" t="str">
        <f ca="1">Start.listina!L134</f>
        <v xml:space="preserve"> </v>
      </c>
      <c r="F497" s="58"/>
      <c r="G497" s="542" t="str">
        <f ca="1">IF(N(A497)&gt;0,VLOOKUP(A497,Body!$A$4:$F$259,5,0),"")</f>
        <v/>
      </c>
      <c r="H497" s="161" t="str">
        <f ca="1">IF(N(A497)&gt;0,VLOOKUP(A497,Body!$A$4:$F$259,6,0),"")</f>
        <v/>
      </c>
      <c r="I497" s="161" t="str">
        <f ca="1">IF(N(A497)&gt;0,VLOOKUP(A497,Body!$A$4:$F$259,2,0),"")</f>
        <v/>
      </c>
    </row>
    <row r="498" spans="1:9">
      <c r="A498" s="58"/>
      <c r="B498" s="58" t="str">
        <f ca="1">Start.listina!O134</f>
        <v/>
      </c>
      <c r="C498" s="58" t="str">
        <f ca="1">Start.listina!P134</f>
        <v xml:space="preserve"> </v>
      </c>
      <c r="D498" s="58" t="str">
        <f ca="1">Start.listina!Q134</f>
        <v xml:space="preserve"> </v>
      </c>
      <c r="E498" s="58" t="str">
        <f ca="1">Start.listina!R134</f>
        <v xml:space="preserve"> </v>
      </c>
      <c r="F498" s="58"/>
      <c r="G498" s="542"/>
      <c r="H498" s="161"/>
      <c r="I498" s="161"/>
    </row>
    <row r="499" spans="1:9">
      <c r="A499" s="58"/>
      <c r="B499" s="58" t="str">
        <f ca="1">Start.listina!U134</f>
        <v/>
      </c>
      <c r="C499" s="58" t="str">
        <f ca="1">Start.listina!V134</f>
        <v xml:space="preserve"> </v>
      </c>
      <c r="D499" s="58" t="str">
        <f ca="1">Start.listina!W134</f>
        <v xml:space="preserve"> </v>
      </c>
      <c r="E499" s="58" t="str">
        <f ca="1">Start.listina!X134</f>
        <v xml:space="preserve"> </v>
      </c>
      <c r="F499" s="58"/>
      <c r="G499" s="542"/>
      <c r="H499" s="161"/>
      <c r="I499" s="161"/>
    </row>
    <row r="500" spans="1:9">
      <c r="A500" s="58"/>
      <c r="B500" s="58" t="str">
        <f ca="1">Start.listina!AA134</f>
        <v/>
      </c>
      <c r="C500" s="58" t="str">
        <f ca="1">Start.listina!AB134</f>
        <v xml:space="preserve"> </v>
      </c>
      <c r="D500" s="58" t="str">
        <f ca="1">Start.listina!AC134</f>
        <v xml:space="preserve"> </v>
      </c>
      <c r="E500" s="58" t="str">
        <f ca="1">Start.listina!AD134</f>
        <v xml:space="preserve"> </v>
      </c>
      <c r="F500" s="58"/>
      <c r="G500" s="542"/>
      <c r="H500" s="161"/>
      <c r="I500" s="161"/>
    </row>
    <row r="501" spans="1:9">
      <c r="A501" s="58">
        <f ca="1">Start.listina!AH135</f>
        <v>0</v>
      </c>
      <c r="B501" s="58" t="str">
        <f ca="1">Start.listina!I135</f>
        <v/>
      </c>
      <c r="C501" s="543" t="str">
        <f ca="1">Start.listina!J135</f>
        <v xml:space="preserve"> </v>
      </c>
      <c r="D501" s="58" t="str">
        <f ca="1">Start.listina!K135</f>
        <v xml:space="preserve"> </v>
      </c>
      <c r="E501" s="58" t="str">
        <f ca="1">Start.listina!L135</f>
        <v xml:space="preserve"> </v>
      </c>
      <c r="F501" s="58"/>
      <c r="G501" s="542" t="str">
        <f ca="1">IF(N(A501)&gt;0,VLOOKUP(A501,Body!$A$4:$F$259,5,0),"")</f>
        <v/>
      </c>
      <c r="H501" s="161" t="str">
        <f ca="1">IF(N(A501)&gt;0,VLOOKUP(A501,Body!$A$4:$F$259,6,0),"")</f>
        <v/>
      </c>
      <c r="I501" s="161" t="str">
        <f ca="1">IF(N(A501)&gt;0,VLOOKUP(A501,Body!$A$4:$F$259,2,0),"")</f>
        <v/>
      </c>
    </row>
    <row r="502" spans="1:9">
      <c r="A502" s="58"/>
      <c r="B502" s="58" t="str">
        <f ca="1">Start.listina!O135</f>
        <v/>
      </c>
      <c r="C502" s="58" t="str">
        <f ca="1">Start.listina!P135</f>
        <v xml:space="preserve"> </v>
      </c>
      <c r="D502" s="58" t="str">
        <f ca="1">Start.listina!Q135</f>
        <v xml:space="preserve"> </v>
      </c>
      <c r="E502" s="58" t="str">
        <f ca="1">Start.listina!R135</f>
        <v xml:space="preserve"> </v>
      </c>
      <c r="F502" s="58"/>
      <c r="G502" s="542"/>
      <c r="H502" s="161"/>
      <c r="I502" s="161"/>
    </row>
    <row r="503" spans="1:9">
      <c r="A503" s="58"/>
      <c r="B503" s="58" t="str">
        <f ca="1">Start.listina!U135</f>
        <v/>
      </c>
      <c r="C503" s="58" t="str">
        <f ca="1">Start.listina!V135</f>
        <v xml:space="preserve"> </v>
      </c>
      <c r="D503" s="58" t="str">
        <f ca="1">Start.listina!W135</f>
        <v xml:space="preserve"> </v>
      </c>
      <c r="E503" s="58" t="str">
        <f ca="1">Start.listina!X135</f>
        <v xml:space="preserve"> </v>
      </c>
      <c r="F503" s="58"/>
      <c r="G503" s="542"/>
      <c r="H503" s="161"/>
      <c r="I503" s="161"/>
    </row>
    <row r="504" spans="1:9">
      <c r="A504" s="58"/>
      <c r="B504" s="58" t="str">
        <f ca="1">Start.listina!AA135</f>
        <v/>
      </c>
      <c r="C504" s="58" t="str">
        <f ca="1">Start.listina!AB135</f>
        <v xml:space="preserve"> </v>
      </c>
      <c r="D504" s="58" t="str">
        <f ca="1">Start.listina!AC135</f>
        <v xml:space="preserve"> </v>
      </c>
      <c r="E504" s="58" t="str">
        <f ca="1">Start.listina!AD135</f>
        <v xml:space="preserve"> </v>
      </c>
      <c r="F504" s="58"/>
      <c r="G504" s="542"/>
      <c r="H504" s="161"/>
      <c r="I504" s="161"/>
    </row>
    <row r="505" spans="1:9">
      <c r="A505" s="58">
        <f ca="1">Start.listina!AH136</f>
        <v>0</v>
      </c>
      <c r="B505" s="58" t="str">
        <f ca="1">Start.listina!I136</f>
        <v/>
      </c>
      <c r="C505" s="543" t="str">
        <f ca="1">Start.listina!J136</f>
        <v xml:space="preserve"> </v>
      </c>
      <c r="D505" s="58" t="str">
        <f ca="1">Start.listina!K136</f>
        <v xml:space="preserve"> </v>
      </c>
      <c r="E505" s="58" t="str">
        <f ca="1">Start.listina!L136</f>
        <v xml:space="preserve"> </v>
      </c>
      <c r="F505" s="58"/>
      <c r="G505" s="542" t="str">
        <f ca="1">IF(N(A505)&gt;0,VLOOKUP(A505,Body!$A$4:$F$259,5,0),"")</f>
        <v/>
      </c>
      <c r="H505" s="161" t="str">
        <f ca="1">IF(N(A505)&gt;0,VLOOKUP(A505,Body!$A$4:$F$259,6,0),"")</f>
        <v/>
      </c>
      <c r="I505" s="161" t="str">
        <f ca="1">IF(N(A505)&gt;0,VLOOKUP(A505,Body!$A$4:$F$259,2,0),"")</f>
        <v/>
      </c>
    </row>
    <row r="506" spans="1:9">
      <c r="A506" s="58"/>
      <c r="B506" s="58" t="str">
        <f ca="1">Start.listina!O136</f>
        <v/>
      </c>
      <c r="C506" s="58" t="str">
        <f ca="1">Start.listina!P136</f>
        <v xml:space="preserve"> </v>
      </c>
      <c r="D506" s="58" t="str">
        <f ca="1">Start.listina!Q136</f>
        <v xml:space="preserve"> </v>
      </c>
      <c r="E506" s="58" t="str">
        <f ca="1">Start.listina!R136</f>
        <v xml:space="preserve"> </v>
      </c>
      <c r="F506" s="58"/>
      <c r="G506" s="542"/>
      <c r="H506" s="161"/>
      <c r="I506" s="161"/>
    </row>
    <row r="507" spans="1:9">
      <c r="A507" s="58"/>
      <c r="B507" s="58" t="str">
        <f ca="1">Start.listina!U136</f>
        <v/>
      </c>
      <c r="C507" s="58" t="str">
        <f ca="1">Start.listina!V136</f>
        <v xml:space="preserve"> </v>
      </c>
      <c r="D507" s="58" t="str">
        <f ca="1">Start.listina!W136</f>
        <v xml:space="preserve"> </v>
      </c>
      <c r="E507" s="58" t="str">
        <f ca="1">Start.listina!X136</f>
        <v xml:space="preserve"> </v>
      </c>
      <c r="F507" s="58"/>
      <c r="G507" s="542"/>
      <c r="H507" s="161"/>
      <c r="I507" s="161"/>
    </row>
    <row r="508" spans="1:9">
      <c r="A508" s="58"/>
      <c r="B508" s="58" t="str">
        <f ca="1">Start.listina!AA136</f>
        <v/>
      </c>
      <c r="C508" s="58" t="str">
        <f ca="1">Start.listina!AB136</f>
        <v xml:space="preserve"> </v>
      </c>
      <c r="D508" s="58" t="str">
        <f ca="1">Start.listina!AC136</f>
        <v xml:space="preserve"> </v>
      </c>
      <c r="E508" s="58" t="str">
        <f ca="1">Start.listina!AD136</f>
        <v xml:space="preserve"> </v>
      </c>
      <c r="F508" s="58"/>
      <c r="G508" s="542"/>
      <c r="H508" s="161"/>
      <c r="I508" s="161"/>
    </row>
    <row r="509" spans="1:9">
      <c r="A509" s="58">
        <f ca="1">Start.listina!AH137</f>
        <v>0</v>
      </c>
      <c r="B509" s="58" t="str">
        <f ca="1">Start.listina!I137</f>
        <v/>
      </c>
      <c r="C509" s="543" t="str">
        <f ca="1">Start.listina!J137</f>
        <v xml:space="preserve"> </v>
      </c>
      <c r="D509" s="58" t="str">
        <f ca="1">Start.listina!K137</f>
        <v xml:space="preserve"> </v>
      </c>
      <c r="E509" s="58" t="str">
        <f ca="1">Start.listina!L137</f>
        <v xml:space="preserve"> </v>
      </c>
      <c r="F509" s="58"/>
      <c r="G509" s="542" t="str">
        <f ca="1">IF(N(A509)&gt;0,VLOOKUP(A509,Body!$A$4:$F$259,5,0),"")</f>
        <v/>
      </c>
      <c r="H509" s="161" t="str">
        <f ca="1">IF(N(A509)&gt;0,VLOOKUP(A509,Body!$A$4:$F$259,6,0),"")</f>
        <v/>
      </c>
      <c r="I509" s="161" t="str">
        <f ca="1">IF(N(A509)&gt;0,VLOOKUP(A509,Body!$A$4:$F$259,2,0),"")</f>
        <v/>
      </c>
    </row>
    <row r="510" spans="1:9">
      <c r="A510" s="58"/>
      <c r="B510" s="58" t="str">
        <f ca="1">Start.listina!O137</f>
        <v/>
      </c>
      <c r="C510" s="58" t="str">
        <f ca="1">Start.listina!P137</f>
        <v xml:space="preserve"> </v>
      </c>
      <c r="D510" s="58" t="str">
        <f ca="1">Start.listina!Q137</f>
        <v xml:space="preserve"> </v>
      </c>
      <c r="E510" s="58" t="str">
        <f ca="1">Start.listina!R137</f>
        <v xml:space="preserve"> </v>
      </c>
      <c r="F510" s="58"/>
      <c r="G510" s="542"/>
      <c r="H510" s="161"/>
      <c r="I510" s="161"/>
    </row>
    <row r="511" spans="1:9">
      <c r="A511" s="58"/>
      <c r="B511" s="58" t="str">
        <f ca="1">Start.listina!U137</f>
        <v/>
      </c>
      <c r="C511" s="58" t="str">
        <f ca="1">Start.listina!V137</f>
        <v xml:space="preserve"> </v>
      </c>
      <c r="D511" s="58" t="str">
        <f ca="1">Start.listina!W137</f>
        <v xml:space="preserve"> </v>
      </c>
      <c r="E511" s="58" t="str">
        <f ca="1">Start.listina!X137</f>
        <v xml:space="preserve"> </v>
      </c>
      <c r="F511" s="58"/>
      <c r="G511" s="542"/>
      <c r="H511" s="161"/>
      <c r="I511" s="161"/>
    </row>
    <row r="512" spans="1:9">
      <c r="A512" s="58"/>
      <c r="B512" s="58" t="str">
        <f ca="1">Start.listina!AA137</f>
        <v/>
      </c>
      <c r="C512" s="58" t="str">
        <f ca="1">Start.listina!AB137</f>
        <v xml:space="preserve"> </v>
      </c>
      <c r="D512" s="58" t="str">
        <f ca="1">Start.listina!AC137</f>
        <v xml:space="preserve"> </v>
      </c>
      <c r="E512" s="58" t="str">
        <f ca="1">Start.listina!AD137</f>
        <v xml:space="preserve"> </v>
      </c>
      <c r="F512" s="58"/>
      <c r="G512" s="542"/>
      <c r="H512" s="161"/>
      <c r="I512" s="161"/>
    </row>
    <row r="513" spans="1:9">
      <c r="A513" s="58">
        <f ca="1">Start.listina!AH138</f>
        <v>0</v>
      </c>
      <c r="B513" s="58" t="str">
        <f ca="1">Start.listina!I138</f>
        <v/>
      </c>
      <c r="C513" s="543" t="str">
        <f ca="1">Start.listina!J138</f>
        <v xml:space="preserve"> </v>
      </c>
      <c r="D513" s="58" t="str">
        <f ca="1">Start.listina!K138</f>
        <v xml:space="preserve"> </v>
      </c>
      <c r="E513" s="58" t="str">
        <f ca="1">Start.listina!L138</f>
        <v xml:space="preserve"> </v>
      </c>
      <c r="F513" s="58"/>
      <c r="G513" s="542" t="str">
        <f ca="1">IF(N(A513)&gt;0,VLOOKUP(A513,Body!$A$4:$F$259,5,0),"")</f>
        <v/>
      </c>
      <c r="H513" s="161" t="str">
        <f ca="1">IF(N(A513)&gt;0,VLOOKUP(A513,Body!$A$4:$F$259,6,0),"")</f>
        <v/>
      </c>
      <c r="I513" s="161" t="str">
        <f ca="1">IF(N(A513)&gt;0,VLOOKUP(A513,Body!$A$4:$F$259,2,0),"")</f>
        <v/>
      </c>
    </row>
    <row r="514" spans="1:9">
      <c r="A514" s="58"/>
      <c r="B514" s="58" t="str">
        <f ca="1">Start.listina!O138</f>
        <v/>
      </c>
      <c r="C514" s="58" t="str">
        <f ca="1">Start.listina!P138</f>
        <v xml:space="preserve"> </v>
      </c>
      <c r="D514" s="58" t="str">
        <f ca="1">Start.listina!Q138</f>
        <v xml:space="preserve"> </v>
      </c>
      <c r="E514" s="58" t="str">
        <f ca="1">Start.listina!R138</f>
        <v xml:space="preserve"> </v>
      </c>
      <c r="F514" s="58"/>
      <c r="G514" s="542"/>
      <c r="H514" s="161"/>
      <c r="I514" s="161"/>
    </row>
    <row r="515" spans="1:9">
      <c r="A515" s="58"/>
      <c r="B515" s="58" t="str">
        <f ca="1">Start.listina!U138</f>
        <v/>
      </c>
      <c r="C515" s="58" t="str">
        <f ca="1">Start.listina!V138</f>
        <v xml:space="preserve"> </v>
      </c>
      <c r="D515" s="58" t="str">
        <f ca="1">Start.listina!W138</f>
        <v xml:space="preserve"> </v>
      </c>
      <c r="E515" s="58" t="str">
        <f ca="1">Start.listina!X138</f>
        <v xml:space="preserve"> </v>
      </c>
      <c r="F515" s="58"/>
      <c r="G515" s="542"/>
      <c r="H515" s="161"/>
      <c r="I515" s="161"/>
    </row>
    <row r="516" spans="1:9">
      <c r="A516" s="58"/>
      <c r="B516" s="58" t="str">
        <f ca="1">Start.listina!AA138</f>
        <v/>
      </c>
      <c r="C516" s="58" t="str">
        <f ca="1">Start.listina!AB138</f>
        <v xml:space="preserve"> </v>
      </c>
      <c r="D516" s="58" t="str">
        <f ca="1">Start.listina!AC138</f>
        <v xml:space="preserve"> </v>
      </c>
      <c r="E516" s="58" t="str">
        <f ca="1">Start.listina!AD138</f>
        <v xml:space="preserve"> </v>
      </c>
      <c r="F516" s="58"/>
      <c r="G516" s="542"/>
      <c r="H516" s="161"/>
      <c r="I516" s="161"/>
    </row>
    <row r="517" spans="1:9">
      <c r="A517" s="58">
        <f>Start.listina!AH523</f>
        <v>0</v>
      </c>
      <c r="B517" s="58">
        <f>Start.listina!I523</f>
        <v>0</v>
      </c>
      <c r="C517" s="58">
        <f>Start.listina!J523</f>
        <v>0</v>
      </c>
      <c r="D517" s="58">
        <f>Start.listina!K523</f>
        <v>0</v>
      </c>
      <c r="E517" s="58">
        <f>Start.listina!L523</f>
        <v>0</v>
      </c>
      <c r="F517" s="58"/>
      <c r="G517" s="542" t="str">
        <f>IF(N(A517)&gt;0,VLOOKUP(A517,Body!$A$4:$F$259,5,0),"")</f>
        <v/>
      </c>
      <c r="H517" s="161" t="str">
        <f>IF(N(A517)&gt;0,VLOOKUP(A517,Body!$A$4:$F$259,6,0),"")</f>
        <v/>
      </c>
      <c r="I517" s="161" t="str">
        <f>IF(N(A517)&gt;0,VLOOKUP(A517,Body!$A$4:$F$259,2,0),"")</f>
        <v/>
      </c>
    </row>
    <row r="518" spans="1:9">
      <c r="A518" s="58"/>
      <c r="B518" s="58">
        <f>Start.listina!O523</f>
        <v>0</v>
      </c>
      <c r="C518" s="58">
        <f>Start.listina!P523</f>
        <v>0</v>
      </c>
      <c r="D518" s="58">
        <f>Start.listina!Q523</f>
        <v>0</v>
      </c>
      <c r="E518" s="58">
        <f>Start.listina!R523</f>
        <v>0</v>
      </c>
      <c r="F518" s="58"/>
      <c r="G518" s="542"/>
      <c r="H518" s="161"/>
      <c r="I518" s="161"/>
    </row>
    <row r="519" spans="1:9">
      <c r="A519" s="58"/>
      <c r="B519" s="58">
        <f>Start.listina!U523</f>
        <v>0</v>
      </c>
      <c r="C519" s="58">
        <f>Start.listina!V523</f>
        <v>0</v>
      </c>
      <c r="D519" s="58">
        <f>Start.listina!W523</f>
        <v>0</v>
      </c>
      <c r="E519" s="58">
        <f>Start.listina!X523</f>
        <v>0</v>
      </c>
      <c r="F519" s="58"/>
      <c r="G519" s="542"/>
      <c r="H519" s="161"/>
      <c r="I519" s="161"/>
    </row>
    <row r="520" spans="1:9">
      <c r="A520" s="58"/>
      <c r="B520" s="58">
        <f>Start.listina!AA523</f>
        <v>0</v>
      </c>
      <c r="C520" s="58">
        <f>Start.listina!AB523</f>
        <v>0</v>
      </c>
      <c r="D520" s="58">
        <f>Start.listina!AC523</f>
        <v>0</v>
      </c>
      <c r="E520" s="58">
        <f>Start.listina!AD523</f>
        <v>0</v>
      </c>
      <c r="F520" s="58"/>
      <c r="G520" s="542"/>
      <c r="H520" s="161"/>
      <c r="I520" s="161"/>
    </row>
    <row r="521" spans="1:9">
      <c r="A521" s="58">
        <f>Start.listina!AH524</f>
        <v>0</v>
      </c>
      <c r="B521" s="58">
        <f>Start.listina!I524</f>
        <v>0</v>
      </c>
      <c r="C521" s="58">
        <f>Start.listina!J524</f>
        <v>0</v>
      </c>
      <c r="D521" s="58">
        <f>Start.listina!K524</f>
        <v>0</v>
      </c>
      <c r="E521" s="58">
        <f>Start.listina!L524</f>
        <v>0</v>
      </c>
      <c r="F521" s="58"/>
      <c r="G521" s="542" t="str">
        <f>IF(N(A521)&gt;0,VLOOKUP(A521,Body!$A$4:$F$259,5,0),"")</f>
        <v/>
      </c>
      <c r="H521" s="161" t="str">
        <f>IF(N(A521)&gt;0,VLOOKUP(A521,Body!$A$4:$F$259,6,0),"")</f>
        <v/>
      </c>
      <c r="I521" s="161" t="str">
        <f>IF(N(A521)&gt;0,VLOOKUP(A521,Body!$A$4:$F$259,2,0),"")</f>
        <v/>
      </c>
    </row>
    <row r="522" spans="1:9">
      <c r="A522" s="58"/>
      <c r="B522" s="58">
        <f>Start.listina!O524</f>
        <v>0</v>
      </c>
      <c r="C522" s="58">
        <f>Start.listina!P524</f>
        <v>0</v>
      </c>
      <c r="D522" s="58">
        <f>Start.listina!Q524</f>
        <v>0</v>
      </c>
      <c r="E522" s="58">
        <f>Start.listina!R524</f>
        <v>0</v>
      </c>
      <c r="F522" s="58"/>
      <c r="G522" s="542"/>
      <c r="H522" s="161"/>
      <c r="I522" s="161"/>
    </row>
    <row r="523" spans="1:9">
      <c r="A523" s="58"/>
      <c r="B523" s="58">
        <f>Start.listina!U524</f>
        <v>0</v>
      </c>
      <c r="C523" s="58">
        <f>Start.listina!V524</f>
        <v>0</v>
      </c>
      <c r="D523" s="58">
        <f>Start.listina!W524</f>
        <v>0</v>
      </c>
      <c r="E523" s="58">
        <f>Start.listina!X524</f>
        <v>0</v>
      </c>
      <c r="F523" s="58"/>
      <c r="G523" s="542"/>
      <c r="H523" s="161"/>
      <c r="I523" s="161"/>
    </row>
    <row r="524" spans="1:9">
      <c r="A524" s="58"/>
      <c r="B524" s="58">
        <f>Start.listina!AA524</f>
        <v>0</v>
      </c>
      <c r="C524" s="58">
        <f>Start.listina!AB524</f>
        <v>0</v>
      </c>
      <c r="D524" s="58">
        <f>Start.listina!AC524</f>
        <v>0</v>
      </c>
      <c r="E524" s="58">
        <f>Start.listina!AD524</f>
        <v>0</v>
      </c>
      <c r="F524" s="58"/>
      <c r="G524" s="542"/>
      <c r="H524" s="161"/>
      <c r="I524" s="161"/>
    </row>
    <row r="525" spans="1:9">
      <c r="A525" s="58">
        <f>Start.listina!AH525</f>
        <v>0</v>
      </c>
      <c r="B525" s="58">
        <f>Start.listina!I525</f>
        <v>0</v>
      </c>
      <c r="C525" s="58">
        <f>Start.listina!J525</f>
        <v>0</v>
      </c>
      <c r="D525" s="58">
        <f>Start.listina!K525</f>
        <v>0</v>
      </c>
      <c r="E525" s="58">
        <f>Start.listina!L525</f>
        <v>0</v>
      </c>
      <c r="F525" s="58"/>
      <c r="G525" s="542" t="str">
        <f>IF(N(A525)&gt;0,VLOOKUP(A525,Body!$A$4:$F$259,5,0),"")</f>
        <v/>
      </c>
      <c r="H525" s="161" t="str">
        <f>IF(N(A525)&gt;0,VLOOKUP(A525,Body!$A$4:$F$259,6,0),"")</f>
        <v/>
      </c>
      <c r="I525" s="161" t="str">
        <f>IF(N(A525)&gt;0,VLOOKUP(A525,Body!$A$4:$F$259,2,0),"")</f>
        <v/>
      </c>
    </row>
    <row r="526" spans="1:9">
      <c r="A526" s="58"/>
      <c r="B526" s="58">
        <f>Start.listina!O525</f>
        <v>0</v>
      </c>
      <c r="C526" s="58">
        <f>Start.listina!P525</f>
        <v>0</v>
      </c>
      <c r="D526" s="58">
        <f>Start.listina!Q525</f>
        <v>0</v>
      </c>
      <c r="E526" s="58">
        <f>Start.listina!R525</f>
        <v>0</v>
      </c>
      <c r="F526" s="58"/>
      <c r="G526" s="542"/>
      <c r="H526" s="161"/>
      <c r="I526" s="161"/>
    </row>
    <row r="527" spans="1:9">
      <c r="A527" s="58"/>
      <c r="B527" s="58">
        <f>Start.listina!U525</f>
        <v>0</v>
      </c>
      <c r="C527" s="58">
        <f>Start.listina!V525</f>
        <v>0</v>
      </c>
      <c r="D527" s="58">
        <f>Start.listina!W525</f>
        <v>0</v>
      </c>
      <c r="E527" s="58">
        <f>Start.listina!X525</f>
        <v>0</v>
      </c>
      <c r="F527" s="58"/>
      <c r="G527" s="542"/>
      <c r="H527" s="161"/>
      <c r="I527" s="161"/>
    </row>
    <row r="528" spans="1:9">
      <c r="A528" s="58"/>
      <c r="B528" s="58">
        <f>Start.listina!AA525</f>
        <v>0</v>
      </c>
      <c r="C528" s="58">
        <f>Start.listina!AB525</f>
        <v>0</v>
      </c>
      <c r="D528" s="58">
        <f>Start.listina!AC525</f>
        <v>0</v>
      </c>
      <c r="E528" s="58">
        <f>Start.listina!AD525</f>
        <v>0</v>
      </c>
      <c r="F528" s="58"/>
      <c r="G528" s="542"/>
      <c r="H528" s="161"/>
      <c r="I528" s="161"/>
    </row>
    <row r="529" spans="1:9">
      <c r="A529" s="58">
        <f>Start.listina!AH526</f>
        <v>0</v>
      </c>
      <c r="B529" s="58">
        <f>Start.listina!I526</f>
        <v>0</v>
      </c>
      <c r="C529" s="58">
        <f>Start.listina!J526</f>
        <v>0</v>
      </c>
      <c r="D529" s="58">
        <f>Start.listina!K526</f>
        <v>0</v>
      </c>
      <c r="E529" s="58">
        <f>Start.listina!L526</f>
        <v>0</v>
      </c>
      <c r="F529" s="58"/>
      <c r="G529" s="542" t="str">
        <f>IF(N(A529)&gt;0,VLOOKUP(A529,Body!$A$4:$F$259,5,0),"")</f>
        <v/>
      </c>
      <c r="H529" s="161" t="str">
        <f>IF(N(A529)&gt;0,VLOOKUP(A529,Body!$A$4:$F$259,6,0),"")</f>
        <v/>
      </c>
      <c r="I529" s="161" t="str">
        <f>IF(N(A529)&gt;0,VLOOKUP(A529,Body!$A$4:$F$259,2,0),"")</f>
        <v/>
      </c>
    </row>
    <row r="530" spans="1:9">
      <c r="A530" s="58"/>
      <c r="B530" s="58">
        <f>Start.listina!O526</f>
        <v>0</v>
      </c>
      <c r="C530" s="58">
        <f>Start.listina!P526</f>
        <v>0</v>
      </c>
      <c r="D530" s="58">
        <f>Start.listina!Q526</f>
        <v>0</v>
      </c>
      <c r="E530" s="58">
        <f>Start.listina!R526</f>
        <v>0</v>
      </c>
      <c r="F530" s="58"/>
      <c r="G530" s="542"/>
      <c r="H530" s="161"/>
      <c r="I530" s="161"/>
    </row>
    <row r="531" spans="1:9">
      <c r="A531" s="58"/>
      <c r="B531" s="58">
        <f>Start.listina!U526</f>
        <v>0</v>
      </c>
      <c r="C531" s="58">
        <f>Start.listina!V526</f>
        <v>0</v>
      </c>
      <c r="D531" s="58">
        <f>Start.listina!W526</f>
        <v>0</v>
      </c>
      <c r="E531" s="58">
        <f>Start.listina!X526</f>
        <v>0</v>
      </c>
      <c r="F531" s="58"/>
      <c r="G531" s="542"/>
      <c r="H531" s="161"/>
      <c r="I531" s="161"/>
    </row>
    <row r="532" spans="1:9">
      <c r="A532" s="58"/>
      <c r="B532" s="58">
        <f>Start.listina!AA526</f>
        <v>0</v>
      </c>
      <c r="C532" s="58">
        <f>Start.listina!AB526</f>
        <v>0</v>
      </c>
      <c r="D532" s="58">
        <f>Start.listina!AC526</f>
        <v>0</v>
      </c>
      <c r="E532" s="58">
        <f>Start.listina!AD526</f>
        <v>0</v>
      </c>
      <c r="F532" s="58"/>
      <c r="G532" s="542"/>
      <c r="H532" s="161"/>
      <c r="I532" s="161"/>
    </row>
    <row r="533" spans="1:9">
      <c r="A533" s="58">
        <f>Start.listina!AH527</f>
        <v>0</v>
      </c>
      <c r="B533" s="58">
        <f>Start.listina!I527</f>
        <v>0</v>
      </c>
      <c r="C533" s="58">
        <f>Start.listina!J527</f>
        <v>0</v>
      </c>
      <c r="D533" s="58">
        <f>Start.listina!K527</f>
        <v>0</v>
      </c>
      <c r="E533" s="58">
        <f>Start.listina!L527</f>
        <v>0</v>
      </c>
      <c r="F533" s="58"/>
      <c r="G533" s="542" t="str">
        <f>IF(N(A533)&gt;0,VLOOKUP(A533,Body!$A$4:$F$259,5,0),"")</f>
        <v/>
      </c>
      <c r="H533" s="161" t="str">
        <f>IF(N(A533)&gt;0,VLOOKUP(A533,Body!$A$4:$F$259,6,0),"")</f>
        <v/>
      </c>
      <c r="I533" s="161" t="str">
        <f>IF(N(A533)&gt;0,VLOOKUP(A533,Body!$A$4:$F$259,2,0),"")</f>
        <v/>
      </c>
    </row>
    <row r="534" spans="1:9">
      <c r="A534" s="58"/>
      <c r="B534" s="58">
        <f>Start.listina!O527</f>
        <v>0</v>
      </c>
      <c r="C534" s="58">
        <f>Start.listina!P527</f>
        <v>0</v>
      </c>
      <c r="D534" s="58">
        <f>Start.listina!Q527</f>
        <v>0</v>
      </c>
      <c r="E534" s="58">
        <f>Start.listina!R527</f>
        <v>0</v>
      </c>
      <c r="F534" s="58"/>
      <c r="G534" s="542"/>
      <c r="H534" s="161"/>
      <c r="I534" s="161"/>
    </row>
    <row r="535" spans="1:9">
      <c r="A535" s="58"/>
      <c r="B535" s="58">
        <f>Start.listina!U527</f>
        <v>0</v>
      </c>
      <c r="C535" s="58">
        <f>Start.listina!V527</f>
        <v>0</v>
      </c>
      <c r="D535" s="58">
        <f>Start.listina!W527</f>
        <v>0</v>
      </c>
      <c r="E535" s="58">
        <f>Start.listina!X527</f>
        <v>0</v>
      </c>
      <c r="F535" s="58"/>
      <c r="G535" s="542"/>
      <c r="H535" s="161"/>
      <c r="I535" s="161"/>
    </row>
    <row r="536" spans="1:9">
      <c r="A536" s="58"/>
      <c r="B536" s="58">
        <f>Start.listina!AA527</f>
        <v>0</v>
      </c>
      <c r="C536" s="58">
        <f>Start.listina!AB527</f>
        <v>0</v>
      </c>
      <c r="D536" s="58">
        <f>Start.listina!AC527</f>
        <v>0</v>
      </c>
      <c r="E536" s="58">
        <f>Start.listina!AD527</f>
        <v>0</v>
      </c>
      <c r="F536" s="58"/>
      <c r="G536" s="542"/>
      <c r="H536" s="161"/>
      <c r="I536" s="161"/>
    </row>
    <row r="537" spans="1:9">
      <c r="A537" s="58">
        <f>Start.listina!AH528</f>
        <v>0</v>
      </c>
      <c r="B537" s="58">
        <f>Start.listina!I528</f>
        <v>0</v>
      </c>
      <c r="C537" s="58">
        <f>Start.listina!J528</f>
        <v>0</v>
      </c>
      <c r="D537" s="58">
        <f>Start.listina!K528</f>
        <v>0</v>
      </c>
      <c r="E537" s="58">
        <f>Start.listina!L528</f>
        <v>0</v>
      </c>
      <c r="F537" s="58"/>
      <c r="G537" s="542" t="str">
        <f>IF(N(A537)&gt;0,VLOOKUP(A537,Body!$A$4:$F$259,5,0),"")</f>
        <v/>
      </c>
      <c r="H537" s="161" t="str">
        <f>IF(N(A537)&gt;0,VLOOKUP(A537,Body!$A$4:$F$259,6,0),"")</f>
        <v/>
      </c>
      <c r="I537" s="161" t="str">
        <f>IF(N(A537)&gt;0,VLOOKUP(A537,Body!$A$4:$F$259,2,0),"")</f>
        <v/>
      </c>
    </row>
    <row r="538" spans="1:9">
      <c r="A538" s="58"/>
      <c r="B538" s="58">
        <f>Start.listina!O528</f>
        <v>0</v>
      </c>
      <c r="C538" s="58">
        <f>Start.listina!P528</f>
        <v>0</v>
      </c>
      <c r="D538" s="58">
        <f>Start.listina!Q528</f>
        <v>0</v>
      </c>
      <c r="E538" s="58">
        <f>Start.listina!R528</f>
        <v>0</v>
      </c>
      <c r="F538" s="58"/>
      <c r="G538" s="542"/>
      <c r="H538" s="161"/>
      <c r="I538" s="161"/>
    </row>
    <row r="539" spans="1:9">
      <c r="A539" s="58"/>
      <c r="B539" s="58">
        <f>Start.listina!U528</f>
        <v>0</v>
      </c>
      <c r="C539" s="58">
        <f>Start.listina!V528</f>
        <v>0</v>
      </c>
      <c r="D539" s="58">
        <f>Start.listina!W528</f>
        <v>0</v>
      </c>
      <c r="E539" s="58">
        <f>Start.listina!X528</f>
        <v>0</v>
      </c>
      <c r="F539" s="58"/>
      <c r="G539" s="542"/>
      <c r="H539" s="161"/>
      <c r="I539" s="161"/>
    </row>
    <row r="540" spans="1:9">
      <c r="A540" s="58"/>
      <c r="B540" s="58">
        <f>Start.listina!AA528</f>
        <v>0</v>
      </c>
      <c r="C540" s="58">
        <f>Start.listina!AB528</f>
        <v>0</v>
      </c>
      <c r="D540" s="58">
        <f>Start.listina!AC528</f>
        <v>0</v>
      </c>
      <c r="E540" s="58">
        <f>Start.listina!AD528</f>
        <v>0</v>
      </c>
      <c r="F540" s="58"/>
      <c r="G540" s="542"/>
      <c r="H540" s="161"/>
      <c r="I540" s="161"/>
    </row>
    <row r="541" spans="1:9">
      <c r="A541" s="58">
        <f>Start.listina!AH529</f>
        <v>0</v>
      </c>
      <c r="B541" s="58">
        <f>Start.listina!I529</f>
        <v>0</v>
      </c>
      <c r="C541" s="58">
        <f>Start.listina!J529</f>
        <v>0</v>
      </c>
      <c r="D541" s="58">
        <f>Start.listina!K529</f>
        <v>0</v>
      </c>
      <c r="E541" s="58">
        <f>Start.listina!L529</f>
        <v>0</v>
      </c>
      <c r="F541" s="58"/>
      <c r="G541" s="542" t="str">
        <f>IF(N(A541)&gt;0,VLOOKUP(A541,Body!$A$4:$F$259,5,0),"")</f>
        <v/>
      </c>
      <c r="H541" s="161" t="str">
        <f>IF(N(A541)&gt;0,VLOOKUP(A541,Body!$A$4:$F$259,6,0),"")</f>
        <v/>
      </c>
      <c r="I541" s="161" t="str">
        <f>IF(N(A541)&gt;0,VLOOKUP(A541,Body!$A$4:$F$259,2,0),"")</f>
        <v/>
      </c>
    </row>
    <row r="542" spans="1:9">
      <c r="A542" s="58"/>
      <c r="B542" s="58">
        <f>Start.listina!O529</f>
        <v>0</v>
      </c>
      <c r="C542" s="58">
        <f>Start.listina!P529</f>
        <v>0</v>
      </c>
      <c r="D542" s="58">
        <f>Start.listina!Q529</f>
        <v>0</v>
      </c>
      <c r="E542" s="58">
        <f>Start.listina!R529</f>
        <v>0</v>
      </c>
      <c r="F542" s="58"/>
      <c r="G542" s="542"/>
      <c r="H542" s="161"/>
      <c r="I542" s="161"/>
    </row>
    <row r="543" spans="1:9">
      <c r="A543" s="58"/>
      <c r="B543" s="58">
        <f>Start.listina!U529</f>
        <v>0</v>
      </c>
      <c r="C543" s="58">
        <f>Start.listina!V529</f>
        <v>0</v>
      </c>
      <c r="D543" s="58">
        <f>Start.listina!W529</f>
        <v>0</v>
      </c>
      <c r="E543" s="58">
        <f>Start.listina!X529</f>
        <v>0</v>
      </c>
      <c r="F543" s="58"/>
      <c r="G543" s="542"/>
      <c r="H543" s="161"/>
      <c r="I543" s="161"/>
    </row>
    <row r="544" spans="1:9">
      <c r="A544" s="58"/>
      <c r="B544" s="58">
        <f>Start.listina!AA529</f>
        <v>0</v>
      </c>
      <c r="C544" s="58">
        <f>Start.listina!AB529</f>
        <v>0</v>
      </c>
      <c r="D544" s="58">
        <f>Start.listina!AC529</f>
        <v>0</v>
      </c>
      <c r="E544" s="58">
        <f>Start.listina!AD529</f>
        <v>0</v>
      </c>
      <c r="F544" s="58"/>
      <c r="G544" s="542"/>
      <c r="H544" s="161"/>
      <c r="I544" s="161"/>
    </row>
    <row r="545" spans="1:9">
      <c r="A545" s="58">
        <f>Start.listina!AH530</f>
        <v>0</v>
      </c>
      <c r="B545" s="58">
        <f>Start.listina!I530</f>
        <v>0</v>
      </c>
      <c r="C545" s="58">
        <f>Start.listina!J530</f>
        <v>0</v>
      </c>
      <c r="D545" s="58">
        <f>Start.listina!K530</f>
        <v>0</v>
      </c>
      <c r="E545" s="58">
        <f>Start.listina!L530</f>
        <v>0</v>
      </c>
      <c r="F545" s="58"/>
      <c r="G545" s="542" t="str">
        <f>IF(N(A545)&gt;0,VLOOKUP(A545,Body!$A$4:$F$259,5,0),"")</f>
        <v/>
      </c>
      <c r="H545" s="161" t="str">
        <f>IF(N(A545)&gt;0,VLOOKUP(A545,Body!$A$4:$F$259,6,0),"")</f>
        <v/>
      </c>
      <c r="I545" s="161" t="str">
        <f>IF(N(A545)&gt;0,VLOOKUP(A545,Body!$A$4:$F$259,2,0),"")</f>
        <v/>
      </c>
    </row>
    <row r="546" spans="1:9">
      <c r="A546" s="58"/>
      <c r="B546" s="58">
        <f>Start.listina!O530</f>
        <v>0</v>
      </c>
      <c r="C546" s="58">
        <f>Start.listina!P530</f>
        <v>0</v>
      </c>
      <c r="D546" s="58">
        <f>Start.listina!Q530</f>
        <v>0</v>
      </c>
      <c r="E546" s="58">
        <f>Start.listina!R530</f>
        <v>0</v>
      </c>
      <c r="F546" s="58"/>
      <c r="G546" s="542"/>
      <c r="H546" s="161"/>
      <c r="I546" s="161"/>
    </row>
    <row r="547" spans="1:9">
      <c r="A547" s="58"/>
      <c r="B547" s="58">
        <f>Start.listina!U530</f>
        <v>0</v>
      </c>
      <c r="C547" s="58">
        <f>Start.listina!V530</f>
        <v>0</v>
      </c>
      <c r="D547" s="58">
        <f>Start.listina!W530</f>
        <v>0</v>
      </c>
      <c r="E547" s="58">
        <f>Start.listina!X530</f>
        <v>0</v>
      </c>
      <c r="F547" s="58"/>
      <c r="G547" s="542"/>
      <c r="H547" s="161"/>
      <c r="I547" s="161"/>
    </row>
    <row r="548" spans="1:9">
      <c r="A548" s="58"/>
      <c r="B548" s="58">
        <f>Start.listina!AA530</f>
        <v>0</v>
      </c>
      <c r="C548" s="58">
        <f>Start.listina!AB530</f>
        <v>0</v>
      </c>
      <c r="D548" s="58">
        <f>Start.listina!AC530</f>
        <v>0</v>
      </c>
      <c r="E548" s="58">
        <f>Start.listina!AD530</f>
        <v>0</v>
      </c>
      <c r="F548" s="58"/>
      <c r="G548" s="542"/>
      <c r="H548" s="161"/>
      <c r="I548" s="161"/>
    </row>
    <row r="549" spans="1:9">
      <c r="A549" s="58">
        <f>Start.listina!AH531</f>
        <v>0</v>
      </c>
      <c r="B549" s="58">
        <f>Start.listina!I531</f>
        <v>0</v>
      </c>
      <c r="C549" s="58">
        <f>Start.listina!J531</f>
        <v>0</v>
      </c>
      <c r="D549" s="58">
        <f>Start.listina!K531</f>
        <v>0</v>
      </c>
      <c r="E549" s="58">
        <f>Start.listina!L531</f>
        <v>0</v>
      </c>
      <c r="F549" s="58"/>
      <c r="G549" s="542" t="str">
        <f>IF(N(A549)&gt;0,VLOOKUP(A549,Body!$A$4:$F$259,5,0),"")</f>
        <v/>
      </c>
      <c r="H549" s="161" t="str">
        <f>IF(N(A549)&gt;0,VLOOKUP(A549,Body!$A$4:$F$259,6,0),"")</f>
        <v/>
      </c>
      <c r="I549" s="161" t="str">
        <f>IF(N(A549)&gt;0,VLOOKUP(A549,Body!$A$4:$F$259,2,0),"")</f>
        <v/>
      </c>
    </row>
    <row r="550" spans="1:9">
      <c r="A550" s="58"/>
      <c r="B550" s="58">
        <f>Start.listina!O531</f>
        <v>0</v>
      </c>
      <c r="C550" s="58">
        <f>Start.listina!P531</f>
        <v>0</v>
      </c>
      <c r="D550" s="58">
        <f>Start.listina!Q531</f>
        <v>0</v>
      </c>
      <c r="E550" s="58">
        <f>Start.listina!R531</f>
        <v>0</v>
      </c>
      <c r="F550" s="58"/>
      <c r="G550" s="542"/>
      <c r="H550" s="161"/>
      <c r="I550" s="161"/>
    </row>
    <row r="551" spans="1:9">
      <c r="A551" s="58"/>
      <c r="B551" s="58">
        <f>Start.listina!U531</f>
        <v>0</v>
      </c>
      <c r="C551" s="58">
        <f>Start.listina!V531</f>
        <v>0</v>
      </c>
      <c r="D551" s="58">
        <f>Start.listina!W531</f>
        <v>0</v>
      </c>
      <c r="E551" s="58">
        <f>Start.listina!X531</f>
        <v>0</v>
      </c>
      <c r="F551" s="58"/>
      <c r="G551" s="542"/>
      <c r="H551" s="161"/>
      <c r="I551" s="161"/>
    </row>
    <row r="552" spans="1:9">
      <c r="A552" s="58"/>
      <c r="B552" s="58">
        <f>Start.listina!AA531</f>
        <v>0</v>
      </c>
      <c r="C552" s="58">
        <f>Start.listina!AB531</f>
        <v>0</v>
      </c>
      <c r="D552" s="58">
        <f>Start.listina!AC531</f>
        <v>0</v>
      </c>
      <c r="E552" s="58">
        <f>Start.listina!AD531</f>
        <v>0</v>
      </c>
      <c r="F552" s="58"/>
      <c r="G552" s="542"/>
      <c r="H552" s="161"/>
      <c r="I552" s="161"/>
    </row>
    <row r="553" spans="1:9">
      <c r="A553" s="58">
        <f>Start.listina!AH532</f>
        <v>0</v>
      </c>
      <c r="B553" s="58">
        <f>Start.listina!I532</f>
        <v>0</v>
      </c>
      <c r="C553" s="58">
        <f>Start.listina!J532</f>
        <v>0</v>
      </c>
      <c r="D553" s="58">
        <f>Start.listina!K532</f>
        <v>0</v>
      </c>
      <c r="E553" s="58">
        <f>Start.listina!L532</f>
        <v>0</v>
      </c>
      <c r="F553" s="58"/>
      <c r="G553" s="542" t="str">
        <f>IF(N(A553)&gt;0,VLOOKUP(A553,Body!$A$4:$F$259,5,0),"")</f>
        <v/>
      </c>
      <c r="H553" s="161" t="str">
        <f>IF(N(A553)&gt;0,VLOOKUP(A553,Body!$A$4:$F$259,6,0),"")</f>
        <v/>
      </c>
      <c r="I553" s="161" t="str">
        <f>IF(N(A553)&gt;0,VLOOKUP(A553,Body!$A$4:$F$259,2,0),"")</f>
        <v/>
      </c>
    </row>
    <row r="554" spans="1:9">
      <c r="A554" s="58"/>
      <c r="B554" s="58">
        <f>Start.listina!O532</f>
        <v>0</v>
      </c>
      <c r="C554" s="58">
        <f>Start.listina!P532</f>
        <v>0</v>
      </c>
      <c r="D554" s="58">
        <f>Start.listina!Q532</f>
        <v>0</v>
      </c>
      <c r="E554" s="58">
        <f>Start.listina!R532</f>
        <v>0</v>
      </c>
      <c r="F554" s="58"/>
      <c r="G554" s="542"/>
      <c r="H554" s="161"/>
      <c r="I554" s="161"/>
    </row>
    <row r="555" spans="1:9">
      <c r="A555" s="58"/>
      <c r="B555" s="58">
        <f>Start.listina!U532</f>
        <v>0</v>
      </c>
      <c r="C555" s="58">
        <f>Start.listina!V532</f>
        <v>0</v>
      </c>
      <c r="D555" s="58">
        <f>Start.listina!W532</f>
        <v>0</v>
      </c>
      <c r="E555" s="58">
        <f>Start.listina!X532</f>
        <v>0</v>
      </c>
      <c r="F555" s="58"/>
      <c r="G555" s="542"/>
      <c r="H555" s="161"/>
      <c r="I555" s="161"/>
    </row>
    <row r="556" spans="1:9">
      <c r="A556" s="58"/>
      <c r="B556" s="58">
        <f>Start.listina!AA532</f>
        <v>0</v>
      </c>
      <c r="C556" s="58">
        <f>Start.listina!AB532</f>
        <v>0</v>
      </c>
      <c r="D556" s="58">
        <f>Start.listina!AC532</f>
        <v>0</v>
      </c>
      <c r="E556" s="58">
        <f>Start.listina!AD532</f>
        <v>0</v>
      </c>
      <c r="F556" s="58"/>
      <c r="G556" s="542"/>
      <c r="H556" s="161"/>
      <c r="I556" s="161"/>
    </row>
    <row r="557" spans="1:9">
      <c r="A557" s="58">
        <f>Start.listina!AH533</f>
        <v>0</v>
      </c>
      <c r="B557" s="58">
        <f>Start.listina!I533</f>
        <v>0</v>
      </c>
      <c r="C557" s="58">
        <f>Start.listina!J533</f>
        <v>0</v>
      </c>
      <c r="D557" s="58">
        <f>Start.listina!K533</f>
        <v>0</v>
      </c>
      <c r="E557" s="58">
        <f>Start.listina!L533</f>
        <v>0</v>
      </c>
      <c r="F557" s="58"/>
      <c r="G557" s="542" t="str">
        <f>IF(N(A557)&gt;0,VLOOKUP(A557,Body!$A$4:$F$259,5,0),"")</f>
        <v/>
      </c>
      <c r="H557" s="161" t="str">
        <f>IF(N(A557)&gt;0,VLOOKUP(A557,Body!$A$4:$F$259,6,0),"")</f>
        <v/>
      </c>
      <c r="I557" s="161" t="str">
        <f>IF(N(A557)&gt;0,VLOOKUP(A557,Body!$A$4:$F$259,2,0),"")</f>
        <v/>
      </c>
    </row>
    <row r="558" spans="1:9">
      <c r="A558" s="58"/>
      <c r="B558" s="58">
        <f>Start.listina!O533</f>
        <v>0</v>
      </c>
      <c r="C558" s="58">
        <f>Start.listina!P533</f>
        <v>0</v>
      </c>
      <c r="D558" s="58">
        <f>Start.listina!Q533</f>
        <v>0</v>
      </c>
      <c r="E558" s="58">
        <f>Start.listina!R533</f>
        <v>0</v>
      </c>
      <c r="F558" s="58"/>
      <c r="G558" s="542"/>
      <c r="H558" s="161"/>
      <c r="I558" s="161"/>
    </row>
    <row r="559" spans="1:9">
      <c r="A559" s="58"/>
      <c r="B559" s="58">
        <f>Start.listina!U533</f>
        <v>0</v>
      </c>
      <c r="C559" s="58">
        <f>Start.listina!V533</f>
        <v>0</v>
      </c>
      <c r="D559" s="58">
        <f>Start.listina!W533</f>
        <v>0</v>
      </c>
      <c r="E559" s="58">
        <f>Start.listina!X533</f>
        <v>0</v>
      </c>
      <c r="F559" s="58"/>
      <c r="G559" s="542"/>
      <c r="H559" s="161"/>
      <c r="I559" s="161"/>
    </row>
    <row r="560" spans="1:9">
      <c r="A560" s="58"/>
      <c r="B560" s="58">
        <f>Start.listina!AA533</f>
        <v>0</v>
      </c>
      <c r="C560" s="58">
        <f>Start.listina!AB533</f>
        <v>0</v>
      </c>
      <c r="D560" s="58">
        <f>Start.listina!AC533</f>
        <v>0</v>
      </c>
      <c r="E560" s="58">
        <f>Start.listina!AD533</f>
        <v>0</v>
      </c>
      <c r="F560" s="58"/>
      <c r="G560" s="542"/>
      <c r="H560" s="161"/>
      <c r="I560" s="161"/>
    </row>
    <row r="561" spans="1:9">
      <c r="A561" s="58">
        <f>Start.listina!AH534</f>
        <v>0</v>
      </c>
      <c r="B561" s="58">
        <f>Start.listina!I534</f>
        <v>0</v>
      </c>
      <c r="C561" s="58">
        <f>Start.listina!J534</f>
        <v>0</v>
      </c>
      <c r="D561" s="58">
        <f>Start.listina!K534</f>
        <v>0</v>
      </c>
      <c r="E561" s="58">
        <f>Start.listina!L534</f>
        <v>0</v>
      </c>
      <c r="F561" s="58"/>
      <c r="G561" s="542" t="str">
        <f>IF(N(A561)&gt;0,VLOOKUP(A561,Body!$A$4:$F$259,5,0),"")</f>
        <v/>
      </c>
      <c r="H561" s="161" t="str">
        <f>IF(N(A561)&gt;0,VLOOKUP(A561,Body!$A$4:$F$259,6,0),"")</f>
        <v/>
      </c>
      <c r="I561" s="161" t="str">
        <f>IF(N(A561)&gt;0,VLOOKUP(A561,Body!$A$4:$F$259,2,0),"")</f>
        <v/>
      </c>
    </row>
    <row r="562" spans="1:9">
      <c r="A562" s="58"/>
      <c r="B562" s="58">
        <f>Start.listina!O534</f>
        <v>0</v>
      </c>
      <c r="C562" s="58">
        <f>Start.listina!P534</f>
        <v>0</v>
      </c>
      <c r="D562" s="58">
        <f>Start.listina!Q534</f>
        <v>0</v>
      </c>
      <c r="E562" s="58">
        <f>Start.listina!R534</f>
        <v>0</v>
      </c>
      <c r="F562" s="58"/>
      <c r="G562" s="542"/>
      <c r="H562" s="161"/>
      <c r="I562" s="161"/>
    </row>
    <row r="563" spans="1:9">
      <c r="A563" s="58"/>
      <c r="B563" s="58">
        <f>Start.listina!U534</f>
        <v>0</v>
      </c>
      <c r="C563" s="58">
        <f>Start.listina!V534</f>
        <v>0</v>
      </c>
      <c r="D563" s="58">
        <f>Start.listina!W534</f>
        <v>0</v>
      </c>
      <c r="E563" s="58">
        <f>Start.listina!X534</f>
        <v>0</v>
      </c>
      <c r="F563" s="58"/>
      <c r="G563" s="542"/>
      <c r="H563" s="161"/>
      <c r="I563" s="161"/>
    </row>
    <row r="564" spans="1:9">
      <c r="A564" s="58"/>
      <c r="B564" s="58">
        <f>Start.listina!AA534</f>
        <v>0</v>
      </c>
      <c r="C564" s="58">
        <f>Start.listina!AB534</f>
        <v>0</v>
      </c>
      <c r="D564" s="58">
        <f>Start.listina!AC534</f>
        <v>0</v>
      </c>
      <c r="E564" s="58">
        <f>Start.listina!AD534</f>
        <v>0</v>
      </c>
      <c r="F564" s="58"/>
      <c r="G564" s="542"/>
      <c r="H564" s="161"/>
      <c r="I564" s="161"/>
    </row>
    <row r="565" spans="1:9">
      <c r="A565" s="58">
        <f>Start.listina!AH535</f>
        <v>0</v>
      </c>
      <c r="B565" s="58">
        <f>Start.listina!I535</f>
        <v>0</v>
      </c>
      <c r="C565" s="58">
        <f>Start.listina!J535</f>
        <v>0</v>
      </c>
      <c r="D565" s="58">
        <f>Start.listina!K535</f>
        <v>0</v>
      </c>
      <c r="E565" s="58">
        <f>Start.listina!L535</f>
        <v>0</v>
      </c>
      <c r="F565" s="58"/>
      <c r="G565" s="542" t="str">
        <f>IF(N(A565)&gt;0,VLOOKUP(A565,Body!$A$4:$F$259,5,0),"")</f>
        <v/>
      </c>
      <c r="H565" s="161" t="str">
        <f>IF(N(A565)&gt;0,VLOOKUP(A565,Body!$A$4:$F$259,6,0),"")</f>
        <v/>
      </c>
      <c r="I565" s="161" t="str">
        <f>IF(N(A565)&gt;0,VLOOKUP(A565,Body!$A$4:$F$259,2,0),"")</f>
        <v/>
      </c>
    </row>
    <row r="566" spans="1:9">
      <c r="A566" s="58"/>
      <c r="B566" s="58">
        <f>Start.listina!O535</f>
        <v>0</v>
      </c>
      <c r="C566" s="58">
        <f>Start.listina!P535</f>
        <v>0</v>
      </c>
      <c r="D566" s="58">
        <f>Start.listina!Q535</f>
        <v>0</v>
      </c>
      <c r="E566" s="58">
        <f>Start.listina!R535</f>
        <v>0</v>
      </c>
      <c r="F566" s="58"/>
      <c r="G566" s="542"/>
      <c r="H566" s="161"/>
      <c r="I566" s="161"/>
    </row>
    <row r="567" spans="1:9">
      <c r="A567" s="58"/>
      <c r="B567" s="58">
        <f>Start.listina!U535</f>
        <v>0</v>
      </c>
      <c r="C567" s="58">
        <f>Start.listina!V535</f>
        <v>0</v>
      </c>
      <c r="D567" s="58">
        <f>Start.listina!W535</f>
        <v>0</v>
      </c>
      <c r="E567" s="58">
        <f>Start.listina!X535</f>
        <v>0</v>
      </c>
      <c r="F567" s="58"/>
      <c r="G567" s="542"/>
      <c r="H567" s="161"/>
      <c r="I567" s="161"/>
    </row>
    <row r="568" spans="1:9">
      <c r="A568" s="58"/>
      <c r="B568" s="58">
        <f>Start.listina!AA535</f>
        <v>0</v>
      </c>
      <c r="C568" s="58">
        <f>Start.listina!AB535</f>
        <v>0</v>
      </c>
      <c r="D568" s="58">
        <f>Start.listina!AC535</f>
        <v>0</v>
      </c>
      <c r="E568" s="58">
        <f>Start.listina!AD535</f>
        <v>0</v>
      </c>
      <c r="F568" s="58"/>
      <c r="G568" s="542"/>
      <c r="H568" s="161"/>
      <c r="I568" s="161"/>
    </row>
    <row r="569" spans="1:9">
      <c r="A569" s="58">
        <f>Start.listina!AH536</f>
        <v>0</v>
      </c>
      <c r="B569" s="58">
        <f>Start.listina!I536</f>
        <v>0</v>
      </c>
      <c r="C569" s="58">
        <f>Start.listina!J536</f>
        <v>0</v>
      </c>
      <c r="D569" s="58">
        <f>Start.listina!K536</f>
        <v>0</v>
      </c>
      <c r="E569" s="58">
        <f>Start.listina!L536</f>
        <v>0</v>
      </c>
      <c r="F569" s="58"/>
      <c r="G569" s="542" t="str">
        <f>IF(N(A569)&gt;0,VLOOKUP(A569,Body!$A$4:$F$259,5,0),"")</f>
        <v/>
      </c>
      <c r="H569" s="161" t="str">
        <f>IF(N(A569)&gt;0,VLOOKUP(A569,Body!$A$4:$F$259,6,0),"")</f>
        <v/>
      </c>
      <c r="I569" s="161" t="str">
        <f>IF(N(A569)&gt;0,VLOOKUP(A569,Body!$A$4:$F$259,2,0),"")</f>
        <v/>
      </c>
    </row>
    <row r="570" spans="1:9">
      <c r="A570" s="58"/>
      <c r="B570" s="58">
        <f>Start.listina!O536</f>
        <v>0</v>
      </c>
      <c r="C570" s="58">
        <f>Start.listina!P536</f>
        <v>0</v>
      </c>
      <c r="D570" s="58">
        <f>Start.listina!Q536</f>
        <v>0</v>
      </c>
      <c r="E570" s="58">
        <f>Start.listina!R536</f>
        <v>0</v>
      </c>
      <c r="F570" s="58"/>
      <c r="G570" s="542"/>
      <c r="H570" s="161"/>
      <c r="I570" s="161"/>
    </row>
    <row r="571" spans="1:9">
      <c r="A571" s="58"/>
      <c r="B571" s="58">
        <f>Start.listina!U536</f>
        <v>0</v>
      </c>
      <c r="C571" s="58">
        <f>Start.listina!V536</f>
        <v>0</v>
      </c>
      <c r="D571" s="58">
        <f>Start.listina!W536</f>
        <v>0</v>
      </c>
      <c r="E571" s="58">
        <f>Start.listina!X536</f>
        <v>0</v>
      </c>
      <c r="F571" s="58"/>
      <c r="G571" s="542"/>
      <c r="H571" s="161"/>
      <c r="I571" s="161"/>
    </row>
    <row r="572" spans="1:9">
      <c r="A572" s="58"/>
      <c r="B572" s="58">
        <f>Start.listina!AA536</f>
        <v>0</v>
      </c>
      <c r="C572" s="58">
        <f>Start.listina!AB536</f>
        <v>0</v>
      </c>
      <c r="D572" s="58">
        <f>Start.listina!AC536</f>
        <v>0</v>
      </c>
      <c r="E572" s="58">
        <f>Start.listina!AD536</f>
        <v>0</v>
      </c>
      <c r="F572" s="58"/>
      <c r="G572" s="542"/>
      <c r="H572" s="161"/>
      <c r="I572" s="161"/>
    </row>
    <row r="573" spans="1:9">
      <c r="A573" s="58">
        <f>Start.listina!AH537</f>
        <v>0</v>
      </c>
      <c r="B573" s="58">
        <f>Start.listina!I537</f>
        <v>0</v>
      </c>
      <c r="C573" s="58">
        <f>Start.listina!J537</f>
        <v>0</v>
      </c>
      <c r="D573" s="58">
        <f>Start.listina!K537</f>
        <v>0</v>
      </c>
      <c r="E573" s="58">
        <f>Start.listina!L537</f>
        <v>0</v>
      </c>
      <c r="F573" s="58"/>
      <c r="G573" s="542" t="str">
        <f>IF(N(A573)&gt;0,VLOOKUP(A573,Body!$A$4:$F$259,5,0),"")</f>
        <v/>
      </c>
      <c r="H573" s="161" t="str">
        <f>IF(N(A573)&gt;0,VLOOKUP(A573,Body!$A$4:$F$259,6,0),"")</f>
        <v/>
      </c>
      <c r="I573" s="161" t="str">
        <f>IF(N(A573)&gt;0,VLOOKUP(A573,Body!$A$4:$F$259,2,0),"")</f>
        <v/>
      </c>
    </row>
    <row r="574" spans="1:9">
      <c r="A574" s="58"/>
      <c r="B574" s="58">
        <f>Start.listina!O537</f>
        <v>0</v>
      </c>
      <c r="C574" s="58">
        <f>Start.listina!P537</f>
        <v>0</v>
      </c>
      <c r="D574" s="58">
        <f>Start.listina!Q537</f>
        <v>0</v>
      </c>
      <c r="E574" s="58">
        <f>Start.listina!R537</f>
        <v>0</v>
      </c>
      <c r="F574" s="58"/>
      <c r="G574" s="542"/>
      <c r="H574" s="161"/>
      <c r="I574" s="161"/>
    </row>
    <row r="575" spans="1:9">
      <c r="A575" s="58"/>
      <c r="B575" s="58">
        <f>Start.listina!U537</f>
        <v>0</v>
      </c>
      <c r="C575" s="58">
        <f>Start.listina!V537</f>
        <v>0</v>
      </c>
      <c r="D575" s="58">
        <f>Start.listina!W537</f>
        <v>0</v>
      </c>
      <c r="E575" s="58">
        <f>Start.listina!X537</f>
        <v>0</v>
      </c>
      <c r="F575" s="58"/>
      <c r="G575" s="542"/>
      <c r="H575" s="161"/>
      <c r="I575" s="161"/>
    </row>
    <row r="576" spans="1:9">
      <c r="A576" s="58"/>
      <c r="B576" s="58">
        <f>Start.listina!AA537</f>
        <v>0</v>
      </c>
      <c r="C576" s="58">
        <f>Start.listina!AB537</f>
        <v>0</v>
      </c>
      <c r="D576" s="58">
        <f>Start.listina!AC537</f>
        <v>0</v>
      </c>
      <c r="E576" s="58">
        <f>Start.listina!AD537</f>
        <v>0</v>
      </c>
      <c r="F576" s="58"/>
      <c r="G576" s="542"/>
      <c r="H576" s="161"/>
      <c r="I576" s="161"/>
    </row>
    <row r="577" spans="1:9">
      <c r="A577" s="58">
        <f>Start.listina!AH538</f>
        <v>0</v>
      </c>
      <c r="B577" s="58">
        <f>Start.listina!I538</f>
        <v>0</v>
      </c>
      <c r="C577" s="58">
        <f>Start.listina!J538</f>
        <v>0</v>
      </c>
      <c r="D577" s="58">
        <f>Start.listina!K538</f>
        <v>0</v>
      </c>
      <c r="E577" s="58">
        <f>Start.listina!L538</f>
        <v>0</v>
      </c>
      <c r="F577" s="58"/>
      <c r="G577" s="542" t="str">
        <f>IF(N(A577)&gt;0,VLOOKUP(A577,Body!$A$4:$F$259,5,0),"")</f>
        <v/>
      </c>
      <c r="H577" s="161" t="str">
        <f>IF(N(A577)&gt;0,VLOOKUP(A577,Body!$A$4:$F$259,6,0),"")</f>
        <v/>
      </c>
      <c r="I577" s="161" t="str">
        <f>IF(N(A577)&gt;0,VLOOKUP(A577,Body!$A$4:$F$259,2,0),"")</f>
        <v/>
      </c>
    </row>
    <row r="578" spans="1:9">
      <c r="A578" s="58"/>
      <c r="B578" s="58">
        <f>Start.listina!O538</f>
        <v>0</v>
      </c>
      <c r="C578" s="58">
        <f>Start.listina!P538</f>
        <v>0</v>
      </c>
      <c r="D578" s="58">
        <f>Start.listina!Q538</f>
        <v>0</v>
      </c>
      <c r="E578" s="58">
        <f>Start.listina!R538</f>
        <v>0</v>
      </c>
      <c r="F578" s="58"/>
      <c r="G578" s="542"/>
      <c r="H578" s="161"/>
      <c r="I578" s="161"/>
    </row>
    <row r="579" spans="1:9">
      <c r="A579" s="58"/>
      <c r="B579" s="58">
        <f>Start.listina!U538</f>
        <v>0</v>
      </c>
      <c r="C579" s="58">
        <f>Start.listina!V538</f>
        <v>0</v>
      </c>
      <c r="D579" s="58">
        <f>Start.listina!W538</f>
        <v>0</v>
      </c>
      <c r="E579" s="58">
        <f>Start.listina!X538</f>
        <v>0</v>
      </c>
      <c r="F579" s="58"/>
      <c r="G579" s="542"/>
      <c r="H579" s="161"/>
      <c r="I579" s="161"/>
    </row>
    <row r="580" spans="1:9">
      <c r="A580" s="58"/>
      <c r="B580" s="58">
        <f>Start.listina!AA538</f>
        <v>0</v>
      </c>
      <c r="C580" s="58">
        <f>Start.listina!AB538</f>
        <v>0</v>
      </c>
      <c r="D580" s="58">
        <f>Start.listina!AC538</f>
        <v>0</v>
      </c>
      <c r="E580" s="58">
        <f>Start.listina!AD538</f>
        <v>0</v>
      </c>
      <c r="F580" s="58"/>
      <c r="G580" s="542"/>
      <c r="H580" s="161"/>
      <c r="I580" s="161"/>
    </row>
    <row r="581" spans="1:9">
      <c r="A581" s="58">
        <f>Start.listina!AH539</f>
        <v>0</v>
      </c>
      <c r="B581" s="58">
        <f>Start.listina!I539</f>
        <v>0</v>
      </c>
      <c r="C581" s="58">
        <f>Start.listina!J539</f>
        <v>0</v>
      </c>
      <c r="D581" s="58">
        <f>Start.listina!K539</f>
        <v>0</v>
      </c>
      <c r="E581" s="58">
        <f>Start.listina!L539</f>
        <v>0</v>
      </c>
      <c r="F581" s="58"/>
      <c r="G581" s="542" t="str">
        <f>IF(N(A581)&gt;0,VLOOKUP(A581,Body!$A$4:$F$259,5,0),"")</f>
        <v/>
      </c>
      <c r="H581" s="161" t="str">
        <f>IF(N(A581)&gt;0,VLOOKUP(A581,Body!$A$4:$F$259,6,0),"")</f>
        <v/>
      </c>
      <c r="I581" s="161" t="str">
        <f>IF(N(A581)&gt;0,VLOOKUP(A581,Body!$A$4:$F$259,2,0),"")</f>
        <v/>
      </c>
    </row>
    <row r="582" spans="1:9">
      <c r="A582" s="58"/>
      <c r="B582" s="58">
        <f>Start.listina!O539</f>
        <v>0</v>
      </c>
      <c r="C582" s="58">
        <f>Start.listina!P539</f>
        <v>0</v>
      </c>
      <c r="D582" s="58">
        <f>Start.listina!Q539</f>
        <v>0</v>
      </c>
      <c r="E582" s="58">
        <f>Start.listina!R539</f>
        <v>0</v>
      </c>
      <c r="F582" s="58"/>
      <c r="G582" s="542"/>
      <c r="H582" s="161"/>
      <c r="I582" s="161"/>
    </row>
    <row r="583" spans="1:9">
      <c r="A583" s="58"/>
      <c r="B583" s="58">
        <f>Start.listina!U539</f>
        <v>0</v>
      </c>
      <c r="C583" s="58">
        <f>Start.listina!V539</f>
        <v>0</v>
      </c>
      <c r="D583" s="58">
        <f>Start.listina!W539</f>
        <v>0</v>
      </c>
      <c r="E583" s="58">
        <f>Start.listina!X539</f>
        <v>0</v>
      </c>
      <c r="F583" s="58"/>
      <c r="G583" s="542"/>
      <c r="H583" s="161"/>
      <c r="I583" s="161"/>
    </row>
    <row r="584" spans="1:9">
      <c r="A584" s="58"/>
      <c r="B584" s="58">
        <f>Start.listina!AA539</f>
        <v>0</v>
      </c>
      <c r="C584" s="58">
        <f>Start.listina!AB539</f>
        <v>0</v>
      </c>
      <c r="D584" s="58">
        <f>Start.listina!AC539</f>
        <v>0</v>
      </c>
      <c r="E584" s="58">
        <f>Start.listina!AD539</f>
        <v>0</v>
      </c>
      <c r="F584" s="58"/>
      <c r="G584" s="542"/>
      <c r="H584" s="161"/>
      <c r="I584" s="161"/>
    </row>
    <row r="585" spans="1:9">
      <c r="A585" s="58">
        <f>Start.listina!AH540</f>
        <v>0</v>
      </c>
      <c r="B585" s="58">
        <f>Start.listina!I540</f>
        <v>0</v>
      </c>
      <c r="C585" s="58">
        <f>Start.listina!J540</f>
        <v>0</v>
      </c>
      <c r="D585" s="58">
        <f>Start.listina!K540</f>
        <v>0</v>
      </c>
      <c r="E585" s="58">
        <f>Start.listina!L540</f>
        <v>0</v>
      </c>
      <c r="F585" s="58"/>
      <c r="G585" s="542" t="str">
        <f>IF(N(A585)&gt;0,VLOOKUP(A585,Body!$A$4:$F$259,5,0),"")</f>
        <v/>
      </c>
      <c r="H585" s="161" t="str">
        <f>IF(N(A585)&gt;0,VLOOKUP(A585,Body!$A$4:$F$259,6,0),"")</f>
        <v/>
      </c>
      <c r="I585" s="161" t="str">
        <f>IF(N(A585)&gt;0,VLOOKUP(A585,Body!$A$4:$F$259,2,0),"")</f>
        <v/>
      </c>
    </row>
    <row r="586" spans="1:9">
      <c r="A586" s="58"/>
      <c r="B586" s="58">
        <f>Start.listina!O540</f>
        <v>0</v>
      </c>
      <c r="C586" s="58">
        <f>Start.listina!P540</f>
        <v>0</v>
      </c>
      <c r="D586" s="58">
        <f>Start.listina!Q540</f>
        <v>0</v>
      </c>
      <c r="E586" s="58">
        <f>Start.listina!R540</f>
        <v>0</v>
      </c>
      <c r="F586" s="58"/>
      <c r="G586" s="542"/>
      <c r="H586" s="161"/>
      <c r="I586" s="161"/>
    </row>
    <row r="587" spans="1:9">
      <c r="A587" s="58"/>
      <c r="B587" s="58">
        <f>Start.listina!U540</f>
        <v>0</v>
      </c>
      <c r="C587" s="58">
        <f>Start.listina!V540</f>
        <v>0</v>
      </c>
      <c r="D587" s="58">
        <f>Start.listina!W540</f>
        <v>0</v>
      </c>
      <c r="E587" s="58">
        <f>Start.listina!X540</f>
        <v>0</v>
      </c>
      <c r="F587" s="58"/>
      <c r="G587" s="542"/>
      <c r="H587" s="161"/>
      <c r="I587" s="161"/>
    </row>
    <row r="588" spans="1:9">
      <c r="A588" s="58"/>
      <c r="B588" s="58">
        <f>Start.listina!AA540</f>
        <v>0</v>
      </c>
      <c r="C588" s="58">
        <f>Start.listina!AB540</f>
        <v>0</v>
      </c>
      <c r="D588" s="58">
        <f>Start.listina!AC540</f>
        <v>0</v>
      </c>
      <c r="E588" s="58">
        <f>Start.listina!AD540</f>
        <v>0</v>
      </c>
      <c r="F588" s="58"/>
      <c r="G588" s="542"/>
      <c r="H588" s="161"/>
      <c r="I588" s="161"/>
    </row>
    <row r="589" spans="1:9">
      <c r="A589" s="58">
        <f>Start.listina!AH541</f>
        <v>0</v>
      </c>
      <c r="B589" s="58">
        <f>Start.listina!I541</f>
        <v>0</v>
      </c>
      <c r="C589" s="58">
        <f>Start.listina!J541</f>
        <v>0</v>
      </c>
      <c r="D589" s="58">
        <f>Start.listina!K541</f>
        <v>0</v>
      </c>
      <c r="E589" s="58">
        <f>Start.listina!L541</f>
        <v>0</v>
      </c>
      <c r="F589" s="58"/>
      <c r="G589" s="542" t="str">
        <f>IF(N(A589)&gt;0,VLOOKUP(A589,Body!$A$4:$F$259,5,0),"")</f>
        <v/>
      </c>
      <c r="H589" s="161" t="str">
        <f>IF(N(A589)&gt;0,VLOOKUP(A589,Body!$A$4:$F$259,6,0),"")</f>
        <v/>
      </c>
      <c r="I589" s="161" t="str">
        <f>IF(N(A589)&gt;0,VLOOKUP(A589,Body!$A$4:$F$259,2,0),"")</f>
        <v/>
      </c>
    </row>
    <row r="590" spans="1:9">
      <c r="A590" s="58"/>
      <c r="B590" s="58">
        <f>Start.listina!O541</f>
        <v>0</v>
      </c>
      <c r="C590" s="58">
        <f>Start.listina!P541</f>
        <v>0</v>
      </c>
      <c r="D590" s="58">
        <f>Start.listina!Q541</f>
        <v>0</v>
      </c>
      <c r="E590" s="58">
        <f>Start.listina!R541</f>
        <v>0</v>
      </c>
      <c r="F590" s="58"/>
      <c r="G590" s="542"/>
      <c r="H590" s="161"/>
      <c r="I590" s="161"/>
    </row>
    <row r="591" spans="1:9">
      <c r="A591" s="58"/>
      <c r="B591" s="58">
        <f>Start.listina!U541</f>
        <v>0</v>
      </c>
      <c r="C591" s="58">
        <f>Start.listina!V541</f>
        <v>0</v>
      </c>
      <c r="D591" s="58">
        <f>Start.listina!W541</f>
        <v>0</v>
      </c>
      <c r="E591" s="58">
        <f>Start.listina!X541</f>
        <v>0</v>
      </c>
      <c r="F591" s="58"/>
      <c r="G591" s="542"/>
      <c r="H591" s="161"/>
      <c r="I591" s="161"/>
    </row>
    <row r="592" spans="1:9">
      <c r="A592" s="58"/>
      <c r="B592" s="58">
        <f>Start.listina!AA541</f>
        <v>0</v>
      </c>
      <c r="C592" s="58">
        <f>Start.listina!AB541</f>
        <v>0</v>
      </c>
      <c r="D592" s="58">
        <f>Start.listina!AC541</f>
        <v>0</v>
      </c>
      <c r="E592" s="58">
        <f>Start.listina!AD541</f>
        <v>0</v>
      </c>
      <c r="F592" s="58"/>
      <c r="G592" s="542"/>
      <c r="H592" s="161"/>
      <c r="I592" s="161"/>
    </row>
    <row r="593" spans="1:9">
      <c r="A593" s="58">
        <f>Start.listina!AH542</f>
        <v>0</v>
      </c>
      <c r="B593" s="58">
        <f>Start.listina!I542</f>
        <v>0</v>
      </c>
      <c r="C593" s="58">
        <f>Start.listina!J542</f>
        <v>0</v>
      </c>
      <c r="D593" s="58">
        <f>Start.listina!K542</f>
        <v>0</v>
      </c>
      <c r="E593" s="58">
        <f>Start.listina!L542</f>
        <v>0</v>
      </c>
      <c r="F593" s="58"/>
      <c r="G593" s="542" t="str">
        <f>IF(N(A593)&gt;0,VLOOKUP(A593,Body!$A$4:$F$259,5,0),"")</f>
        <v/>
      </c>
      <c r="H593" s="161" t="str">
        <f>IF(N(A593)&gt;0,VLOOKUP(A593,Body!$A$4:$F$259,6,0),"")</f>
        <v/>
      </c>
      <c r="I593" s="161" t="str">
        <f>IF(N(A593)&gt;0,VLOOKUP(A593,Body!$A$4:$F$259,2,0),"")</f>
        <v/>
      </c>
    </row>
    <row r="594" spans="1:9">
      <c r="A594" s="58"/>
      <c r="B594" s="58">
        <f>Start.listina!O542</f>
        <v>0</v>
      </c>
      <c r="C594" s="58">
        <f>Start.listina!P542</f>
        <v>0</v>
      </c>
      <c r="D594" s="58">
        <f>Start.listina!Q542</f>
        <v>0</v>
      </c>
      <c r="E594" s="58">
        <f>Start.listina!R542</f>
        <v>0</v>
      </c>
      <c r="F594" s="58"/>
      <c r="G594" s="542"/>
      <c r="H594" s="161"/>
      <c r="I594" s="161"/>
    </row>
    <row r="595" spans="1:9">
      <c r="A595" s="58"/>
      <c r="B595" s="58">
        <f>Start.listina!U542</f>
        <v>0</v>
      </c>
      <c r="C595" s="58">
        <f>Start.listina!V542</f>
        <v>0</v>
      </c>
      <c r="D595" s="58">
        <f>Start.listina!W542</f>
        <v>0</v>
      </c>
      <c r="E595" s="58">
        <f>Start.listina!X542</f>
        <v>0</v>
      </c>
      <c r="F595" s="58"/>
      <c r="G595" s="542"/>
      <c r="H595" s="161"/>
      <c r="I595" s="161"/>
    </row>
    <row r="596" spans="1:9">
      <c r="A596" s="58"/>
      <c r="B596" s="58">
        <f>Start.listina!AA542</f>
        <v>0</v>
      </c>
      <c r="C596" s="58">
        <f>Start.listina!AB542</f>
        <v>0</v>
      </c>
      <c r="D596" s="58">
        <f>Start.listina!AC542</f>
        <v>0</v>
      </c>
      <c r="E596" s="58">
        <f>Start.listina!AD542</f>
        <v>0</v>
      </c>
      <c r="F596" s="58"/>
      <c r="G596" s="542"/>
      <c r="H596" s="161"/>
      <c r="I596" s="161"/>
    </row>
    <row r="597" spans="1:9">
      <c r="A597" s="58">
        <f>Start.listina!AH543</f>
        <v>0</v>
      </c>
      <c r="B597" s="58">
        <f>Start.listina!I543</f>
        <v>0</v>
      </c>
      <c r="C597" s="58">
        <f>Start.listina!J543</f>
        <v>0</v>
      </c>
      <c r="D597" s="58">
        <f>Start.listina!K543</f>
        <v>0</v>
      </c>
      <c r="E597" s="58">
        <f>Start.listina!L543</f>
        <v>0</v>
      </c>
      <c r="F597" s="58"/>
      <c r="G597" s="542" t="str">
        <f>IF(N(A597)&gt;0,VLOOKUP(A597,Body!$A$4:$F$259,5,0),"")</f>
        <v/>
      </c>
      <c r="H597" s="161" t="str">
        <f>IF(N(A597)&gt;0,VLOOKUP(A597,Body!$A$4:$F$259,6,0),"")</f>
        <v/>
      </c>
      <c r="I597" s="161" t="str">
        <f>IF(N(A597)&gt;0,VLOOKUP(A597,Body!$A$4:$F$259,2,0),"")</f>
        <v/>
      </c>
    </row>
    <row r="598" spans="1:9">
      <c r="A598" s="58"/>
      <c r="B598" s="58">
        <f>Start.listina!O543</f>
        <v>0</v>
      </c>
      <c r="C598" s="58">
        <f>Start.listina!P543</f>
        <v>0</v>
      </c>
      <c r="D598" s="58">
        <f>Start.listina!Q543</f>
        <v>0</v>
      </c>
      <c r="E598" s="58">
        <f>Start.listina!R543</f>
        <v>0</v>
      </c>
      <c r="F598" s="58"/>
      <c r="G598" s="542"/>
      <c r="H598" s="161"/>
      <c r="I598" s="161"/>
    </row>
    <row r="599" spans="1:9">
      <c r="A599" s="58"/>
      <c r="B599" s="58">
        <f>Start.listina!U543</f>
        <v>0</v>
      </c>
      <c r="C599" s="58">
        <f>Start.listina!V543</f>
        <v>0</v>
      </c>
      <c r="D599" s="58">
        <f>Start.listina!W543</f>
        <v>0</v>
      </c>
      <c r="E599" s="58">
        <f>Start.listina!X543</f>
        <v>0</v>
      </c>
      <c r="F599" s="58"/>
      <c r="G599" s="542"/>
      <c r="H599" s="161"/>
      <c r="I599" s="161"/>
    </row>
    <row r="600" spans="1:9">
      <c r="A600" s="58"/>
      <c r="B600" s="58">
        <f>Start.listina!AA543</f>
        <v>0</v>
      </c>
      <c r="C600" s="58">
        <f>Start.listina!AB543</f>
        <v>0</v>
      </c>
      <c r="D600" s="58">
        <f>Start.listina!AC543</f>
        <v>0</v>
      </c>
      <c r="E600" s="58">
        <f>Start.listina!AD543</f>
        <v>0</v>
      </c>
      <c r="F600" s="58"/>
      <c r="G600" s="542"/>
      <c r="H600" s="161"/>
      <c r="I600" s="161"/>
    </row>
    <row r="601" spans="1:9">
      <c r="A601" s="58">
        <f>Start.listina!AH544</f>
        <v>0</v>
      </c>
      <c r="B601" s="58">
        <f>Start.listina!I544</f>
        <v>0</v>
      </c>
      <c r="C601" s="58">
        <f>Start.listina!J544</f>
        <v>0</v>
      </c>
      <c r="D601" s="58">
        <f>Start.listina!K544</f>
        <v>0</v>
      </c>
      <c r="E601" s="58">
        <f>Start.listina!L544</f>
        <v>0</v>
      </c>
      <c r="F601" s="58"/>
      <c r="G601" s="542" t="str">
        <f>IF(N(A601)&gt;0,VLOOKUP(A601,Body!$A$4:$F$259,5,0),"")</f>
        <v/>
      </c>
      <c r="H601" s="161" t="str">
        <f>IF(N(A601)&gt;0,VLOOKUP(A601,Body!$A$4:$F$259,6,0),"")</f>
        <v/>
      </c>
      <c r="I601" s="161" t="str">
        <f>IF(N(A601)&gt;0,VLOOKUP(A601,Body!$A$4:$F$259,2,0),"")</f>
        <v/>
      </c>
    </row>
    <row r="602" spans="1:9">
      <c r="A602" s="58"/>
      <c r="B602" s="58">
        <f>Start.listina!O544</f>
        <v>0</v>
      </c>
      <c r="C602" s="58">
        <f>Start.listina!P544</f>
        <v>0</v>
      </c>
      <c r="D602" s="58">
        <f>Start.listina!Q544</f>
        <v>0</v>
      </c>
      <c r="E602" s="58">
        <f>Start.listina!R544</f>
        <v>0</v>
      </c>
      <c r="F602" s="58"/>
      <c r="G602" s="542"/>
      <c r="H602" s="161"/>
      <c r="I602" s="161"/>
    </row>
    <row r="603" spans="1:9">
      <c r="A603" s="58"/>
      <c r="B603" s="58">
        <f>Start.listina!U544</f>
        <v>0</v>
      </c>
      <c r="C603" s="58">
        <f>Start.listina!V544</f>
        <v>0</v>
      </c>
      <c r="D603" s="58">
        <f>Start.listina!W544</f>
        <v>0</v>
      </c>
      <c r="E603" s="58">
        <f>Start.listina!X544</f>
        <v>0</v>
      </c>
      <c r="F603" s="58"/>
      <c r="G603" s="542"/>
      <c r="H603" s="161"/>
      <c r="I603" s="161"/>
    </row>
    <row r="604" spans="1:9">
      <c r="A604" s="58"/>
      <c r="B604" s="58">
        <f>Start.listina!AA544</f>
        <v>0</v>
      </c>
      <c r="C604" s="58">
        <f>Start.listina!AB544</f>
        <v>0</v>
      </c>
      <c r="D604" s="58">
        <f>Start.listina!AC544</f>
        <v>0</v>
      </c>
      <c r="E604" s="58">
        <f>Start.listina!AD544</f>
        <v>0</v>
      </c>
      <c r="F604" s="58"/>
      <c r="G604" s="542"/>
      <c r="H604" s="161"/>
      <c r="I604" s="161"/>
    </row>
    <row r="605" spans="1:9">
      <c r="A605" s="58">
        <f>Start.listina!AH545</f>
        <v>0</v>
      </c>
      <c r="B605" s="58">
        <f>Start.listina!I545</f>
        <v>0</v>
      </c>
      <c r="C605" s="58">
        <f>Start.listina!J545</f>
        <v>0</v>
      </c>
      <c r="D605" s="58">
        <f>Start.listina!K545</f>
        <v>0</v>
      </c>
      <c r="E605" s="58">
        <f>Start.listina!L545</f>
        <v>0</v>
      </c>
      <c r="F605" s="58"/>
      <c r="G605" s="542" t="str">
        <f>IF(N(A605)&gt;0,VLOOKUP(A605,Body!$A$4:$F$259,5,0),"")</f>
        <v/>
      </c>
      <c r="H605" s="161" t="str">
        <f>IF(N(A605)&gt;0,VLOOKUP(A605,Body!$A$4:$F$259,6,0),"")</f>
        <v/>
      </c>
      <c r="I605" s="161" t="str">
        <f>IF(N(A605)&gt;0,VLOOKUP(A605,Body!$A$4:$F$259,2,0),"")</f>
        <v/>
      </c>
    </row>
    <row r="606" spans="1:9">
      <c r="A606" s="58"/>
      <c r="B606" s="58">
        <f>Start.listina!O545</f>
        <v>0</v>
      </c>
      <c r="C606" s="58">
        <f>Start.listina!P545</f>
        <v>0</v>
      </c>
      <c r="D606" s="58">
        <f>Start.listina!Q545</f>
        <v>0</v>
      </c>
      <c r="E606" s="58">
        <f>Start.listina!R545</f>
        <v>0</v>
      </c>
      <c r="F606" s="58"/>
      <c r="G606" s="542"/>
      <c r="H606" s="161"/>
      <c r="I606" s="161"/>
    </row>
    <row r="607" spans="1:9">
      <c r="A607" s="58"/>
      <c r="B607" s="58">
        <f>Start.listina!U545</f>
        <v>0</v>
      </c>
      <c r="C607" s="58">
        <f>Start.listina!V545</f>
        <v>0</v>
      </c>
      <c r="D607" s="58">
        <f>Start.listina!W545</f>
        <v>0</v>
      </c>
      <c r="E607" s="58">
        <f>Start.listina!X545</f>
        <v>0</v>
      </c>
      <c r="F607" s="58"/>
      <c r="G607" s="542"/>
      <c r="H607" s="161"/>
      <c r="I607" s="161"/>
    </row>
    <row r="608" spans="1:9">
      <c r="A608" s="58"/>
      <c r="B608" s="58">
        <f>Start.listina!AA545</f>
        <v>0</v>
      </c>
      <c r="C608" s="58">
        <f>Start.listina!AB545</f>
        <v>0</v>
      </c>
      <c r="D608" s="58">
        <f>Start.listina!AC545</f>
        <v>0</v>
      </c>
      <c r="E608" s="58">
        <f>Start.listina!AD545</f>
        <v>0</v>
      </c>
      <c r="F608" s="58"/>
      <c r="G608" s="542"/>
      <c r="H608" s="161"/>
      <c r="I608" s="161"/>
    </row>
    <row r="609" spans="1:9">
      <c r="A609" s="58">
        <f>Start.listina!AH546</f>
        <v>0</v>
      </c>
      <c r="B609" s="58">
        <f>Start.listina!I546</f>
        <v>0</v>
      </c>
      <c r="C609" s="58">
        <f>Start.listina!J546</f>
        <v>0</v>
      </c>
      <c r="D609" s="58">
        <f>Start.listina!K546</f>
        <v>0</v>
      </c>
      <c r="E609" s="58">
        <f>Start.listina!L546</f>
        <v>0</v>
      </c>
      <c r="F609" s="58"/>
      <c r="G609" s="542" t="str">
        <f>IF(N(A609)&gt;0,VLOOKUP(A609,Body!$A$4:$F$259,5,0),"")</f>
        <v/>
      </c>
      <c r="H609" s="161" t="str">
        <f>IF(N(A609)&gt;0,VLOOKUP(A609,Body!$A$4:$F$259,6,0),"")</f>
        <v/>
      </c>
      <c r="I609" s="161" t="str">
        <f>IF(N(A609)&gt;0,VLOOKUP(A609,Body!$A$4:$F$259,2,0),"")</f>
        <v/>
      </c>
    </row>
    <row r="610" spans="1:9">
      <c r="A610" s="58"/>
      <c r="B610" s="58">
        <f>Start.listina!O546</f>
        <v>0</v>
      </c>
      <c r="C610" s="58">
        <f>Start.listina!P546</f>
        <v>0</v>
      </c>
      <c r="D610" s="58">
        <f>Start.listina!Q546</f>
        <v>0</v>
      </c>
      <c r="E610" s="58">
        <f>Start.listina!R546</f>
        <v>0</v>
      </c>
      <c r="F610" s="58"/>
      <c r="G610" s="542"/>
      <c r="H610" s="161"/>
      <c r="I610" s="161"/>
    </row>
    <row r="611" spans="1:9">
      <c r="A611" s="58"/>
      <c r="B611" s="58">
        <f>Start.listina!U546</f>
        <v>0</v>
      </c>
      <c r="C611" s="58">
        <f>Start.listina!V546</f>
        <v>0</v>
      </c>
      <c r="D611" s="58">
        <f>Start.listina!W546</f>
        <v>0</v>
      </c>
      <c r="E611" s="58">
        <f>Start.listina!X546</f>
        <v>0</v>
      </c>
      <c r="F611" s="58"/>
      <c r="G611" s="542"/>
      <c r="H611" s="161"/>
      <c r="I611" s="161"/>
    </row>
    <row r="612" spans="1:9">
      <c r="A612" s="58"/>
      <c r="B612" s="58">
        <f>Start.listina!AA546</f>
        <v>0</v>
      </c>
      <c r="C612" s="58">
        <f>Start.listina!AB546</f>
        <v>0</v>
      </c>
      <c r="D612" s="58">
        <f>Start.listina!AC546</f>
        <v>0</v>
      </c>
      <c r="E612" s="58">
        <f>Start.listina!AD546</f>
        <v>0</v>
      </c>
      <c r="F612" s="58"/>
      <c r="G612" s="542"/>
      <c r="H612" s="161"/>
      <c r="I612" s="161"/>
    </row>
    <row r="613" spans="1:9">
      <c r="A613" s="58">
        <f>Start.listina!AH547</f>
        <v>0</v>
      </c>
      <c r="B613" s="58">
        <f>Start.listina!I547</f>
        <v>0</v>
      </c>
      <c r="C613" s="58">
        <f>Start.listina!J547</f>
        <v>0</v>
      </c>
      <c r="D613" s="58">
        <f>Start.listina!K547</f>
        <v>0</v>
      </c>
      <c r="E613" s="58">
        <f>Start.listina!L547</f>
        <v>0</v>
      </c>
      <c r="F613" s="58"/>
      <c r="G613" s="542" t="str">
        <f>IF(N(A613)&gt;0,VLOOKUP(A613,Body!$A$4:$F$259,5,0),"")</f>
        <v/>
      </c>
      <c r="H613" s="161" t="str">
        <f>IF(N(A613)&gt;0,VLOOKUP(A613,Body!$A$4:$F$259,6,0),"")</f>
        <v/>
      </c>
      <c r="I613" s="161" t="str">
        <f>IF(N(A613)&gt;0,VLOOKUP(A613,Body!$A$4:$F$259,2,0),"")</f>
        <v/>
      </c>
    </row>
    <row r="614" spans="1:9">
      <c r="A614" s="58"/>
      <c r="B614" s="58">
        <f>Start.listina!O547</f>
        <v>0</v>
      </c>
      <c r="C614" s="58">
        <f>Start.listina!P547</f>
        <v>0</v>
      </c>
      <c r="D614" s="58">
        <f>Start.listina!Q547</f>
        <v>0</v>
      </c>
      <c r="E614" s="58">
        <f>Start.listina!R547</f>
        <v>0</v>
      </c>
      <c r="F614" s="58"/>
      <c r="G614" s="542"/>
      <c r="H614" s="161"/>
      <c r="I614" s="161"/>
    </row>
    <row r="615" spans="1:9">
      <c r="A615" s="58"/>
      <c r="B615" s="58">
        <f>Start.listina!U547</f>
        <v>0</v>
      </c>
      <c r="C615" s="58">
        <f>Start.listina!V547</f>
        <v>0</v>
      </c>
      <c r="D615" s="58">
        <f>Start.listina!W547</f>
        <v>0</v>
      </c>
      <c r="E615" s="58">
        <f>Start.listina!X547</f>
        <v>0</v>
      </c>
      <c r="F615" s="58"/>
      <c r="G615" s="542"/>
      <c r="H615" s="161"/>
      <c r="I615" s="161"/>
    </row>
    <row r="616" spans="1:9">
      <c r="A616" s="58"/>
      <c r="B616" s="58">
        <f>Start.listina!AA547</f>
        <v>0</v>
      </c>
      <c r="C616" s="58">
        <f>Start.listina!AB547</f>
        <v>0</v>
      </c>
      <c r="D616" s="58">
        <f>Start.listina!AC547</f>
        <v>0</v>
      </c>
      <c r="E616" s="58">
        <f>Start.listina!AD547</f>
        <v>0</v>
      </c>
      <c r="F616" s="58"/>
      <c r="G616" s="542"/>
      <c r="H616" s="161"/>
      <c r="I616" s="161"/>
    </row>
    <row r="617" spans="1:9">
      <c r="A617" s="58">
        <f>Start.listina!AH548</f>
        <v>0</v>
      </c>
      <c r="B617" s="58">
        <f>Start.listina!I548</f>
        <v>0</v>
      </c>
      <c r="C617" s="58">
        <f>Start.listina!J548</f>
        <v>0</v>
      </c>
      <c r="D617" s="58">
        <f>Start.listina!K548</f>
        <v>0</v>
      </c>
      <c r="E617" s="58">
        <f>Start.listina!L548</f>
        <v>0</v>
      </c>
      <c r="F617" s="58"/>
      <c r="G617" s="542" t="str">
        <f>IF(N(A617)&gt;0,VLOOKUP(A617,Body!$A$4:$F$259,5,0),"")</f>
        <v/>
      </c>
      <c r="H617" s="161" t="str">
        <f>IF(N(A617)&gt;0,VLOOKUP(A617,Body!$A$4:$F$259,6,0),"")</f>
        <v/>
      </c>
      <c r="I617" s="161" t="str">
        <f>IF(N(A617)&gt;0,VLOOKUP(A617,Body!$A$4:$F$259,2,0),"")</f>
        <v/>
      </c>
    </row>
    <row r="618" spans="1:9">
      <c r="A618" s="58"/>
      <c r="B618" s="58">
        <f>Start.listina!O548</f>
        <v>0</v>
      </c>
      <c r="C618" s="58">
        <f>Start.listina!P548</f>
        <v>0</v>
      </c>
      <c r="D618" s="58">
        <f>Start.listina!Q548</f>
        <v>0</v>
      </c>
      <c r="E618" s="58">
        <f>Start.listina!R548</f>
        <v>0</v>
      </c>
      <c r="F618" s="58"/>
      <c r="G618" s="542"/>
      <c r="H618" s="161"/>
      <c r="I618" s="161"/>
    </row>
    <row r="619" spans="1:9">
      <c r="A619" s="58"/>
      <c r="B619" s="58">
        <f>Start.listina!U548</f>
        <v>0</v>
      </c>
      <c r="C619" s="58">
        <f>Start.listina!V548</f>
        <v>0</v>
      </c>
      <c r="D619" s="58">
        <f>Start.listina!W548</f>
        <v>0</v>
      </c>
      <c r="E619" s="58">
        <f>Start.listina!X548</f>
        <v>0</v>
      </c>
      <c r="F619" s="58"/>
      <c r="G619" s="542"/>
      <c r="H619" s="161"/>
      <c r="I619" s="161"/>
    </row>
    <row r="620" spans="1:9">
      <c r="A620" s="58"/>
      <c r="B620" s="58">
        <f>Start.listina!AA548</f>
        <v>0</v>
      </c>
      <c r="C620" s="58">
        <f>Start.listina!AB548</f>
        <v>0</v>
      </c>
      <c r="D620" s="58">
        <f>Start.listina!AC548</f>
        <v>0</v>
      </c>
      <c r="E620" s="58">
        <f>Start.listina!AD548</f>
        <v>0</v>
      </c>
      <c r="F620" s="58"/>
      <c r="G620" s="542"/>
      <c r="H620" s="161"/>
      <c r="I620" s="161"/>
    </row>
    <row r="621" spans="1:9">
      <c r="A621" s="58">
        <f>Start.listina!AH549</f>
        <v>0</v>
      </c>
      <c r="B621" s="58">
        <f>Start.listina!I549</f>
        <v>0</v>
      </c>
      <c r="C621" s="58">
        <f>Start.listina!J549</f>
        <v>0</v>
      </c>
      <c r="D621" s="58">
        <f>Start.listina!K549</f>
        <v>0</v>
      </c>
      <c r="E621" s="58">
        <f>Start.listina!L549</f>
        <v>0</v>
      </c>
      <c r="F621" s="58"/>
      <c r="G621" s="542" t="str">
        <f>IF(N(A621)&gt;0,VLOOKUP(A621,Body!$A$4:$F$259,5,0),"")</f>
        <v/>
      </c>
      <c r="H621" s="161" t="str">
        <f>IF(N(A621)&gt;0,VLOOKUP(A621,Body!$A$4:$F$259,6,0),"")</f>
        <v/>
      </c>
      <c r="I621" s="161" t="str">
        <f>IF(N(A621)&gt;0,VLOOKUP(A621,Body!$A$4:$F$259,2,0),"")</f>
        <v/>
      </c>
    </row>
    <row r="622" spans="1:9">
      <c r="A622" s="58"/>
      <c r="B622" s="58">
        <f>Start.listina!O549</f>
        <v>0</v>
      </c>
      <c r="C622" s="58">
        <f>Start.listina!P549</f>
        <v>0</v>
      </c>
      <c r="D622" s="58">
        <f>Start.listina!Q549</f>
        <v>0</v>
      </c>
      <c r="E622" s="58">
        <f>Start.listina!R549</f>
        <v>0</v>
      </c>
      <c r="F622" s="58"/>
      <c r="G622" s="542"/>
      <c r="H622" s="161"/>
      <c r="I622" s="161"/>
    </row>
    <row r="623" spans="1:9">
      <c r="A623" s="58"/>
      <c r="B623" s="58">
        <f>Start.listina!U549</f>
        <v>0</v>
      </c>
      <c r="C623" s="58">
        <f>Start.listina!V549</f>
        <v>0</v>
      </c>
      <c r="D623" s="58">
        <f>Start.listina!W549</f>
        <v>0</v>
      </c>
      <c r="E623" s="58">
        <f>Start.listina!X549</f>
        <v>0</v>
      </c>
      <c r="F623" s="58"/>
      <c r="G623" s="542"/>
      <c r="H623" s="161"/>
      <c r="I623" s="161"/>
    </row>
    <row r="624" spans="1:9">
      <c r="A624" s="58"/>
      <c r="B624" s="58">
        <f>Start.listina!AA549</f>
        <v>0</v>
      </c>
      <c r="C624" s="58">
        <f>Start.listina!AB549</f>
        <v>0</v>
      </c>
      <c r="D624" s="58">
        <f>Start.listina!AC549</f>
        <v>0</v>
      </c>
      <c r="E624" s="58">
        <f>Start.listina!AD549</f>
        <v>0</v>
      </c>
      <c r="F624" s="58"/>
      <c r="G624" s="542"/>
      <c r="H624" s="161"/>
      <c r="I624" s="161"/>
    </row>
    <row r="625" spans="1:9">
      <c r="A625" s="58">
        <f>Start.listina!AH550</f>
        <v>0</v>
      </c>
      <c r="B625" s="58">
        <f>Start.listina!I550</f>
        <v>0</v>
      </c>
      <c r="C625" s="58">
        <f>Start.listina!J550</f>
        <v>0</v>
      </c>
      <c r="D625" s="58">
        <f>Start.listina!K550</f>
        <v>0</v>
      </c>
      <c r="E625" s="58">
        <f>Start.listina!L550</f>
        <v>0</v>
      </c>
      <c r="F625" s="58"/>
      <c r="G625" s="542" t="str">
        <f>IF(N(A625)&gt;0,VLOOKUP(A625,Body!$A$4:$F$259,5,0),"")</f>
        <v/>
      </c>
      <c r="H625" s="161" t="str">
        <f>IF(N(A625)&gt;0,VLOOKUP(A625,Body!$A$4:$F$259,6,0),"")</f>
        <v/>
      </c>
      <c r="I625" s="161" t="str">
        <f>IF(N(A625)&gt;0,VLOOKUP(A625,Body!$A$4:$F$259,2,0),"")</f>
        <v/>
      </c>
    </row>
    <row r="626" spans="1:9">
      <c r="A626" s="58"/>
      <c r="B626" s="58">
        <f>Start.listina!O550</f>
        <v>0</v>
      </c>
      <c r="C626" s="58">
        <f>Start.listina!P550</f>
        <v>0</v>
      </c>
      <c r="D626" s="58">
        <f>Start.listina!Q550</f>
        <v>0</v>
      </c>
      <c r="E626" s="58">
        <f>Start.listina!R550</f>
        <v>0</v>
      </c>
      <c r="F626" s="58"/>
      <c r="G626" s="542"/>
      <c r="H626" s="161"/>
      <c r="I626" s="161"/>
    </row>
    <row r="627" spans="1:9">
      <c r="A627" s="58"/>
      <c r="B627" s="58">
        <f>Start.listina!U550</f>
        <v>0</v>
      </c>
      <c r="C627" s="58">
        <f>Start.listina!V550</f>
        <v>0</v>
      </c>
      <c r="D627" s="58">
        <f>Start.listina!W550</f>
        <v>0</v>
      </c>
      <c r="E627" s="58">
        <f>Start.listina!X550</f>
        <v>0</v>
      </c>
      <c r="F627" s="58"/>
      <c r="G627" s="542"/>
      <c r="H627" s="161"/>
      <c r="I627" s="161"/>
    </row>
    <row r="628" spans="1:9">
      <c r="A628" s="58"/>
      <c r="B628" s="58">
        <f>Start.listina!AA550</f>
        <v>0</v>
      </c>
      <c r="C628" s="58">
        <f>Start.listina!AB550</f>
        <v>0</v>
      </c>
      <c r="D628" s="58">
        <f>Start.listina!AC550</f>
        <v>0</v>
      </c>
      <c r="E628" s="58">
        <f>Start.listina!AD550</f>
        <v>0</v>
      </c>
      <c r="F628" s="58"/>
      <c r="G628" s="542"/>
      <c r="H628" s="161"/>
      <c r="I628" s="161"/>
    </row>
    <row r="629" spans="1:9">
      <c r="A629" s="58">
        <f>Start.listina!AH551</f>
        <v>0</v>
      </c>
      <c r="B629" s="58">
        <f>Start.listina!I551</f>
        <v>0</v>
      </c>
      <c r="C629" s="543">
        <f>Start.listina!J551</f>
        <v>0</v>
      </c>
      <c r="D629" s="58">
        <f>Start.listina!K551</f>
        <v>0</v>
      </c>
      <c r="E629" s="58">
        <f>Start.listina!L551</f>
        <v>0</v>
      </c>
      <c r="F629" s="58"/>
      <c r="G629" s="542" t="str">
        <f>IF(N(A629)&gt;0,VLOOKUP(A629,Body!$A$4:$F$259,5,0),"")</f>
        <v/>
      </c>
      <c r="H629" s="161" t="str">
        <f>IF(N(A629)&gt;0,VLOOKUP(A629,Body!$A$4:$F$259,6,0),"")</f>
        <v/>
      </c>
      <c r="I629" s="161" t="str">
        <f>IF(N(A629)&gt;0,VLOOKUP(A629,Body!$A$4:$F$259,2,0),"")</f>
        <v/>
      </c>
    </row>
    <row r="630" spans="1:9">
      <c r="A630" s="58"/>
      <c r="B630" s="58">
        <f>Start.listina!O551</f>
        <v>0</v>
      </c>
      <c r="C630" s="58">
        <f>Start.listina!P551</f>
        <v>0</v>
      </c>
      <c r="D630" s="58">
        <f>Start.listina!Q551</f>
        <v>0</v>
      </c>
      <c r="E630" s="58">
        <f>Start.listina!R551</f>
        <v>0</v>
      </c>
      <c r="F630" s="58"/>
      <c r="G630" s="542"/>
      <c r="H630" s="161"/>
      <c r="I630" s="161"/>
    </row>
    <row r="631" spans="1:9">
      <c r="A631" s="58"/>
      <c r="B631" s="58">
        <f>Start.listina!U551</f>
        <v>0</v>
      </c>
      <c r="C631" s="58">
        <f>Start.listina!V551</f>
        <v>0</v>
      </c>
      <c r="D631" s="58">
        <f>Start.listina!W551</f>
        <v>0</v>
      </c>
      <c r="E631" s="58">
        <f>Start.listina!X551</f>
        <v>0</v>
      </c>
      <c r="F631" s="58"/>
      <c r="G631" s="542"/>
      <c r="H631" s="161"/>
      <c r="I631" s="161"/>
    </row>
    <row r="632" spans="1:9">
      <c r="A632" s="58"/>
      <c r="B632" s="58">
        <f>Start.listina!AA551</f>
        <v>0</v>
      </c>
      <c r="C632" s="58">
        <f>Start.listina!AB551</f>
        <v>0</v>
      </c>
      <c r="D632" s="58">
        <f>Start.listina!AC551</f>
        <v>0</v>
      </c>
      <c r="E632" s="58">
        <f>Start.listina!AD551</f>
        <v>0</v>
      </c>
      <c r="F632" s="58"/>
      <c r="G632" s="542"/>
      <c r="H632" s="161"/>
      <c r="I632" s="161"/>
    </row>
    <row r="633" spans="1:9">
      <c r="A633" s="58">
        <f>Start.listina!AH552</f>
        <v>0</v>
      </c>
      <c r="B633" s="58">
        <f>Start.listina!I552</f>
        <v>0</v>
      </c>
      <c r="C633" s="543">
        <f>Start.listina!J552</f>
        <v>0</v>
      </c>
      <c r="D633" s="58">
        <f>Start.listina!K552</f>
        <v>0</v>
      </c>
      <c r="E633" s="58">
        <f>Start.listina!L552</f>
        <v>0</v>
      </c>
      <c r="F633" s="58"/>
      <c r="G633" s="542" t="str">
        <f>IF(N(A633)&gt;0,VLOOKUP(A633,Body!$A$4:$F$259,5,0),"")</f>
        <v/>
      </c>
      <c r="H633" s="161" t="str">
        <f>IF(N(A633)&gt;0,VLOOKUP(A633,Body!$A$4:$F$259,6,0),"")</f>
        <v/>
      </c>
      <c r="I633" s="161" t="str">
        <f>IF(N(A633)&gt;0,VLOOKUP(A633,Body!$A$4:$F$259,2,0),"")</f>
        <v/>
      </c>
    </row>
    <row r="634" spans="1:9">
      <c r="A634" s="58"/>
      <c r="B634" s="58">
        <f>Start.listina!O552</f>
        <v>0</v>
      </c>
      <c r="C634" s="58">
        <f>Start.listina!P552</f>
        <v>0</v>
      </c>
      <c r="D634" s="58">
        <f>Start.listina!Q552</f>
        <v>0</v>
      </c>
      <c r="E634" s="58">
        <f>Start.listina!R552</f>
        <v>0</v>
      </c>
      <c r="F634" s="58"/>
      <c r="G634" s="542"/>
      <c r="H634" s="161"/>
      <c r="I634" s="161"/>
    </row>
    <row r="635" spans="1:9">
      <c r="A635" s="58"/>
      <c r="B635" s="58">
        <f>Start.listina!U552</f>
        <v>0</v>
      </c>
      <c r="C635" s="58">
        <f>Start.listina!V552</f>
        <v>0</v>
      </c>
      <c r="D635" s="58">
        <f>Start.listina!W552</f>
        <v>0</v>
      </c>
      <c r="E635" s="58">
        <f>Start.listina!X552</f>
        <v>0</v>
      </c>
      <c r="F635" s="58"/>
      <c r="G635" s="542"/>
      <c r="H635" s="161"/>
      <c r="I635" s="161"/>
    </row>
    <row r="636" spans="1:9">
      <c r="A636" s="58"/>
      <c r="B636" s="58">
        <f>Start.listina!AA552</f>
        <v>0</v>
      </c>
      <c r="C636" s="58">
        <f>Start.listina!AB552</f>
        <v>0</v>
      </c>
      <c r="D636" s="58">
        <f>Start.listina!AC552</f>
        <v>0</v>
      </c>
      <c r="E636" s="58">
        <f>Start.listina!AD552</f>
        <v>0</v>
      </c>
      <c r="F636" s="58"/>
      <c r="G636" s="542"/>
      <c r="H636" s="161"/>
      <c r="I636" s="161"/>
    </row>
    <row r="637" spans="1:9">
      <c r="A637" s="58">
        <f>Start.listina!AH553</f>
        <v>0</v>
      </c>
      <c r="B637" s="58">
        <f>Start.listina!I553</f>
        <v>0</v>
      </c>
      <c r="C637" s="543">
        <f>Start.listina!J553</f>
        <v>0</v>
      </c>
      <c r="D637" s="58">
        <f>Start.listina!K553</f>
        <v>0</v>
      </c>
      <c r="E637" s="58">
        <f>Start.listina!L553</f>
        <v>0</v>
      </c>
      <c r="F637" s="58"/>
      <c r="G637" s="542" t="str">
        <f>IF(N(A637)&gt;0,VLOOKUP(A637,Body!$A$4:$F$259,5,0),"")</f>
        <v/>
      </c>
      <c r="H637" s="161" t="str">
        <f>IF(N(A637)&gt;0,VLOOKUP(A637,Body!$A$4:$F$259,6,0),"")</f>
        <v/>
      </c>
      <c r="I637" s="161" t="str">
        <f>IF(N(A637)&gt;0,VLOOKUP(A637,Body!$A$4:$F$259,2,0),"")</f>
        <v/>
      </c>
    </row>
    <row r="638" spans="1:9">
      <c r="A638" s="58"/>
      <c r="B638" s="58">
        <f>Start.listina!O553</f>
        <v>0</v>
      </c>
      <c r="C638" s="58">
        <f>Start.listina!P553</f>
        <v>0</v>
      </c>
      <c r="D638" s="58">
        <f>Start.listina!Q553</f>
        <v>0</v>
      </c>
      <c r="E638" s="58">
        <f>Start.listina!R553</f>
        <v>0</v>
      </c>
      <c r="F638" s="58"/>
      <c r="G638" s="542"/>
      <c r="H638" s="161"/>
      <c r="I638" s="161"/>
    </row>
    <row r="639" spans="1:9">
      <c r="A639" s="58"/>
      <c r="B639" s="58">
        <f>Start.listina!U553</f>
        <v>0</v>
      </c>
      <c r="C639" s="58">
        <f>Start.listina!V553</f>
        <v>0</v>
      </c>
      <c r="D639" s="58">
        <f>Start.listina!W553</f>
        <v>0</v>
      </c>
      <c r="E639" s="58">
        <f>Start.listina!X553</f>
        <v>0</v>
      </c>
      <c r="F639" s="58"/>
      <c r="G639" s="542"/>
      <c r="H639" s="161"/>
      <c r="I639" s="161"/>
    </row>
    <row r="640" spans="1:9">
      <c r="A640" s="58"/>
      <c r="B640" s="58">
        <f>Start.listina!AA553</f>
        <v>0</v>
      </c>
      <c r="C640" s="58">
        <f>Start.listina!AB553</f>
        <v>0</v>
      </c>
      <c r="D640" s="58">
        <f>Start.listina!AC553</f>
        <v>0</v>
      </c>
      <c r="E640" s="58">
        <f>Start.listina!AD553</f>
        <v>0</v>
      </c>
      <c r="F640" s="58"/>
      <c r="G640" s="542"/>
      <c r="H640" s="161"/>
      <c r="I640" s="161"/>
    </row>
    <row r="641" spans="1:9">
      <c r="A641" s="58">
        <f>Start.listina!AH554</f>
        <v>0</v>
      </c>
      <c r="B641" s="58">
        <f>Start.listina!I554</f>
        <v>0</v>
      </c>
      <c r="C641" s="543">
        <f>Start.listina!J554</f>
        <v>0</v>
      </c>
      <c r="D641" s="58">
        <f>Start.listina!K554</f>
        <v>0</v>
      </c>
      <c r="E641" s="58">
        <f>Start.listina!L554</f>
        <v>0</v>
      </c>
      <c r="F641" s="58"/>
      <c r="G641" s="542" t="str">
        <f>IF(N(A641)&gt;0,VLOOKUP(A641,Body!$A$4:$F$259,5,0),"")</f>
        <v/>
      </c>
      <c r="H641" s="161" t="str">
        <f>IF(N(A641)&gt;0,VLOOKUP(A641,Body!$A$4:$F$259,6,0),"")</f>
        <v/>
      </c>
      <c r="I641" s="161" t="str">
        <f>IF(N(A641)&gt;0,VLOOKUP(A641,Body!$A$4:$F$259,2,0),"")</f>
        <v/>
      </c>
    </row>
    <row r="642" spans="1:9">
      <c r="A642" s="58"/>
      <c r="B642" s="58">
        <f>Start.listina!O554</f>
        <v>0</v>
      </c>
      <c r="C642" s="58">
        <f>Start.listina!P554</f>
        <v>0</v>
      </c>
      <c r="D642" s="58">
        <f>Start.listina!Q554</f>
        <v>0</v>
      </c>
      <c r="E642" s="58">
        <f>Start.listina!R554</f>
        <v>0</v>
      </c>
      <c r="F642" s="58"/>
      <c r="G642" s="542"/>
      <c r="H642" s="161"/>
      <c r="I642" s="161"/>
    </row>
    <row r="643" spans="1:9">
      <c r="A643" s="58"/>
      <c r="B643" s="58">
        <f>Start.listina!U554</f>
        <v>0</v>
      </c>
      <c r="C643" s="58">
        <f>Start.listina!V554</f>
        <v>0</v>
      </c>
      <c r="D643" s="58">
        <f>Start.listina!W554</f>
        <v>0</v>
      </c>
      <c r="E643" s="58">
        <f>Start.listina!X554</f>
        <v>0</v>
      </c>
      <c r="F643" s="58"/>
      <c r="G643" s="542"/>
      <c r="H643" s="161"/>
      <c r="I643" s="161"/>
    </row>
    <row r="644" spans="1:9">
      <c r="A644" s="58"/>
      <c r="B644" s="58">
        <f>Start.listina!AA554</f>
        <v>0</v>
      </c>
      <c r="C644" s="58">
        <f>Start.listina!AB554</f>
        <v>0</v>
      </c>
      <c r="D644" s="58">
        <f>Start.listina!AC554</f>
        <v>0</v>
      </c>
      <c r="E644" s="58">
        <f>Start.listina!AD554</f>
        <v>0</v>
      </c>
      <c r="F644" s="58"/>
      <c r="G644" s="542"/>
      <c r="H644" s="161"/>
      <c r="I644" s="161"/>
    </row>
    <row r="645" spans="1:9">
      <c r="A645" s="58">
        <f>Start.listina!AH555</f>
        <v>0</v>
      </c>
      <c r="B645" s="58">
        <f>Start.listina!I555</f>
        <v>0</v>
      </c>
      <c r="C645" s="543">
        <f>Start.listina!J555</f>
        <v>0</v>
      </c>
      <c r="D645" s="58">
        <f>Start.listina!K555</f>
        <v>0</v>
      </c>
      <c r="E645" s="58">
        <f>Start.listina!L555</f>
        <v>0</v>
      </c>
      <c r="F645" s="58"/>
      <c r="G645" s="542" t="str">
        <f>IF(N(A645)&gt;0,VLOOKUP(A645,Body!$A$4:$F$259,5,0),"")</f>
        <v/>
      </c>
      <c r="H645" s="161" t="str">
        <f>IF(N(A645)&gt;0,VLOOKUP(A645,Body!$A$4:$F$259,6,0),"")</f>
        <v/>
      </c>
      <c r="I645" s="161" t="str">
        <f>IF(N(A645)&gt;0,VLOOKUP(A645,Body!$A$4:$F$259,2,0),"")</f>
        <v/>
      </c>
    </row>
    <row r="646" spans="1:9">
      <c r="A646" s="58"/>
      <c r="B646" s="58">
        <f>Start.listina!O555</f>
        <v>0</v>
      </c>
      <c r="C646" s="58">
        <f>Start.listina!P555</f>
        <v>0</v>
      </c>
      <c r="D646" s="58">
        <f>Start.listina!Q555</f>
        <v>0</v>
      </c>
      <c r="E646" s="58">
        <f>Start.listina!R555</f>
        <v>0</v>
      </c>
      <c r="F646" s="58"/>
      <c r="G646" s="542"/>
      <c r="H646" s="161"/>
      <c r="I646" s="161"/>
    </row>
    <row r="647" spans="1:9">
      <c r="A647" s="58"/>
      <c r="B647" s="58">
        <f>Start.listina!U555</f>
        <v>0</v>
      </c>
      <c r="C647" s="58">
        <f>Start.listina!V555</f>
        <v>0</v>
      </c>
      <c r="D647" s="58">
        <f>Start.listina!W555</f>
        <v>0</v>
      </c>
      <c r="E647" s="58">
        <f>Start.listina!X555</f>
        <v>0</v>
      </c>
      <c r="F647" s="58"/>
      <c r="G647" s="542"/>
      <c r="H647" s="161"/>
      <c r="I647" s="161"/>
    </row>
    <row r="648" spans="1:9">
      <c r="A648" s="58"/>
      <c r="B648" s="58">
        <f>Start.listina!AA555</f>
        <v>0</v>
      </c>
      <c r="C648" s="58">
        <f>Start.listina!AB555</f>
        <v>0</v>
      </c>
      <c r="D648" s="58">
        <f>Start.listina!AC555</f>
        <v>0</v>
      </c>
      <c r="E648" s="58">
        <f>Start.listina!AD555</f>
        <v>0</v>
      </c>
      <c r="F648" s="58"/>
      <c r="G648" s="542"/>
      <c r="H648" s="161"/>
      <c r="I648" s="161"/>
    </row>
    <row r="649" spans="1:9">
      <c r="A649" s="58">
        <f>Start.listina!AH556</f>
        <v>0</v>
      </c>
      <c r="B649" s="58">
        <f>Start.listina!I556</f>
        <v>0</v>
      </c>
      <c r="C649" s="543">
        <f>Start.listina!J556</f>
        <v>0</v>
      </c>
      <c r="D649" s="58">
        <f>Start.listina!K556</f>
        <v>0</v>
      </c>
      <c r="E649" s="58">
        <f>Start.listina!L556</f>
        <v>0</v>
      </c>
      <c r="F649" s="58"/>
      <c r="G649" s="542" t="str">
        <f>IF(N(A649)&gt;0,VLOOKUP(A649,Body!$A$4:$F$259,5,0),"")</f>
        <v/>
      </c>
      <c r="H649" s="161" t="str">
        <f>IF(N(A649)&gt;0,VLOOKUP(A649,Body!$A$4:$F$259,6,0),"")</f>
        <v/>
      </c>
      <c r="I649" s="161" t="str">
        <f>IF(N(A649)&gt;0,VLOOKUP(A649,Body!$A$4:$F$259,2,0),"")</f>
        <v/>
      </c>
    </row>
    <row r="650" spans="1:9">
      <c r="A650" s="58"/>
      <c r="B650" s="58">
        <f>Start.listina!O556</f>
        <v>0</v>
      </c>
      <c r="C650" s="58">
        <f>Start.listina!P556</f>
        <v>0</v>
      </c>
      <c r="D650" s="58">
        <f>Start.listina!Q556</f>
        <v>0</v>
      </c>
      <c r="E650" s="58">
        <f>Start.listina!R556</f>
        <v>0</v>
      </c>
      <c r="F650" s="58"/>
      <c r="G650" s="542"/>
      <c r="H650" s="161"/>
      <c r="I650" s="161"/>
    </row>
    <row r="651" spans="1:9">
      <c r="A651" s="58"/>
      <c r="B651" s="58">
        <f>Start.listina!U556</f>
        <v>0</v>
      </c>
      <c r="C651" s="58">
        <f>Start.listina!V556</f>
        <v>0</v>
      </c>
      <c r="D651" s="58">
        <f>Start.listina!W556</f>
        <v>0</v>
      </c>
      <c r="E651" s="58">
        <f>Start.listina!X556</f>
        <v>0</v>
      </c>
      <c r="F651" s="58"/>
      <c r="G651" s="542"/>
      <c r="H651" s="161"/>
      <c r="I651" s="161"/>
    </row>
    <row r="652" spans="1:9">
      <c r="A652" s="58"/>
      <c r="B652" s="58">
        <f>Start.listina!AA556</f>
        <v>0</v>
      </c>
      <c r="C652" s="58">
        <f>Start.listina!AB556</f>
        <v>0</v>
      </c>
      <c r="D652" s="58">
        <f>Start.listina!AC556</f>
        <v>0</v>
      </c>
      <c r="E652" s="58">
        <f>Start.listina!AD556</f>
        <v>0</v>
      </c>
      <c r="F652" s="58"/>
      <c r="G652" s="542"/>
      <c r="H652" s="161"/>
      <c r="I652" s="161"/>
    </row>
    <row r="653" spans="1:9">
      <c r="A653" s="58">
        <f>Start.listina!AH557</f>
        <v>0</v>
      </c>
      <c r="B653" s="58">
        <f>Start.listina!I557</f>
        <v>0</v>
      </c>
      <c r="C653" s="543">
        <f>Start.listina!J557</f>
        <v>0</v>
      </c>
      <c r="D653" s="58">
        <f>Start.listina!K557</f>
        <v>0</v>
      </c>
      <c r="E653" s="58">
        <f>Start.listina!L557</f>
        <v>0</v>
      </c>
      <c r="F653" s="58"/>
      <c r="G653" s="542" t="str">
        <f>IF(N(A653)&gt;0,VLOOKUP(A653,Body!$A$4:$F$259,5,0),"")</f>
        <v/>
      </c>
      <c r="H653" s="161" t="str">
        <f>IF(N(A653)&gt;0,VLOOKUP(A653,Body!$A$4:$F$259,6,0),"")</f>
        <v/>
      </c>
      <c r="I653" s="161" t="str">
        <f>IF(N(A653)&gt;0,VLOOKUP(A653,Body!$A$4:$F$259,2,0),"")</f>
        <v/>
      </c>
    </row>
    <row r="654" spans="1:9">
      <c r="A654" s="58"/>
      <c r="B654" s="58">
        <f>Start.listina!O557</f>
        <v>0</v>
      </c>
      <c r="C654" s="58">
        <f>Start.listina!P557</f>
        <v>0</v>
      </c>
      <c r="D654" s="58">
        <f>Start.listina!Q557</f>
        <v>0</v>
      </c>
      <c r="E654" s="58">
        <f>Start.listina!R557</f>
        <v>0</v>
      </c>
      <c r="F654" s="58"/>
      <c r="G654" s="542"/>
      <c r="H654" s="161"/>
      <c r="I654" s="161"/>
    </row>
    <row r="655" spans="1:9">
      <c r="A655" s="58"/>
      <c r="B655" s="58">
        <f>Start.listina!U557</f>
        <v>0</v>
      </c>
      <c r="C655" s="58">
        <f>Start.listina!V557</f>
        <v>0</v>
      </c>
      <c r="D655" s="58">
        <f>Start.listina!W557</f>
        <v>0</v>
      </c>
      <c r="E655" s="58">
        <f>Start.listina!X557</f>
        <v>0</v>
      </c>
      <c r="F655" s="58"/>
      <c r="G655" s="542"/>
      <c r="H655" s="161"/>
      <c r="I655" s="161"/>
    </row>
    <row r="656" spans="1:9">
      <c r="A656" s="58"/>
      <c r="B656" s="58">
        <f>Start.listina!AA557</f>
        <v>0</v>
      </c>
      <c r="C656" s="58">
        <f>Start.listina!AB557</f>
        <v>0</v>
      </c>
      <c r="D656" s="58">
        <f>Start.listina!AC557</f>
        <v>0</v>
      </c>
      <c r="E656" s="58">
        <f>Start.listina!AD557</f>
        <v>0</v>
      </c>
      <c r="F656" s="58"/>
      <c r="G656" s="542"/>
      <c r="H656" s="161"/>
      <c r="I656" s="161"/>
    </row>
    <row r="657" spans="1:9">
      <c r="A657" s="58">
        <f>Start.listina!AH558</f>
        <v>0</v>
      </c>
      <c r="B657" s="58">
        <f>Start.listina!I558</f>
        <v>0</v>
      </c>
      <c r="C657" s="543">
        <f>Start.listina!J558</f>
        <v>0</v>
      </c>
      <c r="D657" s="58">
        <f>Start.listina!K558</f>
        <v>0</v>
      </c>
      <c r="E657" s="58">
        <f>Start.listina!L558</f>
        <v>0</v>
      </c>
      <c r="F657" s="58"/>
      <c r="G657" s="542" t="str">
        <f>IF(N(A657)&gt;0,VLOOKUP(A657,Body!$A$4:$F$259,5,0),"")</f>
        <v/>
      </c>
      <c r="H657" s="161" t="str">
        <f>IF(N(A657)&gt;0,VLOOKUP(A657,Body!$A$4:$F$259,6,0),"")</f>
        <v/>
      </c>
      <c r="I657" s="161" t="str">
        <f>IF(N(A657)&gt;0,VLOOKUP(A657,Body!$A$4:$F$259,2,0),"")</f>
        <v/>
      </c>
    </row>
    <row r="658" spans="1:9">
      <c r="A658" s="58"/>
      <c r="B658" s="58">
        <f>Start.listina!O558</f>
        <v>0</v>
      </c>
      <c r="C658" s="58">
        <f>Start.listina!P558</f>
        <v>0</v>
      </c>
      <c r="D658" s="58">
        <f>Start.listina!Q558</f>
        <v>0</v>
      </c>
      <c r="E658" s="58">
        <f>Start.listina!R558</f>
        <v>0</v>
      </c>
      <c r="F658" s="58"/>
      <c r="G658" s="542"/>
      <c r="H658" s="161"/>
      <c r="I658" s="161"/>
    </row>
    <row r="659" spans="1:9">
      <c r="A659" s="58"/>
      <c r="B659" s="58">
        <f>Start.listina!U558</f>
        <v>0</v>
      </c>
      <c r="C659" s="58">
        <f>Start.listina!V558</f>
        <v>0</v>
      </c>
      <c r="D659" s="58">
        <f>Start.listina!W558</f>
        <v>0</v>
      </c>
      <c r="E659" s="58">
        <f>Start.listina!X558</f>
        <v>0</v>
      </c>
      <c r="F659" s="58"/>
      <c r="G659" s="542"/>
      <c r="H659" s="161"/>
      <c r="I659" s="161"/>
    </row>
    <row r="660" spans="1:9">
      <c r="A660" s="58"/>
      <c r="B660" s="58">
        <f>Start.listina!AA558</f>
        <v>0</v>
      </c>
      <c r="C660" s="58">
        <f>Start.listina!AB558</f>
        <v>0</v>
      </c>
      <c r="D660" s="58">
        <f>Start.listina!AC558</f>
        <v>0</v>
      </c>
      <c r="E660" s="58">
        <f>Start.listina!AD558</f>
        <v>0</v>
      </c>
      <c r="F660" s="58"/>
      <c r="G660" s="542"/>
      <c r="H660" s="161"/>
      <c r="I660" s="161"/>
    </row>
    <row r="661" spans="1:9">
      <c r="A661" s="58">
        <f>Start.listina!AH559</f>
        <v>0</v>
      </c>
      <c r="B661" s="58">
        <f>Start.listina!I559</f>
        <v>0</v>
      </c>
      <c r="C661" s="543">
        <f>Start.listina!J559</f>
        <v>0</v>
      </c>
      <c r="D661" s="58">
        <f>Start.listina!K559</f>
        <v>0</v>
      </c>
      <c r="E661" s="58">
        <f>Start.listina!L559</f>
        <v>0</v>
      </c>
      <c r="F661" s="58"/>
      <c r="G661" s="542" t="str">
        <f>IF(N(A661)&gt;0,VLOOKUP(A661,Body!$A$4:$F$259,5,0),"")</f>
        <v/>
      </c>
      <c r="H661" s="161" t="str">
        <f>IF(N(A661)&gt;0,VLOOKUP(A661,Body!$A$4:$F$259,6,0),"")</f>
        <v/>
      </c>
      <c r="I661" s="161" t="str">
        <f>IF(N(A661)&gt;0,VLOOKUP(A661,Body!$A$4:$F$259,2,0),"")</f>
        <v/>
      </c>
    </row>
    <row r="662" spans="1:9">
      <c r="A662" s="58"/>
      <c r="B662" s="58">
        <f>Start.listina!O559</f>
        <v>0</v>
      </c>
      <c r="C662" s="58">
        <f>Start.listina!P559</f>
        <v>0</v>
      </c>
      <c r="D662" s="58">
        <f>Start.listina!Q559</f>
        <v>0</v>
      </c>
      <c r="E662" s="58">
        <f>Start.listina!R559</f>
        <v>0</v>
      </c>
      <c r="F662" s="58"/>
      <c r="G662" s="542"/>
      <c r="H662" s="161"/>
      <c r="I662" s="161"/>
    </row>
    <row r="663" spans="1:9">
      <c r="A663" s="58"/>
      <c r="B663" s="58">
        <f>Start.listina!U559</f>
        <v>0</v>
      </c>
      <c r="C663" s="58">
        <f>Start.listina!V559</f>
        <v>0</v>
      </c>
      <c r="D663" s="58">
        <f>Start.listina!W559</f>
        <v>0</v>
      </c>
      <c r="E663" s="58">
        <f>Start.listina!X559</f>
        <v>0</v>
      </c>
      <c r="F663" s="58"/>
      <c r="G663" s="542"/>
      <c r="H663" s="161"/>
      <c r="I663" s="161"/>
    </row>
    <row r="664" spans="1:9">
      <c r="A664" s="58"/>
      <c r="B664" s="58">
        <f>Start.listina!AA559</f>
        <v>0</v>
      </c>
      <c r="C664" s="58">
        <f>Start.listina!AB559</f>
        <v>0</v>
      </c>
      <c r="D664" s="58">
        <f>Start.listina!AC559</f>
        <v>0</v>
      </c>
      <c r="E664" s="58">
        <f>Start.listina!AD559</f>
        <v>0</v>
      </c>
      <c r="F664" s="58"/>
      <c r="G664" s="542"/>
      <c r="H664" s="161"/>
      <c r="I664" s="161"/>
    </row>
    <row r="665" spans="1:9">
      <c r="A665" s="58">
        <f>Start.listina!AH560</f>
        <v>0</v>
      </c>
      <c r="B665" s="58">
        <f>Start.listina!I560</f>
        <v>0</v>
      </c>
      <c r="C665" s="543">
        <f>Start.listina!J560</f>
        <v>0</v>
      </c>
      <c r="D665" s="58">
        <f>Start.listina!K560</f>
        <v>0</v>
      </c>
      <c r="E665" s="58">
        <f>Start.listina!L560</f>
        <v>0</v>
      </c>
      <c r="F665" s="58"/>
      <c r="G665" s="542" t="str">
        <f>IF(N(A665)&gt;0,VLOOKUP(A665,Body!$A$4:$F$259,5,0),"")</f>
        <v/>
      </c>
      <c r="H665" s="161" t="str">
        <f>IF(N(A665)&gt;0,VLOOKUP(A665,Body!$A$4:$F$259,6,0),"")</f>
        <v/>
      </c>
      <c r="I665" s="161" t="str">
        <f>IF(N(A665)&gt;0,VLOOKUP(A665,Body!$A$4:$F$259,2,0),"")</f>
        <v/>
      </c>
    </row>
    <row r="666" spans="1:9">
      <c r="A666" s="58"/>
      <c r="B666" s="58">
        <f>Start.listina!O560</f>
        <v>0</v>
      </c>
      <c r="C666" s="58">
        <f>Start.listina!P560</f>
        <v>0</v>
      </c>
      <c r="D666" s="58">
        <f>Start.listina!Q560</f>
        <v>0</v>
      </c>
      <c r="E666" s="58">
        <f>Start.listina!R560</f>
        <v>0</v>
      </c>
      <c r="F666" s="58"/>
      <c r="G666" s="542"/>
      <c r="H666" s="161"/>
      <c r="I666" s="161"/>
    </row>
    <row r="667" spans="1:9">
      <c r="A667" s="58"/>
      <c r="B667" s="58">
        <f>Start.listina!U560</f>
        <v>0</v>
      </c>
      <c r="C667" s="58">
        <f>Start.listina!V560</f>
        <v>0</v>
      </c>
      <c r="D667" s="58">
        <f>Start.listina!W560</f>
        <v>0</v>
      </c>
      <c r="E667" s="58">
        <f>Start.listina!X560</f>
        <v>0</v>
      </c>
      <c r="F667" s="58"/>
      <c r="G667" s="542"/>
      <c r="H667" s="161"/>
      <c r="I667" s="161"/>
    </row>
    <row r="668" spans="1:9">
      <c r="A668" s="58"/>
      <c r="B668" s="58">
        <f>Start.listina!AA560</f>
        <v>0</v>
      </c>
      <c r="C668" s="58">
        <f>Start.listina!AB560</f>
        <v>0</v>
      </c>
      <c r="D668" s="58">
        <f>Start.listina!AC560</f>
        <v>0</v>
      </c>
      <c r="E668" s="58">
        <f>Start.listina!AD560</f>
        <v>0</v>
      </c>
      <c r="F668" s="58"/>
      <c r="G668" s="542"/>
      <c r="H668" s="161"/>
      <c r="I668" s="161"/>
    </row>
    <row r="669" spans="1:9">
      <c r="A669" s="58">
        <f>Start.listina!AH561</f>
        <v>0</v>
      </c>
      <c r="B669" s="58">
        <f>Start.listina!I561</f>
        <v>0</v>
      </c>
      <c r="C669" s="543">
        <f>Start.listina!J561</f>
        <v>0</v>
      </c>
      <c r="D669" s="58">
        <f>Start.listina!K561</f>
        <v>0</v>
      </c>
      <c r="E669" s="58">
        <f>Start.listina!L561</f>
        <v>0</v>
      </c>
      <c r="F669" s="58"/>
      <c r="G669" s="542" t="str">
        <f>IF(N(A669)&gt;0,VLOOKUP(A669,Body!$A$4:$F$259,5,0),"")</f>
        <v/>
      </c>
      <c r="H669" s="161" t="str">
        <f>IF(N(A669)&gt;0,VLOOKUP(A669,Body!$A$4:$F$259,6,0),"")</f>
        <v/>
      </c>
      <c r="I669" s="161" t="str">
        <f>IF(N(A669)&gt;0,VLOOKUP(A669,Body!$A$4:$F$259,2,0),"")</f>
        <v/>
      </c>
    </row>
    <row r="670" spans="1:9">
      <c r="A670" s="58"/>
      <c r="B670" s="58">
        <f>Start.listina!O561</f>
        <v>0</v>
      </c>
      <c r="C670" s="58">
        <f>Start.listina!P561</f>
        <v>0</v>
      </c>
      <c r="D670" s="58">
        <f>Start.listina!Q561</f>
        <v>0</v>
      </c>
      <c r="E670" s="58">
        <f>Start.listina!R561</f>
        <v>0</v>
      </c>
      <c r="F670" s="58"/>
      <c r="G670" s="542"/>
      <c r="H670" s="161"/>
      <c r="I670" s="161"/>
    </row>
    <row r="671" spans="1:9">
      <c r="A671" s="58"/>
      <c r="B671" s="58">
        <f>Start.listina!U561</f>
        <v>0</v>
      </c>
      <c r="C671" s="58">
        <f>Start.listina!V561</f>
        <v>0</v>
      </c>
      <c r="D671" s="58">
        <f>Start.listina!W561</f>
        <v>0</v>
      </c>
      <c r="E671" s="58">
        <f>Start.listina!X561</f>
        <v>0</v>
      </c>
      <c r="F671" s="58"/>
      <c r="G671" s="542"/>
      <c r="H671" s="161"/>
      <c r="I671" s="161"/>
    </row>
    <row r="672" spans="1:9">
      <c r="A672" s="58"/>
      <c r="B672" s="58">
        <f>Start.listina!AA561</f>
        <v>0</v>
      </c>
      <c r="C672" s="58">
        <f>Start.listina!AB561</f>
        <v>0</v>
      </c>
      <c r="D672" s="58">
        <f>Start.listina!AC561</f>
        <v>0</v>
      </c>
      <c r="E672" s="58">
        <f>Start.listina!AD561</f>
        <v>0</v>
      </c>
      <c r="F672" s="58"/>
      <c r="G672" s="542"/>
      <c r="H672" s="161"/>
      <c r="I672" s="161"/>
    </row>
    <row r="673" spans="1:9">
      <c r="A673" s="58">
        <f>Start.listina!AH562</f>
        <v>0</v>
      </c>
      <c r="B673" s="58">
        <f>Start.listina!I562</f>
        <v>0</v>
      </c>
      <c r="C673" s="543">
        <f>Start.listina!J562</f>
        <v>0</v>
      </c>
      <c r="D673" s="58">
        <f>Start.listina!K562</f>
        <v>0</v>
      </c>
      <c r="E673" s="58">
        <f>Start.listina!L562</f>
        <v>0</v>
      </c>
      <c r="F673" s="58"/>
      <c r="G673" s="542" t="str">
        <f>IF(N(A673)&gt;0,VLOOKUP(A673,Body!$A$4:$F$259,5,0),"")</f>
        <v/>
      </c>
      <c r="H673" s="161" t="str">
        <f>IF(N(A673)&gt;0,VLOOKUP(A673,Body!$A$4:$F$259,6,0),"")</f>
        <v/>
      </c>
      <c r="I673" s="161" t="str">
        <f>IF(N(A673)&gt;0,VLOOKUP(A673,Body!$A$4:$F$259,2,0),"")</f>
        <v/>
      </c>
    </row>
    <row r="674" spans="1:9">
      <c r="A674" s="58"/>
      <c r="B674" s="58">
        <f>Start.listina!O562</f>
        <v>0</v>
      </c>
      <c r="C674" s="58">
        <f>Start.listina!P562</f>
        <v>0</v>
      </c>
      <c r="D674" s="58">
        <f>Start.listina!Q562</f>
        <v>0</v>
      </c>
      <c r="E674" s="58">
        <f>Start.listina!R562</f>
        <v>0</v>
      </c>
      <c r="F674" s="58"/>
      <c r="G674" s="542"/>
      <c r="H674" s="161"/>
      <c r="I674" s="161"/>
    </row>
    <row r="675" spans="1:9">
      <c r="A675" s="58"/>
      <c r="B675" s="58">
        <f>Start.listina!U562</f>
        <v>0</v>
      </c>
      <c r="C675" s="58">
        <f>Start.listina!V562</f>
        <v>0</v>
      </c>
      <c r="D675" s="58">
        <f>Start.listina!W562</f>
        <v>0</v>
      </c>
      <c r="E675" s="58">
        <f>Start.listina!X562</f>
        <v>0</v>
      </c>
      <c r="F675" s="58"/>
      <c r="G675" s="542"/>
      <c r="H675" s="161"/>
      <c r="I675" s="161"/>
    </row>
    <row r="676" spans="1:9">
      <c r="A676" s="58"/>
      <c r="B676" s="58">
        <f>Start.listina!AA562</f>
        <v>0</v>
      </c>
      <c r="C676" s="58">
        <f>Start.listina!AB562</f>
        <v>0</v>
      </c>
      <c r="D676" s="58">
        <f>Start.listina!AC562</f>
        <v>0</v>
      </c>
      <c r="E676" s="58">
        <f>Start.listina!AD562</f>
        <v>0</v>
      </c>
      <c r="F676" s="58"/>
      <c r="G676" s="542"/>
      <c r="H676" s="161"/>
      <c r="I676" s="161"/>
    </row>
    <row r="677" spans="1:9">
      <c r="A677" s="58">
        <f>Start.listina!AH563</f>
        <v>0</v>
      </c>
      <c r="B677" s="58">
        <f>Start.listina!I563</f>
        <v>0</v>
      </c>
      <c r="C677" s="543">
        <f>Start.listina!J563</f>
        <v>0</v>
      </c>
      <c r="D677" s="58">
        <f>Start.listina!K563</f>
        <v>0</v>
      </c>
      <c r="E677" s="58">
        <f>Start.listina!L563</f>
        <v>0</v>
      </c>
      <c r="F677" s="58"/>
      <c r="G677" s="542" t="str">
        <f>IF(N(A677)&gt;0,VLOOKUP(A677,Body!$A$4:$F$259,5,0),"")</f>
        <v/>
      </c>
      <c r="H677" s="161" t="str">
        <f>IF(N(A677)&gt;0,VLOOKUP(A677,Body!$A$4:$F$259,6,0),"")</f>
        <v/>
      </c>
      <c r="I677" s="161" t="str">
        <f>IF(N(A677)&gt;0,VLOOKUP(A677,Body!$A$4:$F$259,2,0),"")</f>
        <v/>
      </c>
    </row>
    <row r="678" spans="1:9">
      <c r="A678" s="58"/>
      <c r="B678" s="58">
        <f>Start.listina!O563</f>
        <v>0</v>
      </c>
      <c r="C678" s="58">
        <f>Start.listina!P563</f>
        <v>0</v>
      </c>
      <c r="D678" s="58">
        <f>Start.listina!Q563</f>
        <v>0</v>
      </c>
      <c r="E678" s="58">
        <f>Start.listina!R563</f>
        <v>0</v>
      </c>
      <c r="F678" s="58"/>
      <c r="G678" s="542"/>
      <c r="H678" s="161"/>
      <c r="I678" s="161"/>
    </row>
    <row r="679" spans="1:9">
      <c r="A679" s="58"/>
      <c r="B679" s="58">
        <f>Start.listina!U563</f>
        <v>0</v>
      </c>
      <c r="C679" s="58">
        <f>Start.listina!V563</f>
        <v>0</v>
      </c>
      <c r="D679" s="58">
        <f>Start.listina!W563</f>
        <v>0</v>
      </c>
      <c r="E679" s="58">
        <f>Start.listina!X563</f>
        <v>0</v>
      </c>
      <c r="F679" s="58"/>
      <c r="G679" s="542"/>
      <c r="H679" s="161"/>
      <c r="I679" s="161"/>
    </row>
    <row r="680" spans="1:9">
      <c r="A680" s="58"/>
      <c r="B680" s="58">
        <f>Start.listina!AA563</f>
        <v>0</v>
      </c>
      <c r="C680" s="58">
        <f>Start.listina!AB563</f>
        <v>0</v>
      </c>
      <c r="D680" s="58">
        <f>Start.listina!AC563</f>
        <v>0</v>
      </c>
      <c r="E680" s="58">
        <f>Start.listina!AD563</f>
        <v>0</v>
      </c>
      <c r="F680" s="58"/>
      <c r="G680" s="542"/>
      <c r="H680" s="161"/>
      <c r="I680" s="161"/>
    </row>
    <row r="681" spans="1:9">
      <c r="A681" s="58">
        <f>Start.listina!AH564</f>
        <v>0</v>
      </c>
      <c r="B681" s="58">
        <f>Start.listina!I564</f>
        <v>0</v>
      </c>
      <c r="C681" s="543">
        <f>Start.listina!J564</f>
        <v>0</v>
      </c>
      <c r="D681" s="58">
        <f>Start.listina!K564</f>
        <v>0</v>
      </c>
      <c r="E681" s="58">
        <f>Start.listina!L564</f>
        <v>0</v>
      </c>
      <c r="F681" s="58"/>
      <c r="G681" s="542" t="str">
        <f>IF(N(A681)&gt;0,VLOOKUP(A681,Body!$A$4:$F$259,5,0),"")</f>
        <v/>
      </c>
      <c r="H681" s="161" t="str">
        <f>IF(N(A681)&gt;0,VLOOKUP(A681,Body!$A$4:$F$259,6,0),"")</f>
        <v/>
      </c>
      <c r="I681" s="161" t="str">
        <f>IF(N(A681)&gt;0,VLOOKUP(A681,Body!$A$4:$F$259,2,0),"")</f>
        <v/>
      </c>
    </row>
    <row r="682" spans="1:9">
      <c r="A682" s="58"/>
      <c r="B682" s="58">
        <f>Start.listina!O564</f>
        <v>0</v>
      </c>
      <c r="C682" s="58">
        <f>Start.listina!P564</f>
        <v>0</v>
      </c>
      <c r="D682" s="58">
        <f>Start.listina!Q564</f>
        <v>0</v>
      </c>
      <c r="E682" s="58">
        <f>Start.listina!R564</f>
        <v>0</v>
      </c>
      <c r="F682" s="58"/>
      <c r="G682" s="542"/>
      <c r="H682" s="161"/>
      <c r="I682" s="161"/>
    </row>
    <row r="683" spans="1:9">
      <c r="A683" s="58"/>
      <c r="B683" s="58">
        <f>Start.listina!U564</f>
        <v>0</v>
      </c>
      <c r="C683" s="58">
        <f>Start.listina!V564</f>
        <v>0</v>
      </c>
      <c r="D683" s="58">
        <f>Start.listina!W564</f>
        <v>0</v>
      </c>
      <c r="E683" s="58">
        <f>Start.listina!X564</f>
        <v>0</v>
      </c>
      <c r="F683" s="58"/>
      <c r="G683" s="542"/>
      <c r="H683" s="161"/>
      <c r="I683" s="161"/>
    </row>
    <row r="684" spans="1:9">
      <c r="A684" s="58"/>
      <c r="B684" s="58">
        <f>Start.listina!AA564</f>
        <v>0</v>
      </c>
      <c r="C684" s="58">
        <f>Start.listina!AB564</f>
        <v>0</v>
      </c>
      <c r="D684" s="58">
        <f>Start.listina!AC564</f>
        <v>0</v>
      </c>
      <c r="E684" s="58">
        <f>Start.listina!AD564</f>
        <v>0</v>
      </c>
      <c r="F684" s="58"/>
      <c r="G684" s="542"/>
      <c r="H684" s="161"/>
      <c r="I684" s="161"/>
    </row>
    <row r="685" spans="1:9">
      <c r="A685" s="58">
        <f>Start.listina!AH565</f>
        <v>0</v>
      </c>
      <c r="B685" s="58">
        <f>Start.listina!I565</f>
        <v>0</v>
      </c>
      <c r="C685" s="543">
        <f>Start.listina!J565</f>
        <v>0</v>
      </c>
      <c r="D685" s="58">
        <f>Start.listina!K565</f>
        <v>0</v>
      </c>
      <c r="E685" s="58">
        <f>Start.listina!L565</f>
        <v>0</v>
      </c>
      <c r="F685" s="58"/>
      <c r="G685" s="542" t="str">
        <f>IF(N(A685)&gt;0,VLOOKUP(A685,Body!$A$4:$F$259,5,0),"")</f>
        <v/>
      </c>
      <c r="H685" s="161" t="str">
        <f>IF(N(A685)&gt;0,VLOOKUP(A685,Body!$A$4:$F$259,6,0),"")</f>
        <v/>
      </c>
      <c r="I685" s="161" t="str">
        <f>IF(N(A685)&gt;0,VLOOKUP(A685,Body!$A$4:$F$259,2,0),"")</f>
        <v/>
      </c>
    </row>
    <row r="686" spans="1:9">
      <c r="A686" s="58"/>
      <c r="B686" s="58">
        <f>Start.listina!O565</f>
        <v>0</v>
      </c>
      <c r="C686" s="58">
        <f>Start.listina!P565</f>
        <v>0</v>
      </c>
      <c r="D686" s="58">
        <f>Start.listina!Q565</f>
        <v>0</v>
      </c>
      <c r="E686" s="58">
        <f>Start.listina!R565</f>
        <v>0</v>
      </c>
      <c r="F686" s="58"/>
      <c r="G686" s="542"/>
      <c r="H686" s="161"/>
      <c r="I686" s="161"/>
    </row>
    <row r="687" spans="1:9">
      <c r="A687" s="58"/>
      <c r="B687" s="58">
        <f>Start.listina!U565</f>
        <v>0</v>
      </c>
      <c r="C687" s="58">
        <f>Start.listina!V565</f>
        <v>0</v>
      </c>
      <c r="D687" s="58">
        <f>Start.listina!W565</f>
        <v>0</v>
      </c>
      <c r="E687" s="58">
        <f>Start.listina!X565</f>
        <v>0</v>
      </c>
      <c r="F687" s="58"/>
      <c r="G687" s="542"/>
      <c r="H687" s="161"/>
      <c r="I687" s="161"/>
    </row>
    <row r="688" spans="1:9">
      <c r="A688" s="58"/>
      <c r="B688" s="58">
        <f>Start.listina!AA565</f>
        <v>0</v>
      </c>
      <c r="C688" s="58">
        <f>Start.listina!AB565</f>
        <v>0</v>
      </c>
      <c r="D688" s="58">
        <f>Start.listina!AC565</f>
        <v>0</v>
      </c>
      <c r="E688" s="58">
        <f>Start.listina!AD565</f>
        <v>0</v>
      </c>
      <c r="F688" s="58"/>
      <c r="G688" s="542"/>
      <c r="H688" s="161"/>
      <c r="I688" s="161"/>
    </row>
    <row r="689" spans="1:9">
      <c r="A689" s="58">
        <f>Start.listina!AH566</f>
        <v>0</v>
      </c>
      <c r="B689" s="58">
        <f>Start.listina!I566</f>
        <v>0</v>
      </c>
      <c r="C689" s="543">
        <f>Start.listina!J566</f>
        <v>0</v>
      </c>
      <c r="D689" s="58">
        <f>Start.listina!K566</f>
        <v>0</v>
      </c>
      <c r="E689" s="58">
        <f>Start.listina!L566</f>
        <v>0</v>
      </c>
      <c r="F689" s="58"/>
      <c r="G689" s="542" t="str">
        <f>IF(N(A689)&gt;0,VLOOKUP(A689,Body!$A$4:$F$259,5,0),"")</f>
        <v/>
      </c>
      <c r="H689" s="161" t="str">
        <f>IF(N(A689)&gt;0,VLOOKUP(A689,Body!$A$4:$F$259,6,0),"")</f>
        <v/>
      </c>
      <c r="I689" s="161" t="str">
        <f>IF(N(A689)&gt;0,VLOOKUP(A689,Body!$A$4:$F$259,2,0),"")</f>
        <v/>
      </c>
    </row>
    <row r="690" spans="1:9">
      <c r="A690" s="58"/>
      <c r="B690" s="58">
        <f>Start.listina!O566</f>
        <v>0</v>
      </c>
      <c r="C690" s="58">
        <f>Start.listina!P566</f>
        <v>0</v>
      </c>
      <c r="D690" s="58">
        <f>Start.listina!Q566</f>
        <v>0</v>
      </c>
      <c r="E690" s="58">
        <f>Start.listina!R566</f>
        <v>0</v>
      </c>
      <c r="F690" s="58"/>
      <c r="G690" s="542"/>
      <c r="H690" s="161"/>
      <c r="I690" s="161"/>
    </row>
    <row r="691" spans="1:9">
      <c r="A691" s="58"/>
      <c r="B691" s="58">
        <f>Start.listina!U566</f>
        <v>0</v>
      </c>
      <c r="C691" s="58">
        <f>Start.listina!V566</f>
        <v>0</v>
      </c>
      <c r="D691" s="58">
        <f>Start.listina!W566</f>
        <v>0</v>
      </c>
      <c r="E691" s="58">
        <f>Start.listina!X566</f>
        <v>0</v>
      </c>
      <c r="F691" s="58"/>
      <c r="G691" s="542"/>
      <c r="H691" s="161"/>
      <c r="I691" s="161"/>
    </row>
    <row r="692" spans="1:9">
      <c r="A692" s="58"/>
      <c r="B692" s="58">
        <f>Start.listina!AA566</f>
        <v>0</v>
      </c>
      <c r="C692" s="58">
        <f>Start.listina!AB566</f>
        <v>0</v>
      </c>
      <c r="D692" s="58">
        <f>Start.listina!AC566</f>
        <v>0</v>
      </c>
      <c r="E692" s="58">
        <f>Start.listina!AD566</f>
        <v>0</v>
      </c>
      <c r="F692" s="58"/>
      <c r="G692" s="542"/>
      <c r="H692" s="161"/>
      <c r="I692" s="161"/>
    </row>
    <row r="693" spans="1:9">
      <c r="A693" s="58">
        <f>Start.listina!AH567</f>
        <v>0</v>
      </c>
      <c r="B693" s="58">
        <f>Start.listina!I567</f>
        <v>0</v>
      </c>
      <c r="C693" s="543">
        <f>Start.listina!J567</f>
        <v>0</v>
      </c>
      <c r="D693" s="58">
        <f>Start.listina!K567</f>
        <v>0</v>
      </c>
      <c r="E693" s="58">
        <f>Start.listina!L567</f>
        <v>0</v>
      </c>
      <c r="F693" s="58"/>
      <c r="G693" s="542" t="str">
        <f>IF(N(A693)&gt;0,VLOOKUP(A693,Body!$A$4:$F$259,5,0),"")</f>
        <v/>
      </c>
      <c r="H693" s="161" t="str">
        <f>IF(N(A693)&gt;0,VLOOKUP(A693,Body!$A$4:$F$259,6,0),"")</f>
        <v/>
      </c>
      <c r="I693" s="161" t="str">
        <f>IF(N(A693)&gt;0,VLOOKUP(A693,Body!$A$4:$F$259,2,0),"")</f>
        <v/>
      </c>
    </row>
    <row r="694" spans="1:9">
      <c r="A694" s="58"/>
      <c r="B694" s="58">
        <f>Start.listina!O567</f>
        <v>0</v>
      </c>
      <c r="C694" s="58">
        <f>Start.listina!P567</f>
        <v>0</v>
      </c>
      <c r="D694" s="58">
        <f>Start.listina!Q567</f>
        <v>0</v>
      </c>
      <c r="E694" s="58">
        <f>Start.listina!R567</f>
        <v>0</v>
      </c>
      <c r="F694" s="58"/>
      <c r="G694" s="542"/>
      <c r="H694" s="161"/>
      <c r="I694" s="161"/>
    </row>
    <row r="695" spans="1:9">
      <c r="A695" s="58"/>
      <c r="B695" s="58">
        <f>Start.listina!U567</f>
        <v>0</v>
      </c>
      <c r="C695" s="58">
        <f>Start.listina!V567</f>
        <v>0</v>
      </c>
      <c r="D695" s="58">
        <f>Start.listina!W567</f>
        <v>0</v>
      </c>
      <c r="E695" s="58">
        <f>Start.listina!X567</f>
        <v>0</v>
      </c>
      <c r="F695" s="58"/>
      <c r="G695" s="542"/>
      <c r="H695" s="161"/>
      <c r="I695" s="161"/>
    </row>
    <row r="696" spans="1:9">
      <c r="A696" s="58"/>
      <c r="B696" s="58">
        <f>Start.listina!AA567</f>
        <v>0</v>
      </c>
      <c r="C696" s="58">
        <f>Start.listina!AB567</f>
        <v>0</v>
      </c>
      <c r="D696" s="58">
        <f>Start.listina!AC567</f>
        <v>0</v>
      </c>
      <c r="E696" s="58">
        <f>Start.listina!AD567</f>
        <v>0</v>
      </c>
      <c r="F696" s="58"/>
      <c r="G696" s="542"/>
      <c r="H696" s="161"/>
      <c r="I696" s="161"/>
    </row>
    <row r="697" spans="1:9">
      <c r="A697" s="58">
        <f>Start.listina!AH568</f>
        <v>0</v>
      </c>
      <c r="B697" s="58">
        <f>Start.listina!I568</f>
        <v>0</v>
      </c>
      <c r="C697" s="543">
        <f>Start.listina!J568</f>
        <v>0</v>
      </c>
      <c r="D697" s="58">
        <f>Start.listina!K568</f>
        <v>0</v>
      </c>
      <c r="E697" s="58">
        <f>Start.listina!L568</f>
        <v>0</v>
      </c>
      <c r="F697" s="58"/>
      <c r="G697" s="542" t="str">
        <f>IF(N(A697)&gt;0,VLOOKUP(A697,Body!$A$4:$F$259,5,0),"")</f>
        <v/>
      </c>
      <c r="H697" s="161" t="str">
        <f>IF(N(A697)&gt;0,VLOOKUP(A697,Body!$A$4:$F$259,6,0),"")</f>
        <v/>
      </c>
      <c r="I697" s="161" t="str">
        <f>IF(N(A697)&gt;0,VLOOKUP(A697,Body!$A$4:$F$259,2,0),"")</f>
        <v/>
      </c>
    </row>
    <row r="698" spans="1:9">
      <c r="A698" s="58"/>
      <c r="B698" s="58">
        <f>Start.listina!O568</f>
        <v>0</v>
      </c>
      <c r="C698" s="58">
        <f>Start.listina!P568</f>
        <v>0</v>
      </c>
      <c r="D698" s="58">
        <f>Start.listina!Q568</f>
        <v>0</v>
      </c>
      <c r="E698" s="58">
        <f>Start.listina!R568</f>
        <v>0</v>
      </c>
      <c r="F698" s="58"/>
      <c r="G698" s="542"/>
      <c r="H698" s="161"/>
      <c r="I698" s="161"/>
    </row>
    <row r="699" spans="1:9">
      <c r="A699" s="58"/>
      <c r="B699" s="58">
        <f>Start.listina!U568</f>
        <v>0</v>
      </c>
      <c r="C699" s="58">
        <f>Start.listina!V568</f>
        <v>0</v>
      </c>
      <c r="D699" s="58">
        <f>Start.listina!W568</f>
        <v>0</v>
      </c>
      <c r="E699" s="58">
        <f>Start.listina!X568</f>
        <v>0</v>
      </c>
      <c r="F699" s="58"/>
      <c r="G699" s="542"/>
      <c r="H699" s="161"/>
      <c r="I699" s="161"/>
    </row>
    <row r="700" spans="1:9">
      <c r="A700" s="58"/>
      <c r="B700" s="58">
        <f>Start.listina!AA568</f>
        <v>0</v>
      </c>
      <c r="C700" s="58">
        <f>Start.listina!AB568</f>
        <v>0</v>
      </c>
      <c r="D700" s="58">
        <f>Start.listina!AC568</f>
        <v>0</v>
      </c>
      <c r="E700" s="58">
        <f>Start.listina!AD568</f>
        <v>0</v>
      </c>
      <c r="F700" s="58"/>
      <c r="G700" s="542"/>
      <c r="H700" s="161"/>
      <c r="I700" s="161"/>
    </row>
    <row r="701" spans="1:9">
      <c r="A701" s="58">
        <f>Start.listina!AH569</f>
        <v>0</v>
      </c>
      <c r="B701" s="58">
        <f>Start.listina!I569</f>
        <v>0</v>
      </c>
      <c r="C701" s="543">
        <f>Start.listina!J569</f>
        <v>0</v>
      </c>
      <c r="D701" s="58">
        <f>Start.listina!K569</f>
        <v>0</v>
      </c>
      <c r="E701" s="58">
        <f>Start.listina!L569</f>
        <v>0</v>
      </c>
      <c r="F701" s="58"/>
      <c r="G701" s="542" t="str">
        <f>IF(N(A701)&gt;0,VLOOKUP(A701,Body!$A$4:$F$259,5,0),"")</f>
        <v/>
      </c>
      <c r="H701" s="161" t="str">
        <f>IF(N(A701)&gt;0,VLOOKUP(A701,Body!$A$4:$F$259,6,0),"")</f>
        <v/>
      </c>
      <c r="I701" s="161" t="str">
        <f>IF(N(A701)&gt;0,VLOOKUP(A701,Body!$A$4:$F$259,2,0),"")</f>
        <v/>
      </c>
    </row>
    <row r="702" spans="1:9">
      <c r="A702" s="58"/>
      <c r="B702" s="58">
        <f>Start.listina!O569</f>
        <v>0</v>
      </c>
      <c r="C702" s="58">
        <f>Start.listina!P569</f>
        <v>0</v>
      </c>
      <c r="D702" s="58">
        <f>Start.listina!Q569</f>
        <v>0</v>
      </c>
      <c r="E702" s="58">
        <f>Start.listina!R569</f>
        <v>0</v>
      </c>
      <c r="F702" s="58"/>
      <c r="G702" s="542"/>
      <c r="H702" s="161"/>
      <c r="I702" s="161"/>
    </row>
    <row r="703" spans="1:9">
      <c r="A703" s="58"/>
      <c r="B703" s="58">
        <f>Start.listina!U569</f>
        <v>0</v>
      </c>
      <c r="C703" s="58">
        <f>Start.listina!V569</f>
        <v>0</v>
      </c>
      <c r="D703" s="58">
        <f>Start.listina!W569</f>
        <v>0</v>
      </c>
      <c r="E703" s="58">
        <f>Start.listina!X569</f>
        <v>0</v>
      </c>
      <c r="F703" s="58"/>
      <c r="G703" s="542"/>
      <c r="H703" s="161"/>
      <c r="I703" s="161"/>
    </row>
    <row r="704" spans="1:9">
      <c r="A704" s="58"/>
      <c r="B704" s="58">
        <f>Start.listina!AA569</f>
        <v>0</v>
      </c>
      <c r="C704" s="58">
        <f>Start.listina!AB569</f>
        <v>0</v>
      </c>
      <c r="D704" s="58">
        <f>Start.listina!AC569</f>
        <v>0</v>
      </c>
      <c r="E704" s="58">
        <f>Start.listina!AD569</f>
        <v>0</v>
      </c>
      <c r="F704" s="58"/>
      <c r="G704" s="542"/>
      <c r="H704" s="161"/>
      <c r="I704" s="161"/>
    </row>
    <row r="705" spans="1:9">
      <c r="A705" s="58">
        <f>Start.listina!AH570</f>
        <v>0</v>
      </c>
      <c r="B705" s="58">
        <f>Start.listina!I570</f>
        <v>0</v>
      </c>
      <c r="C705" s="543">
        <f>Start.listina!J570</f>
        <v>0</v>
      </c>
      <c r="D705" s="58">
        <f>Start.listina!K570</f>
        <v>0</v>
      </c>
      <c r="E705" s="58">
        <f>Start.listina!L570</f>
        <v>0</v>
      </c>
      <c r="F705" s="58"/>
      <c r="G705" s="542" t="str">
        <f>IF(N(A705)&gt;0,VLOOKUP(A705,Body!$A$4:$F$259,5,0),"")</f>
        <v/>
      </c>
      <c r="H705" s="161" t="str">
        <f>IF(N(A705)&gt;0,VLOOKUP(A705,Body!$A$4:$F$259,6,0),"")</f>
        <v/>
      </c>
      <c r="I705" s="161" t="str">
        <f>IF(N(A705)&gt;0,VLOOKUP(A705,Body!$A$4:$F$259,2,0),"")</f>
        <v/>
      </c>
    </row>
    <row r="706" spans="1:9">
      <c r="A706" s="58"/>
      <c r="B706" s="58">
        <f>Start.listina!O570</f>
        <v>0</v>
      </c>
      <c r="C706" s="58">
        <f>Start.listina!P570</f>
        <v>0</v>
      </c>
      <c r="D706" s="58">
        <f>Start.listina!Q570</f>
        <v>0</v>
      </c>
      <c r="E706" s="58">
        <f>Start.listina!R570</f>
        <v>0</v>
      </c>
      <c r="F706" s="58"/>
      <c r="G706" s="542"/>
      <c r="H706" s="161"/>
      <c r="I706" s="161"/>
    </row>
    <row r="707" spans="1:9">
      <c r="A707" s="58"/>
      <c r="B707" s="58">
        <f>Start.listina!U570</f>
        <v>0</v>
      </c>
      <c r="C707" s="58">
        <f>Start.listina!V570</f>
        <v>0</v>
      </c>
      <c r="D707" s="58">
        <f>Start.listina!W570</f>
        <v>0</v>
      </c>
      <c r="E707" s="58">
        <f>Start.listina!X570</f>
        <v>0</v>
      </c>
      <c r="F707" s="58"/>
      <c r="G707" s="542"/>
      <c r="H707" s="161"/>
      <c r="I707" s="161"/>
    </row>
    <row r="708" spans="1:9">
      <c r="A708" s="58"/>
      <c r="B708" s="58">
        <f>Start.listina!AA570</f>
        <v>0</v>
      </c>
      <c r="C708" s="58">
        <f>Start.listina!AB570</f>
        <v>0</v>
      </c>
      <c r="D708" s="58">
        <f>Start.listina!AC570</f>
        <v>0</v>
      </c>
      <c r="E708" s="58">
        <f>Start.listina!AD570</f>
        <v>0</v>
      </c>
      <c r="F708" s="58"/>
      <c r="G708" s="542"/>
      <c r="H708" s="161"/>
      <c r="I708" s="161"/>
    </row>
    <row r="709" spans="1:9">
      <c r="A709" s="58">
        <f>Start.listina!AH571</f>
        <v>0</v>
      </c>
      <c r="B709" s="58">
        <f>Start.listina!I571</f>
        <v>0</v>
      </c>
      <c r="C709" s="543">
        <f>Start.listina!J571</f>
        <v>0</v>
      </c>
      <c r="D709" s="58">
        <f>Start.listina!K571</f>
        <v>0</v>
      </c>
      <c r="E709" s="58">
        <f>Start.listina!L571</f>
        <v>0</v>
      </c>
      <c r="F709" s="58"/>
      <c r="G709" s="542" t="str">
        <f>IF(N(A709)&gt;0,VLOOKUP(A709,Body!$A$4:$F$259,5,0),"")</f>
        <v/>
      </c>
      <c r="H709" s="161" t="str">
        <f>IF(N(A709)&gt;0,VLOOKUP(A709,Body!$A$4:$F$259,6,0),"")</f>
        <v/>
      </c>
      <c r="I709" s="161" t="str">
        <f>IF(N(A709)&gt;0,VLOOKUP(A709,Body!$A$4:$F$259,2,0),"")</f>
        <v/>
      </c>
    </row>
    <row r="710" spans="1:9">
      <c r="A710" s="58"/>
      <c r="B710" s="58">
        <f>Start.listina!O571</f>
        <v>0</v>
      </c>
      <c r="C710" s="58">
        <f>Start.listina!P571</f>
        <v>0</v>
      </c>
      <c r="D710" s="58">
        <f>Start.listina!Q571</f>
        <v>0</v>
      </c>
      <c r="E710" s="58">
        <f>Start.listina!R571</f>
        <v>0</v>
      </c>
      <c r="F710" s="58"/>
      <c r="G710" s="542"/>
      <c r="H710" s="161"/>
      <c r="I710" s="161"/>
    </row>
    <row r="711" spans="1:9">
      <c r="A711" s="58"/>
      <c r="B711" s="58">
        <f>Start.listina!U571</f>
        <v>0</v>
      </c>
      <c r="C711" s="58">
        <f>Start.listina!V571</f>
        <v>0</v>
      </c>
      <c r="D711" s="58">
        <f>Start.listina!W571</f>
        <v>0</v>
      </c>
      <c r="E711" s="58">
        <f>Start.listina!X571</f>
        <v>0</v>
      </c>
      <c r="F711" s="58"/>
      <c r="G711" s="542"/>
      <c r="H711" s="161"/>
      <c r="I711" s="161"/>
    </row>
    <row r="712" spans="1:9">
      <c r="A712" s="58"/>
      <c r="B712" s="58">
        <f>Start.listina!AA571</f>
        <v>0</v>
      </c>
      <c r="C712" s="58">
        <f>Start.listina!AB571</f>
        <v>0</v>
      </c>
      <c r="D712" s="58">
        <f>Start.listina!AC571</f>
        <v>0</v>
      </c>
      <c r="E712" s="58">
        <f>Start.listina!AD571</f>
        <v>0</v>
      </c>
      <c r="F712" s="58"/>
      <c r="G712" s="542"/>
      <c r="H712" s="161"/>
      <c r="I712" s="161"/>
    </row>
    <row r="713" spans="1:9">
      <c r="A713" s="58">
        <f>Start.listina!AH572</f>
        <v>0</v>
      </c>
      <c r="B713" s="58">
        <f>Start.listina!I572</f>
        <v>0</v>
      </c>
      <c r="C713" s="543">
        <f>Start.listina!J572</f>
        <v>0</v>
      </c>
      <c r="D713" s="58">
        <f>Start.listina!K572</f>
        <v>0</v>
      </c>
      <c r="E713" s="58">
        <f>Start.listina!L572</f>
        <v>0</v>
      </c>
      <c r="F713" s="58"/>
      <c r="G713" s="542" t="str">
        <f>IF(N(A713)&gt;0,VLOOKUP(A713,Body!$A$4:$F$259,5,0),"")</f>
        <v/>
      </c>
      <c r="H713" s="161" t="str">
        <f>IF(N(A713)&gt;0,VLOOKUP(A713,Body!$A$4:$F$259,6,0),"")</f>
        <v/>
      </c>
      <c r="I713" s="161" t="str">
        <f>IF(N(A713)&gt;0,VLOOKUP(A713,Body!$A$4:$F$259,2,0),"")</f>
        <v/>
      </c>
    </row>
    <row r="714" spans="1:9">
      <c r="A714" s="58"/>
      <c r="B714" s="58">
        <f>Start.listina!O572</f>
        <v>0</v>
      </c>
      <c r="C714" s="58">
        <f>Start.listina!P572</f>
        <v>0</v>
      </c>
      <c r="D714" s="58">
        <f>Start.listina!Q572</f>
        <v>0</v>
      </c>
      <c r="E714" s="58">
        <f>Start.listina!R572</f>
        <v>0</v>
      </c>
      <c r="F714" s="58"/>
      <c r="G714" s="542"/>
      <c r="H714" s="161"/>
      <c r="I714" s="161"/>
    </row>
    <row r="715" spans="1:9">
      <c r="A715" s="58"/>
      <c r="B715" s="58">
        <f>Start.listina!U572</f>
        <v>0</v>
      </c>
      <c r="C715" s="58">
        <f>Start.listina!V572</f>
        <v>0</v>
      </c>
      <c r="D715" s="58">
        <f>Start.listina!W572</f>
        <v>0</v>
      </c>
      <c r="E715" s="58">
        <f>Start.listina!X572</f>
        <v>0</v>
      </c>
      <c r="F715" s="58"/>
      <c r="G715" s="542"/>
      <c r="H715" s="161"/>
      <c r="I715" s="161"/>
    </row>
    <row r="716" spans="1:9">
      <c r="A716" s="58"/>
      <c r="B716" s="58">
        <f>Start.listina!AA572</f>
        <v>0</v>
      </c>
      <c r="C716" s="58">
        <f>Start.listina!AB572</f>
        <v>0</v>
      </c>
      <c r="D716" s="58">
        <f>Start.listina!AC572</f>
        <v>0</v>
      </c>
      <c r="E716" s="58">
        <f>Start.listina!AD572</f>
        <v>0</v>
      </c>
      <c r="F716" s="58"/>
      <c r="G716" s="542"/>
      <c r="H716" s="161"/>
      <c r="I716" s="161"/>
    </row>
    <row r="717" spans="1:9">
      <c r="A717" s="58">
        <f>Start.listina!AH573</f>
        <v>0</v>
      </c>
      <c r="B717" s="58">
        <f>Start.listina!I573</f>
        <v>0</v>
      </c>
      <c r="C717" s="543">
        <f>Start.listina!J573</f>
        <v>0</v>
      </c>
      <c r="D717" s="58">
        <f>Start.listina!K573</f>
        <v>0</v>
      </c>
      <c r="E717" s="58">
        <f>Start.listina!L573</f>
        <v>0</v>
      </c>
      <c r="F717" s="58"/>
      <c r="G717" s="542" t="str">
        <f>IF(N(A717)&gt;0,VLOOKUP(A717,Body!$A$4:$F$259,5,0),"")</f>
        <v/>
      </c>
      <c r="H717" s="161" t="str">
        <f>IF(N(A717)&gt;0,VLOOKUP(A717,Body!$A$4:$F$259,6,0),"")</f>
        <v/>
      </c>
      <c r="I717" s="161" t="str">
        <f>IF(N(A717)&gt;0,VLOOKUP(A717,Body!$A$4:$F$259,2,0),"")</f>
        <v/>
      </c>
    </row>
    <row r="718" spans="1:9">
      <c r="A718" s="58"/>
      <c r="B718" s="58">
        <f>Start.listina!O573</f>
        <v>0</v>
      </c>
      <c r="C718" s="58">
        <f>Start.listina!P573</f>
        <v>0</v>
      </c>
      <c r="D718" s="58">
        <f>Start.listina!Q573</f>
        <v>0</v>
      </c>
      <c r="E718" s="58">
        <f>Start.listina!R573</f>
        <v>0</v>
      </c>
      <c r="F718" s="58"/>
      <c r="G718" s="542"/>
      <c r="H718" s="161"/>
      <c r="I718" s="161"/>
    </row>
    <row r="719" spans="1:9">
      <c r="A719" s="58"/>
      <c r="B719" s="58">
        <f>Start.listina!U573</f>
        <v>0</v>
      </c>
      <c r="C719" s="58">
        <f>Start.listina!V573</f>
        <v>0</v>
      </c>
      <c r="D719" s="58">
        <f>Start.listina!W573</f>
        <v>0</v>
      </c>
      <c r="E719" s="58">
        <f>Start.listina!X573</f>
        <v>0</v>
      </c>
      <c r="F719" s="58"/>
      <c r="G719" s="542"/>
      <c r="H719" s="161"/>
      <c r="I719" s="161"/>
    </row>
    <row r="720" spans="1:9">
      <c r="A720" s="58"/>
      <c r="B720" s="58">
        <f>Start.listina!AA573</f>
        <v>0</v>
      </c>
      <c r="C720" s="58">
        <f>Start.listina!AB573</f>
        <v>0</v>
      </c>
      <c r="D720" s="58">
        <f>Start.listina!AC573</f>
        <v>0</v>
      </c>
      <c r="E720" s="58">
        <f>Start.listina!AD573</f>
        <v>0</v>
      </c>
      <c r="F720" s="58"/>
      <c r="G720" s="542"/>
      <c r="H720" s="161"/>
      <c r="I720" s="161"/>
    </row>
    <row r="721" spans="1:9">
      <c r="A721" s="58">
        <f>Start.listina!AH574</f>
        <v>0</v>
      </c>
      <c r="B721" s="58">
        <f>Start.listina!I574</f>
        <v>0</v>
      </c>
      <c r="C721" s="543">
        <f>Start.listina!J574</f>
        <v>0</v>
      </c>
      <c r="D721" s="58">
        <f>Start.listina!K574</f>
        <v>0</v>
      </c>
      <c r="E721" s="58">
        <f>Start.listina!L574</f>
        <v>0</v>
      </c>
      <c r="F721" s="58"/>
      <c r="G721" s="542" t="str">
        <f>IF(N(A721)&gt;0,VLOOKUP(A721,Body!$A$4:$F$259,5,0),"")</f>
        <v/>
      </c>
      <c r="H721" s="161" t="str">
        <f>IF(N(A721)&gt;0,VLOOKUP(A721,Body!$A$4:$F$259,6,0),"")</f>
        <v/>
      </c>
      <c r="I721" s="161" t="str">
        <f>IF(N(A721)&gt;0,VLOOKUP(A721,Body!$A$4:$F$259,2,0),"")</f>
        <v/>
      </c>
    </row>
    <row r="722" spans="1:9">
      <c r="A722" s="58"/>
      <c r="B722" s="58">
        <f>Start.listina!O574</f>
        <v>0</v>
      </c>
      <c r="C722" s="58">
        <f>Start.listina!P574</f>
        <v>0</v>
      </c>
      <c r="D722" s="58">
        <f>Start.listina!Q574</f>
        <v>0</v>
      </c>
      <c r="E722" s="58">
        <f>Start.listina!R574</f>
        <v>0</v>
      </c>
      <c r="F722" s="58"/>
      <c r="G722" s="542"/>
      <c r="H722" s="161"/>
      <c r="I722" s="161"/>
    </row>
    <row r="723" spans="1:9">
      <c r="A723" s="58"/>
      <c r="B723" s="58">
        <f>Start.listina!U574</f>
        <v>0</v>
      </c>
      <c r="C723" s="58">
        <f>Start.listina!V574</f>
        <v>0</v>
      </c>
      <c r="D723" s="58">
        <f>Start.listina!W574</f>
        <v>0</v>
      </c>
      <c r="E723" s="58">
        <f>Start.listina!X574</f>
        <v>0</v>
      </c>
      <c r="F723" s="58"/>
      <c r="G723" s="542"/>
      <c r="H723" s="161"/>
      <c r="I723" s="161"/>
    </row>
    <row r="724" spans="1:9">
      <c r="A724" s="58"/>
      <c r="B724" s="58">
        <f>Start.listina!AA574</f>
        <v>0</v>
      </c>
      <c r="C724" s="58">
        <f>Start.listina!AB574</f>
        <v>0</v>
      </c>
      <c r="D724" s="58">
        <f>Start.listina!AC574</f>
        <v>0</v>
      </c>
      <c r="E724" s="58">
        <f>Start.listina!AD574</f>
        <v>0</v>
      </c>
      <c r="F724" s="58"/>
      <c r="G724" s="542"/>
      <c r="H724" s="161"/>
      <c r="I724" s="161"/>
    </row>
    <row r="725" spans="1:9">
      <c r="A725" s="58">
        <f>Start.listina!AH575</f>
        <v>0</v>
      </c>
      <c r="B725" s="58">
        <f>Start.listina!I575</f>
        <v>0</v>
      </c>
      <c r="C725" s="543">
        <f>Start.listina!J575</f>
        <v>0</v>
      </c>
      <c r="D725" s="58">
        <f>Start.listina!K575</f>
        <v>0</v>
      </c>
      <c r="E725" s="58">
        <f>Start.listina!L575</f>
        <v>0</v>
      </c>
      <c r="F725" s="58"/>
      <c r="G725" s="542" t="str">
        <f>IF(N(A725)&gt;0,VLOOKUP(A725,Body!$A$4:$F$259,5,0),"")</f>
        <v/>
      </c>
      <c r="H725" s="161" t="str">
        <f>IF(N(A725)&gt;0,VLOOKUP(A725,Body!$A$4:$F$259,6,0),"")</f>
        <v/>
      </c>
      <c r="I725" s="161" t="str">
        <f>IF(N(A725)&gt;0,VLOOKUP(A725,Body!$A$4:$F$259,2,0),"")</f>
        <v/>
      </c>
    </row>
    <row r="726" spans="1:9">
      <c r="A726" s="58"/>
      <c r="B726" s="58">
        <f>Start.listina!O575</f>
        <v>0</v>
      </c>
      <c r="C726" s="58">
        <f>Start.listina!P575</f>
        <v>0</v>
      </c>
      <c r="D726" s="58">
        <f>Start.listina!Q575</f>
        <v>0</v>
      </c>
      <c r="E726" s="58">
        <f>Start.listina!R575</f>
        <v>0</v>
      </c>
      <c r="F726" s="58"/>
      <c r="G726" s="542"/>
      <c r="H726" s="161"/>
      <c r="I726" s="161"/>
    </row>
    <row r="727" spans="1:9">
      <c r="A727" s="58"/>
      <c r="B727" s="58">
        <f>Start.listina!U575</f>
        <v>0</v>
      </c>
      <c r="C727" s="58">
        <f>Start.listina!V575</f>
        <v>0</v>
      </c>
      <c r="D727" s="58">
        <f>Start.listina!W575</f>
        <v>0</v>
      </c>
      <c r="E727" s="58">
        <f>Start.listina!X575</f>
        <v>0</v>
      </c>
      <c r="F727" s="58"/>
      <c r="G727" s="542"/>
      <c r="H727" s="161"/>
      <c r="I727" s="161"/>
    </row>
    <row r="728" spans="1:9">
      <c r="A728" s="58"/>
      <c r="B728" s="58">
        <f>Start.listina!AA575</f>
        <v>0</v>
      </c>
      <c r="C728" s="58">
        <f>Start.listina!AB575</f>
        <v>0</v>
      </c>
      <c r="D728" s="58">
        <f>Start.listina!AC575</f>
        <v>0</v>
      </c>
      <c r="E728" s="58">
        <f>Start.listina!AD575</f>
        <v>0</v>
      </c>
      <c r="F728" s="58"/>
      <c r="G728" s="542"/>
      <c r="H728" s="161"/>
      <c r="I728" s="161"/>
    </row>
    <row r="729" spans="1:9">
      <c r="A729" s="58">
        <f>Start.listina!AH576</f>
        <v>0</v>
      </c>
      <c r="B729" s="58">
        <f>Start.listina!I576</f>
        <v>0</v>
      </c>
      <c r="C729" s="543">
        <f>Start.listina!J576</f>
        <v>0</v>
      </c>
      <c r="D729" s="58">
        <f>Start.listina!K576</f>
        <v>0</v>
      </c>
      <c r="E729" s="58">
        <f>Start.listina!L576</f>
        <v>0</v>
      </c>
      <c r="F729" s="58"/>
      <c r="G729" s="542" t="str">
        <f>IF(N(A729)&gt;0,VLOOKUP(A729,Body!$A$4:$F$259,5,0),"")</f>
        <v/>
      </c>
      <c r="H729" s="161" t="str">
        <f>IF(N(A729)&gt;0,VLOOKUP(A729,Body!$A$4:$F$259,6,0),"")</f>
        <v/>
      </c>
      <c r="I729" s="161" t="str">
        <f>IF(N(A729)&gt;0,VLOOKUP(A729,Body!$A$4:$F$259,2,0),"")</f>
        <v/>
      </c>
    </row>
    <row r="730" spans="1:9">
      <c r="A730" s="58"/>
      <c r="B730" s="58">
        <f>Start.listina!O576</f>
        <v>0</v>
      </c>
      <c r="C730" s="58">
        <f>Start.listina!P576</f>
        <v>0</v>
      </c>
      <c r="D730" s="58">
        <f>Start.listina!Q576</f>
        <v>0</v>
      </c>
      <c r="E730" s="58">
        <f>Start.listina!R576</f>
        <v>0</v>
      </c>
      <c r="F730" s="58"/>
      <c r="G730" s="542"/>
      <c r="H730" s="161"/>
      <c r="I730" s="161"/>
    </row>
    <row r="731" spans="1:9">
      <c r="A731" s="58"/>
      <c r="B731" s="58">
        <f>Start.listina!U576</f>
        <v>0</v>
      </c>
      <c r="C731" s="58">
        <f>Start.listina!V576</f>
        <v>0</v>
      </c>
      <c r="D731" s="58">
        <f>Start.listina!W576</f>
        <v>0</v>
      </c>
      <c r="E731" s="58">
        <f>Start.listina!X576</f>
        <v>0</v>
      </c>
      <c r="F731" s="58"/>
      <c r="G731" s="542"/>
      <c r="H731" s="161"/>
      <c r="I731" s="161"/>
    </row>
    <row r="732" spans="1:9">
      <c r="A732" s="58"/>
      <c r="B732" s="58">
        <f>Start.listina!AA576</f>
        <v>0</v>
      </c>
      <c r="C732" s="58">
        <f>Start.listina!AB576</f>
        <v>0</v>
      </c>
      <c r="D732" s="58">
        <f>Start.listina!AC576</f>
        <v>0</v>
      </c>
      <c r="E732" s="58">
        <f>Start.listina!AD576</f>
        <v>0</v>
      </c>
      <c r="F732" s="58"/>
      <c r="G732" s="542"/>
      <c r="H732" s="161"/>
      <c r="I732" s="161"/>
    </row>
    <row r="733" spans="1:9">
      <c r="A733" s="58">
        <f>Start.listina!AH577</f>
        <v>0</v>
      </c>
      <c r="B733" s="58">
        <f>Start.listina!I577</f>
        <v>0</v>
      </c>
      <c r="C733" s="543">
        <f>Start.listina!J577</f>
        <v>0</v>
      </c>
      <c r="D733" s="58">
        <f>Start.listina!K577</f>
        <v>0</v>
      </c>
      <c r="E733" s="58">
        <f>Start.listina!L577</f>
        <v>0</v>
      </c>
      <c r="F733" s="58"/>
      <c r="G733" s="542" t="str">
        <f>IF(N(A733)&gt;0,VLOOKUP(A733,Body!$A$4:$F$259,5,0),"")</f>
        <v/>
      </c>
      <c r="H733" s="161" t="str">
        <f>IF(N(A733)&gt;0,VLOOKUP(A733,Body!$A$4:$F$259,6,0),"")</f>
        <v/>
      </c>
      <c r="I733" s="161" t="str">
        <f>IF(N(A733)&gt;0,VLOOKUP(A733,Body!$A$4:$F$259,2,0),"")</f>
        <v/>
      </c>
    </row>
    <row r="734" spans="1:9">
      <c r="A734" s="58"/>
      <c r="B734" s="58">
        <f>Start.listina!O577</f>
        <v>0</v>
      </c>
      <c r="C734" s="58">
        <f>Start.listina!P577</f>
        <v>0</v>
      </c>
      <c r="D734" s="58">
        <f>Start.listina!Q577</f>
        <v>0</v>
      </c>
      <c r="E734" s="58">
        <f>Start.listina!R577</f>
        <v>0</v>
      </c>
      <c r="F734" s="58"/>
      <c r="G734" s="542"/>
      <c r="H734" s="161"/>
      <c r="I734" s="161"/>
    </row>
    <row r="735" spans="1:9">
      <c r="A735" s="58"/>
      <c r="B735" s="58">
        <f>Start.listina!U577</f>
        <v>0</v>
      </c>
      <c r="C735" s="58">
        <f>Start.listina!V577</f>
        <v>0</v>
      </c>
      <c r="D735" s="58">
        <f>Start.listina!W577</f>
        <v>0</v>
      </c>
      <c r="E735" s="58">
        <f>Start.listina!X577</f>
        <v>0</v>
      </c>
      <c r="F735" s="58"/>
      <c r="G735" s="542"/>
      <c r="H735" s="161"/>
      <c r="I735" s="161"/>
    </row>
    <row r="736" spans="1:9">
      <c r="A736" s="58"/>
      <c r="B736" s="58">
        <f>Start.listina!AA577</f>
        <v>0</v>
      </c>
      <c r="C736" s="58">
        <f>Start.listina!AB577</f>
        <v>0</v>
      </c>
      <c r="D736" s="58">
        <f>Start.listina!AC577</f>
        <v>0</v>
      </c>
      <c r="E736" s="58">
        <f>Start.listina!AD577</f>
        <v>0</v>
      </c>
      <c r="F736" s="58"/>
      <c r="G736" s="542"/>
      <c r="H736" s="161"/>
      <c r="I736" s="161"/>
    </row>
    <row r="737" spans="1:9">
      <c r="A737" s="58">
        <f>Start.listina!AH578</f>
        <v>0</v>
      </c>
      <c r="B737" s="58">
        <f>Start.listina!I578</f>
        <v>0</v>
      </c>
      <c r="C737" s="543">
        <f>Start.listina!J578</f>
        <v>0</v>
      </c>
      <c r="D737" s="58">
        <f>Start.listina!K578</f>
        <v>0</v>
      </c>
      <c r="E737" s="58">
        <f>Start.listina!L578</f>
        <v>0</v>
      </c>
      <c r="F737" s="58"/>
      <c r="G737" s="542" t="str">
        <f>IF(N(A737)&gt;0,VLOOKUP(A737,Body!$A$4:$F$259,5,0),"")</f>
        <v/>
      </c>
      <c r="H737" s="161" t="str">
        <f>IF(N(A737)&gt;0,VLOOKUP(A737,Body!$A$4:$F$259,6,0),"")</f>
        <v/>
      </c>
      <c r="I737" s="161" t="str">
        <f>IF(N(A737)&gt;0,VLOOKUP(A737,Body!$A$4:$F$259,2,0),"")</f>
        <v/>
      </c>
    </row>
    <row r="738" spans="1:9">
      <c r="A738" s="58"/>
      <c r="B738" s="58">
        <f>Start.listina!O578</f>
        <v>0</v>
      </c>
      <c r="C738" s="58">
        <f>Start.listina!P578</f>
        <v>0</v>
      </c>
      <c r="D738" s="58">
        <f>Start.listina!Q578</f>
        <v>0</v>
      </c>
      <c r="E738" s="58">
        <f>Start.listina!R578</f>
        <v>0</v>
      </c>
      <c r="F738" s="58"/>
      <c r="G738" s="542"/>
      <c r="H738" s="161"/>
      <c r="I738" s="161"/>
    </row>
    <row r="739" spans="1:9">
      <c r="A739" s="58"/>
      <c r="B739" s="58">
        <f>Start.listina!U578</f>
        <v>0</v>
      </c>
      <c r="C739" s="58">
        <f>Start.listina!V578</f>
        <v>0</v>
      </c>
      <c r="D739" s="58">
        <f>Start.listina!W578</f>
        <v>0</v>
      </c>
      <c r="E739" s="58">
        <f>Start.listina!X578</f>
        <v>0</v>
      </c>
      <c r="F739" s="58"/>
      <c r="G739" s="542"/>
      <c r="H739" s="161"/>
      <c r="I739" s="161"/>
    </row>
    <row r="740" spans="1:9">
      <c r="A740" s="58"/>
      <c r="B740" s="58">
        <f>Start.listina!AA578</f>
        <v>0</v>
      </c>
      <c r="C740" s="58">
        <f>Start.listina!AB578</f>
        <v>0</v>
      </c>
      <c r="D740" s="58">
        <f>Start.listina!AC578</f>
        <v>0</v>
      </c>
      <c r="E740" s="58">
        <f>Start.listina!AD578</f>
        <v>0</v>
      </c>
      <c r="F740" s="58"/>
      <c r="G740" s="542"/>
      <c r="H740" s="161"/>
      <c r="I740" s="161"/>
    </row>
    <row r="741" spans="1:9">
      <c r="A741" s="58">
        <f>Start.listina!AH579</f>
        <v>0</v>
      </c>
      <c r="B741" s="58">
        <f>Start.listina!I579</f>
        <v>0</v>
      </c>
      <c r="C741" s="543">
        <f>Start.listina!J579</f>
        <v>0</v>
      </c>
      <c r="D741" s="58">
        <f>Start.listina!K579</f>
        <v>0</v>
      </c>
      <c r="E741" s="58">
        <f>Start.listina!L579</f>
        <v>0</v>
      </c>
      <c r="F741" s="58"/>
      <c r="G741" s="542" t="str">
        <f>IF(N(A741)&gt;0,VLOOKUP(A741,Body!$A$4:$F$259,5,0),"")</f>
        <v/>
      </c>
      <c r="H741" s="161" t="str">
        <f>IF(N(A741)&gt;0,VLOOKUP(A741,Body!$A$4:$F$259,6,0),"")</f>
        <v/>
      </c>
      <c r="I741" s="161" t="str">
        <f>IF(N(A741)&gt;0,VLOOKUP(A741,Body!$A$4:$F$259,2,0),"")</f>
        <v/>
      </c>
    </row>
    <row r="742" spans="1:9">
      <c r="A742" s="58"/>
      <c r="B742" s="58">
        <f>Start.listina!O579</f>
        <v>0</v>
      </c>
      <c r="C742" s="58">
        <f>Start.listina!P579</f>
        <v>0</v>
      </c>
      <c r="D742" s="58">
        <f>Start.listina!Q579</f>
        <v>0</v>
      </c>
      <c r="E742" s="58">
        <f>Start.listina!R579</f>
        <v>0</v>
      </c>
      <c r="F742" s="58"/>
      <c r="G742" s="542"/>
      <c r="H742" s="161"/>
      <c r="I742" s="161"/>
    </row>
    <row r="743" spans="1:9">
      <c r="A743" s="58"/>
      <c r="B743" s="58">
        <f>Start.listina!U579</f>
        <v>0</v>
      </c>
      <c r="C743" s="58">
        <f>Start.listina!V579</f>
        <v>0</v>
      </c>
      <c r="D743" s="58">
        <f>Start.listina!W579</f>
        <v>0</v>
      </c>
      <c r="E743" s="58">
        <f>Start.listina!X579</f>
        <v>0</v>
      </c>
      <c r="F743" s="58"/>
      <c r="G743" s="542"/>
      <c r="H743" s="161"/>
      <c r="I743" s="161"/>
    </row>
    <row r="744" spans="1:9">
      <c r="A744" s="58"/>
      <c r="B744" s="58">
        <f>Start.listina!AA579</f>
        <v>0</v>
      </c>
      <c r="C744" s="58">
        <f>Start.listina!AB579</f>
        <v>0</v>
      </c>
      <c r="D744" s="58">
        <f>Start.listina!AC579</f>
        <v>0</v>
      </c>
      <c r="E744" s="58">
        <f>Start.listina!AD579</f>
        <v>0</v>
      </c>
      <c r="F744" s="58"/>
      <c r="G744" s="542"/>
      <c r="H744" s="161"/>
      <c r="I744" s="161"/>
    </row>
    <row r="745" spans="1:9">
      <c r="A745" s="58">
        <f>Start.listina!AH580</f>
        <v>0</v>
      </c>
      <c r="B745" s="58">
        <f>Start.listina!I580</f>
        <v>0</v>
      </c>
      <c r="C745" s="543">
        <f>Start.listina!J580</f>
        <v>0</v>
      </c>
      <c r="D745" s="58">
        <f>Start.listina!K580</f>
        <v>0</v>
      </c>
      <c r="E745" s="58">
        <f>Start.listina!L580</f>
        <v>0</v>
      </c>
      <c r="F745" s="58"/>
      <c r="G745" s="542" t="str">
        <f>IF(N(A745)&gt;0,VLOOKUP(A745,Body!$A$4:$F$259,5,0),"")</f>
        <v/>
      </c>
      <c r="H745" s="161" t="str">
        <f>IF(N(A745)&gt;0,VLOOKUP(A745,Body!$A$4:$F$259,6,0),"")</f>
        <v/>
      </c>
      <c r="I745" s="161" t="str">
        <f>IF(N(A745)&gt;0,VLOOKUP(A745,Body!$A$4:$F$259,2,0),"")</f>
        <v/>
      </c>
    </row>
    <row r="746" spans="1:9">
      <c r="A746" s="58"/>
      <c r="B746" s="58">
        <f>Start.listina!O580</f>
        <v>0</v>
      </c>
      <c r="C746" s="58">
        <f>Start.listina!P580</f>
        <v>0</v>
      </c>
      <c r="D746" s="58">
        <f>Start.listina!Q580</f>
        <v>0</v>
      </c>
      <c r="E746" s="58">
        <f>Start.listina!R580</f>
        <v>0</v>
      </c>
      <c r="F746" s="58"/>
      <c r="G746" s="542"/>
      <c r="H746" s="161"/>
      <c r="I746" s="161"/>
    </row>
    <row r="747" spans="1:9">
      <c r="A747" s="58"/>
      <c r="B747" s="58">
        <f>Start.listina!U580</f>
        <v>0</v>
      </c>
      <c r="C747" s="58">
        <f>Start.listina!V580</f>
        <v>0</v>
      </c>
      <c r="D747" s="58">
        <f>Start.listina!W580</f>
        <v>0</v>
      </c>
      <c r="E747" s="58">
        <f>Start.listina!X580</f>
        <v>0</v>
      </c>
      <c r="F747" s="58"/>
      <c r="G747" s="542"/>
      <c r="H747" s="161"/>
      <c r="I747" s="161"/>
    </row>
    <row r="748" spans="1:9">
      <c r="A748" s="58"/>
      <c r="B748" s="58">
        <f>Start.listina!AA580</f>
        <v>0</v>
      </c>
      <c r="C748" s="58">
        <f>Start.listina!AB580</f>
        <v>0</v>
      </c>
      <c r="D748" s="58">
        <f>Start.listina!AC580</f>
        <v>0</v>
      </c>
      <c r="E748" s="58">
        <f>Start.listina!AD580</f>
        <v>0</v>
      </c>
      <c r="F748" s="58"/>
      <c r="G748" s="542"/>
      <c r="H748" s="161"/>
      <c r="I748" s="161"/>
    </row>
    <row r="749" spans="1:9">
      <c r="A749" s="58">
        <f>Start.listina!AH581</f>
        <v>0</v>
      </c>
      <c r="B749" s="58">
        <f>Start.listina!I581</f>
        <v>0</v>
      </c>
      <c r="C749" s="543">
        <f>Start.listina!J581</f>
        <v>0</v>
      </c>
      <c r="D749" s="58">
        <f>Start.listina!K581</f>
        <v>0</v>
      </c>
      <c r="E749" s="58">
        <f>Start.listina!L581</f>
        <v>0</v>
      </c>
      <c r="F749" s="58"/>
      <c r="G749" s="542" t="str">
        <f>IF(N(A749)&gt;0,VLOOKUP(A749,Body!$A$4:$F$259,5,0),"")</f>
        <v/>
      </c>
      <c r="H749" s="161" t="str">
        <f>IF(N(A749)&gt;0,VLOOKUP(A749,Body!$A$4:$F$259,6,0),"")</f>
        <v/>
      </c>
      <c r="I749" s="161" t="str">
        <f>IF(N(A749)&gt;0,VLOOKUP(A749,Body!$A$4:$F$259,2,0),"")</f>
        <v/>
      </c>
    </row>
    <row r="750" spans="1:9">
      <c r="A750" s="58"/>
      <c r="B750" s="58">
        <f>Start.listina!O581</f>
        <v>0</v>
      </c>
      <c r="C750" s="58">
        <f>Start.listina!P581</f>
        <v>0</v>
      </c>
      <c r="D750" s="58">
        <f>Start.listina!Q581</f>
        <v>0</v>
      </c>
      <c r="E750" s="58">
        <f>Start.listina!R581</f>
        <v>0</v>
      </c>
      <c r="F750" s="58"/>
      <c r="G750" s="542"/>
      <c r="H750" s="161"/>
      <c r="I750" s="161"/>
    </row>
    <row r="751" spans="1:9">
      <c r="A751" s="58"/>
      <c r="B751" s="58">
        <f>Start.listina!U581</f>
        <v>0</v>
      </c>
      <c r="C751" s="58">
        <f>Start.listina!V581</f>
        <v>0</v>
      </c>
      <c r="D751" s="58">
        <f>Start.listina!W581</f>
        <v>0</v>
      </c>
      <c r="E751" s="58">
        <f>Start.listina!X581</f>
        <v>0</v>
      </c>
      <c r="F751" s="58"/>
      <c r="G751" s="542"/>
      <c r="H751" s="161"/>
      <c r="I751" s="161"/>
    </row>
    <row r="752" spans="1:9">
      <c r="A752" s="58"/>
      <c r="B752" s="58">
        <f>Start.listina!AA581</f>
        <v>0</v>
      </c>
      <c r="C752" s="58">
        <f>Start.listina!AB581</f>
        <v>0</v>
      </c>
      <c r="D752" s="58">
        <f>Start.listina!AC581</f>
        <v>0</v>
      </c>
      <c r="E752" s="58">
        <f>Start.listina!AD581</f>
        <v>0</v>
      </c>
      <c r="F752" s="58"/>
      <c r="G752" s="542"/>
      <c r="H752" s="161"/>
      <c r="I752" s="161"/>
    </row>
    <row r="753" spans="1:9">
      <c r="A753" s="58">
        <f>Start.listina!AH582</f>
        <v>0</v>
      </c>
      <c r="B753" s="58">
        <f>Start.listina!I582</f>
        <v>0</v>
      </c>
      <c r="C753" s="543">
        <f>Start.listina!J582</f>
        <v>0</v>
      </c>
      <c r="D753" s="58">
        <f>Start.listina!K582</f>
        <v>0</v>
      </c>
      <c r="E753" s="58">
        <f>Start.listina!L582</f>
        <v>0</v>
      </c>
      <c r="F753" s="58"/>
      <c r="G753" s="542" t="str">
        <f>IF(N(A753)&gt;0,VLOOKUP(A753,Body!$A$4:$F$259,5,0),"")</f>
        <v/>
      </c>
      <c r="H753" s="161" t="str">
        <f>IF(N(A753)&gt;0,VLOOKUP(A753,Body!$A$4:$F$259,6,0),"")</f>
        <v/>
      </c>
      <c r="I753" s="161" t="str">
        <f>IF(N(A753)&gt;0,VLOOKUP(A753,Body!$A$4:$F$259,2,0),"")</f>
        <v/>
      </c>
    </row>
    <row r="754" spans="1:9">
      <c r="A754" s="58"/>
      <c r="B754" s="58">
        <f>Start.listina!O582</f>
        <v>0</v>
      </c>
      <c r="C754" s="58">
        <f>Start.listina!P582</f>
        <v>0</v>
      </c>
      <c r="D754" s="58">
        <f>Start.listina!Q582</f>
        <v>0</v>
      </c>
      <c r="E754" s="58">
        <f>Start.listina!R582</f>
        <v>0</v>
      </c>
      <c r="F754" s="58"/>
      <c r="G754" s="542"/>
      <c r="H754" s="161"/>
      <c r="I754" s="161"/>
    </row>
    <row r="755" spans="1:9">
      <c r="A755" s="58"/>
      <c r="B755" s="58">
        <f>Start.listina!U582</f>
        <v>0</v>
      </c>
      <c r="C755" s="58">
        <f>Start.listina!V582</f>
        <v>0</v>
      </c>
      <c r="D755" s="58">
        <f>Start.listina!W582</f>
        <v>0</v>
      </c>
      <c r="E755" s="58">
        <f>Start.listina!X582</f>
        <v>0</v>
      </c>
      <c r="F755" s="58"/>
      <c r="G755" s="542"/>
      <c r="H755" s="161"/>
      <c r="I755" s="161"/>
    </row>
    <row r="756" spans="1:9">
      <c r="A756" s="58"/>
      <c r="B756" s="58">
        <f>Start.listina!AA582</f>
        <v>0</v>
      </c>
      <c r="C756" s="58">
        <f>Start.listina!AB582</f>
        <v>0</v>
      </c>
      <c r="D756" s="58">
        <f>Start.listina!AC582</f>
        <v>0</v>
      </c>
      <c r="E756" s="58">
        <f>Start.listina!AD582</f>
        <v>0</v>
      </c>
      <c r="F756" s="58"/>
      <c r="G756" s="542"/>
      <c r="H756" s="161"/>
      <c r="I756" s="161"/>
    </row>
    <row r="757" spans="1:9">
      <c r="A757" s="58">
        <f>Start.listina!AH583</f>
        <v>0</v>
      </c>
      <c r="B757" s="58">
        <f>Start.listina!I583</f>
        <v>0</v>
      </c>
      <c r="C757" s="543">
        <f>Start.listina!J583</f>
        <v>0</v>
      </c>
      <c r="D757" s="58">
        <f>Start.listina!K583</f>
        <v>0</v>
      </c>
      <c r="E757" s="58">
        <f>Start.listina!L583</f>
        <v>0</v>
      </c>
      <c r="F757" s="58"/>
      <c r="G757" s="542" t="str">
        <f>IF(N(A757)&gt;0,VLOOKUP(A757,Body!$A$4:$F$259,5,0),"")</f>
        <v/>
      </c>
      <c r="H757" s="161" t="str">
        <f>IF(N(A757)&gt;0,VLOOKUP(A757,Body!$A$4:$F$259,6,0),"")</f>
        <v/>
      </c>
      <c r="I757" s="161" t="str">
        <f>IF(N(A757)&gt;0,VLOOKUP(A757,Body!$A$4:$F$259,2,0),"")</f>
        <v/>
      </c>
    </row>
    <row r="758" spans="1:9">
      <c r="A758" s="58"/>
      <c r="B758" s="58">
        <f>Start.listina!O583</f>
        <v>0</v>
      </c>
      <c r="C758" s="58">
        <f>Start.listina!P583</f>
        <v>0</v>
      </c>
      <c r="D758" s="58">
        <f>Start.listina!Q583</f>
        <v>0</v>
      </c>
      <c r="E758" s="58">
        <f>Start.listina!R583</f>
        <v>0</v>
      </c>
      <c r="F758" s="58"/>
      <c r="G758" s="542"/>
      <c r="H758" s="161"/>
      <c r="I758" s="161"/>
    </row>
    <row r="759" spans="1:9">
      <c r="A759" s="58"/>
      <c r="B759" s="58">
        <f>Start.listina!U583</f>
        <v>0</v>
      </c>
      <c r="C759" s="58">
        <f>Start.listina!V583</f>
        <v>0</v>
      </c>
      <c r="D759" s="58">
        <f>Start.listina!W583</f>
        <v>0</v>
      </c>
      <c r="E759" s="58">
        <f>Start.listina!X583</f>
        <v>0</v>
      </c>
      <c r="F759" s="58"/>
      <c r="G759" s="542"/>
      <c r="H759" s="161"/>
      <c r="I759" s="161"/>
    </row>
    <row r="760" spans="1:9">
      <c r="A760" s="58"/>
      <c r="B760" s="58">
        <f>Start.listina!AA583</f>
        <v>0</v>
      </c>
      <c r="C760" s="58">
        <f>Start.listina!AB583</f>
        <v>0</v>
      </c>
      <c r="D760" s="58">
        <f>Start.listina!AC583</f>
        <v>0</v>
      </c>
      <c r="E760" s="58">
        <f>Start.listina!AD583</f>
        <v>0</v>
      </c>
      <c r="F760" s="58"/>
      <c r="G760" s="542"/>
      <c r="H760" s="161"/>
      <c r="I760" s="161"/>
    </row>
    <row r="761" spans="1:9">
      <c r="A761" s="58">
        <f>Start.listina!AH584</f>
        <v>0</v>
      </c>
      <c r="B761" s="58">
        <f>Start.listina!I584</f>
        <v>0</v>
      </c>
      <c r="C761" s="543">
        <f>Start.listina!J584</f>
        <v>0</v>
      </c>
      <c r="D761" s="58">
        <f>Start.listina!K584</f>
        <v>0</v>
      </c>
      <c r="E761" s="58">
        <f>Start.listina!L584</f>
        <v>0</v>
      </c>
      <c r="F761" s="58"/>
      <c r="G761" s="542" t="str">
        <f>IF(N(A761)&gt;0,VLOOKUP(A761,Body!$A$4:$F$259,5,0),"")</f>
        <v/>
      </c>
      <c r="H761" s="161" t="str">
        <f>IF(N(A761)&gt;0,VLOOKUP(A761,Body!$A$4:$F$259,6,0),"")</f>
        <v/>
      </c>
      <c r="I761" s="161" t="str">
        <f>IF(N(A761)&gt;0,VLOOKUP(A761,Body!$A$4:$F$259,2,0),"")</f>
        <v/>
      </c>
    </row>
    <row r="762" spans="1:9">
      <c r="A762" s="58"/>
      <c r="B762" s="58">
        <f>Start.listina!O584</f>
        <v>0</v>
      </c>
      <c r="C762" s="58">
        <f>Start.listina!P584</f>
        <v>0</v>
      </c>
      <c r="D762" s="58">
        <f>Start.listina!Q584</f>
        <v>0</v>
      </c>
      <c r="E762" s="58">
        <f>Start.listina!R584</f>
        <v>0</v>
      </c>
      <c r="F762" s="58"/>
      <c r="G762" s="542"/>
      <c r="H762" s="161"/>
      <c r="I762" s="161"/>
    </row>
    <row r="763" spans="1:9">
      <c r="A763" s="58"/>
      <c r="B763" s="58">
        <f>Start.listina!U584</f>
        <v>0</v>
      </c>
      <c r="C763" s="58">
        <f>Start.listina!V584</f>
        <v>0</v>
      </c>
      <c r="D763" s="58">
        <f>Start.listina!W584</f>
        <v>0</v>
      </c>
      <c r="E763" s="58">
        <f>Start.listina!X584</f>
        <v>0</v>
      </c>
      <c r="F763" s="58"/>
      <c r="G763" s="542"/>
      <c r="H763" s="161"/>
      <c r="I763" s="161"/>
    </row>
    <row r="764" spans="1:9">
      <c r="A764" s="58"/>
      <c r="B764" s="58">
        <f>Start.listina!AA584</f>
        <v>0</v>
      </c>
      <c r="C764" s="58">
        <f>Start.listina!AB584</f>
        <v>0</v>
      </c>
      <c r="D764" s="58">
        <f>Start.listina!AC584</f>
        <v>0</v>
      </c>
      <c r="E764" s="58">
        <f>Start.listina!AD584</f>
        <v>0</v>
      </c>
      <c r="F764" s="58"/>
      <c r="G764" s="542"/>
      <c r="H764" s="161"/>
      <c r="I764" s="161"/>
    </row>
    <row r="765" spans="1:9">
      <c r="A765" s="58">
        <f>Start.listina!AH585</f>
        <v>0</v>
      </c>
      <c r="B765" s="58">
        <f>Start.listina!I585</f>
        <v>0</v>
      </c>
      <c r="C765" s="543">
        <f>Start.listina!J585</f>
        <v>0</v>
      </c>
      <c r="D765" s="58">
        <f>Start.listina!K585</f>
        <v>0</v>
      </c>
      <c r="E765" s="58">
        <f>Start.listina!L585</f>
        <v>0</v>
      </c>
      <c r="F765" s="58"/>
      <c r="G765" s="542" t="str">
        <f>IF(N(A765)&gt;0,VLOOKUP(A765,Body!$A$4:$F$259,5,0),"")</f>
        <v/>
      </c>
      <c r="H765" s="161" t="str">
        <f>IF(N(A765)&gt;0,VLOOKUP(A765,Body!$A$4:$F$259,6,0),"")</f>
        <v/>
      </c>
      <c r="I765" s="161" t="str">
        <f>IF(N(A765)&gt;0,VLOOKUP(A765,Body!$A$4:$F$259,2,0),"")</f>
        <v/>
      </c>
    </row>
    <row r="766" spans="1:9">
      <c r="A766" s="58"/>
      <c r="B766" s="58">
        <f>Start.listina!O585</f>
        <v>0</v>
      </c>
      <c r="C766" s="58">
        <f>Start.listina!P585</f>
        <v>0</v>
      </c>
      <c r="D766" s="58">
        <f>Start.listina!Q585</f>
        <v>0</v>
      </c>
      <c r="E766" s="58">
        <f>Start.listina!R585</f>
        <v>0</v>
      </c>
      <c r="F766" s="58"/>
      <c r="G766" s="542"/>
      <c r="H766" s="161"/>
      <c r="I766" s="161"/>
    </row>
    <row r="767" spans="1:9">
      <c r="A767" s="58"/>
      <c r="B767" s="58">
        <f>Start.listina!U585</f>
        <v>0</v>
      </c>
      <c r="C767" s="58">
        <f>Start.listina!V585</f>
        <v>0</v>
      </c>
      <c r="D767" s="58">
        <f>Start.listina!W585</f>
        <v>0</v>
      </c>
      <c r="E767" s="58">
        <f>Start.listina!X585</f>
        <v>0</v>
      </c>
      <c r="F767" s="58"/>
      <c r="G767" s="542"/>
      <c r="H767" s="161"/>
      <c r="I767" s="161"/>
    </row>
    <row r="768" spans="1:9">
      <c r="A768" s="58"/>
      <c r="B768" s="58">
        <f>Start.listina!AA585</f>
        <v>0</v>
      </c>
      <c r="C768" s="58">
        <f>Start.listina!AB585</f>
        <v>0</v>
      </c>
      <c r="D768" s="58">
        <f>Start.listina!AC585</f>
        <v>0</v>
      </c>
      <c r="E768" s="58">
        <f>Start.listina!AD585</f>
        <v>0</v>
      </c>
      <c r="F768" s="58"/>
      <c r="G768" s="542"/>
      <c r="H768" s="161"/>
      <c r="I768" s="161"/>
    </row>
    <row r="769" spans="1:9">
      <c r="A769" s="58">
        <f>Start.listina!AH586</f>
        <v>0</v>
      </c>
      <c r="B769" s="58">
        <f>Start.listina!I586</f>
        <v>0</v>
      </c>
      <c r="C769" s="543">
        <f>Start.listina!J586</f>
        <v>0</v>
      </c>
      <c r="D769" s="58">
        <f>Start.listina!K586</f>
        <v>0</v>
      </c>
      <c r="E769" s="58">
        <f>Start.listina!L586</f>
        <v>0</v>
      </c>
      <c r="F769" s="58"/>
      <c r="G769" s="542" t="str">
        <f>IF(N(A769)&gt;0,VLOOKUP(A769,Body!$A$4:$F$259,5,0),"")</f>
        <v/>
      </c>
      <c r="H769" s="161" t="str">
        <f>IF(N(A769)&gt;0,VLOOKUP(A769,Body!$A$4:$F$259,6,0),"")</f>
        <v/>
      </c>
      <c r="I769" s="161" t="str">
        <f>IF(N(A769)&gt;0,VLOOKUP(A769,Body!$A$4:$F$259,2,0),"")</f>
        <v/>
      </c>
    </row>
    <row r="770" spans="1:9">
      <c r="A770" s="58"/>
      <c r="B770" s="58">
        <f>Start.listina!O586</f>
        <v>0</v>
      </c>
      <c r="C770" s="58">
        <f>Start.listina!P586</f>
        <v>0</v>
      </c>
      <c r="D770" s="58">
        <f>Start.listina!Q586</f>
        <v>0</v>
      </c>
      <c r="E770" s="58">
        <f>Start.listina!R586</f>
        <v>0</v>
      </c>
      <c r="F770" s="58"/>
      <c r="G770" s="542"/>
      <c r="H770" s="161"/>
      <c r="I770" s="161"/>
    </row>
    <row r="771" spans="1:9">
      <c r="A771" s="58"/>
      <c r="B771" s="58">
        <f>Start.listina!U586</f>
        <v>0</v>
      </c>
      <c r="C771" s="58">
        <f>Start.listina!V586</f>
        <v>0</v>
      </c>
      <c r="D771" s="58">
        <f>Start.listina!W586</f>
        <v>0</v>
      </c>
      <c r="E771" s="58">
        <f>Start.listina!X586</f>
        <v>0</v>
      </c>
      <c r="F771" s="58"/>
      <c r="G771" s="542"/>
      <c r="H771" s="161"/>
      <c r="I771" s="161"/>
    </row>
    <row r="772" spans="1:9">
      <c r="A772" s="58"/>
      <c r="B772" s="58">
        <f>Start.listina!AA586</f>
        <v>0</v>
      </c>
      <c r="C772" s="58">
        <f>Start.listina!AB586</f>
        <v>0</v>
      </c>
      <c r="D772" s="58">
        <f>Start.listina!AC586</f>
        <v>0</v>
      </c>
      <c r="E772" s="58">
        <f>Start.listina!AD586</f>
        <v>0</v>
      </c>
      <c r="F772" s="58"/>
      <c r="G772" s="542"/>
      <c r="H772" s="161"/>
      <c r="I772" s="161"/>
    </row>
    <row r="773" spans="1:9">
      <c r="A773" s="58">
        <f>Start.listina!AH587</f>
        <v>0</v>
      </c>
      <c r="B773" s="58">
        <f>Start.listina!I587</f>
        <v>0</v>
      </c>
      <c r="C773" s="543">
        <f>Start.listina!J587</f>
        <v>0</v>
      </c>
      <c r="D773" s="58">
        <f>Start.listina!K587</f>
        <v>0</v>
      </c>
      <c r="E773" s="58">
        <f>Start.listina!L587</f>
        <v>0</v>
      </c>
      <c r="F773" s="58"/>
      <c r="G773" s="542" t="str">
        <f>IF(N(A773)&gt;0,VLOOKUP(A773,Body!$A$4:$F$259,5,0),"")</f>
        <v/>
      </c>
      <c r="H773" s="161" t="str">
        <f>IF(N(A773)&gt;0,VLOOKUP(A773,Body!$A$4:$F$259,6,0),"")</f>
        <v/>
      </c>
      <c r="I773" s="161" t="str">
        <f>IF(N(A773)&gt;0,VLOOKUP(A773,Body!$A$4:$F$259,2,0),"")</f>
        <v/>
      </c>
    </row>
    <row r="774" spans="1:9">
      <c r="A774" s="58"/>
      <c r="B774" s="58">
        <f>Start.listina!O587</f>
        <v>0</v>
      </c>
      <c r="C774" s="58">
        <f>Start.listina!P587</f>
        <v>0</v>
      </c>
      <c r="D774" s="58">
        <f>Start.listina!Q587</f>
        <v>0</v>
      </c>
      <c r="E774" s="58">
        <f>Start.listina!R587</f>
        <v>0</v>
      </c>
      <c r="F774" s="58"/>
      <c r="G774" s="542"/>
      <c r="H774" s="161"/>
      <c r="I774" s="161"/>
    </row>
    <row r="775" spans="1:9">
      <c r="A775" s="58"/>
      <c r="B775" s="58">
        <f>Start.listina!U587</f>
        <v>0</v>
      </c>
      <c r="C775" s="58">
        <f>Start.listina!V587</f>
        <v>0</v>
      </c>
      <c r="D775" s="58">
        <f>Start.listina!W587</f>
        <v>0</v>
      </c>
      <c r="E775" s="58">
        <f>Start.listina!X587</f>
        <v>0</v>
      </c>
      <c r="F775" s="58"/>
      <c r="G775" s="542"/>
      <c r="H775" s="161"/>
      <c r="I775" s="161"/>
    </row>
    <row r="776" spans="1:9">
      <c r="A776" s="58"/>
      <c r="B776" s="58">
        <f>Start.listina!AA587</f>
        <v>0</v>
      </c>
      <c r="C776" s="58">
        <f>Start.listina!AB587</f>
        <v>0</v>
      </c>
      <c r="D776" s="58">
        <f>Start.listina!AC587</f>
        <v>0</v>
      </c>
      <c r="E776" s="58">
        <f>Start.listina!AD587</f>
        <v>0</v>
      </c>
      <c r="F776" s="58"/>
      <c r="G776" s="542"/>
      <c r="H776" s="161"/>
      <c r="I776" s="161"/>
    </row>
    <row r="777" spans="1:9">
      <c r="A777" s="58">
        <f>Start.listina!AH588</f>
        <v>0</v>
      </c>
      <c r="B777" s="58">
        <f>Start.listina!I588</f>
        <v>0</v>
      </c>
      <c r="C777" s="543">
        <f>Start.listina!J588</f>
        <v>0</v>
      </c>
      <c r="D777" s="58">
        <f>Start.listina!K588</f>
        <v>0</v>
      </c>
      <c r="E777" s="58">
        <f>Start.listina!L588</f>
        <v>0</v>
      </c>
      <c r="F777" s="58"/>
      <c r="G777" s="542" t="str">
        <f>IF(N(A777)&gt;0,VLOOKUP(A777,Body!$A$4:$F$259,5,0),"")</f>
        <v/>
      </c>
      <c r="H777" s="161" t="str">
        <f>IF(N(A777)&gt;0,VLOOKUP(A777,Body!$A$4:$F$259,6,0),"")</f>
        <v/>
      </c>
      <c r="I777" s="161" t="str">
        <f>IF(N(A777)&gt;0,VLOOKUP(A777,Body!$A$4:$F$259,2,0),"")</f>
        <v/>
      </c>
    </row>
    <row r="778" spans="1:9">
      <c r="A778" s="58"/>
      <c r="B778" s="58">
        <f>Start.listina!O588</f>
        <v>0</v>
      </c>
      <c r="C778" s="58">
        <f>Start.listina!P588</f>
        <v>0</v>
      </c>
      <c r="D778" s="58">
        <f>Start.listina!Q588</f>
        <v>0</v>
      </c>
      <c r="E778" s="58">
        <f>Start.listina!R588</f>
        <v>0</v>
      </c>
      <c r="F778" s="58"/>
      <c r="G778" s="542"/>
      <c r="H778" s="161"/>
      <c r="I778" s="161"/>
    </row>
    <row r="779" spans="1:9">
      <c r="A779" s="58"/>
      <c r="B779" s="58">
        <f>Start.listina!U588</f>
        <v>0</v>
      </c>
      <c r="C779" s="58">
        <f>Start.listina!V588</f>
        <v>0</v>
      </c>
      <c r="D779" s="58">
        <f>Start.listina!W588</f>
        <v>0</v>
      </c>
      <c r="E779" s="58">
        <f>Start.listina!X588</f>
        <v>0</v>
      </c>
      <c r="F779" s="58"/>
      <c r="G779" s="542"/>
      <c r="H779" s="161"/>
      <c r="I779" s="161"/>
    </row>
    <row r="780" spans="1:9">
      <c r="A780" s="58"/>
      <c r="B780" s="58">
        <f>Start.listina!AA588</f>
        <v>0</v>
      </c>
      <c r="C780" s="58">
        <f>Start.listina!AB588</f>
        <v>0</v>
      </c>
      <c r="D780" s="58">
        <f>Start.listina!AC588</f>
        <v>0</v>
      </c>
      <c r="E780" s="58">
        <f>Start.listina!AD588</f>
        <v>0</v>
      </c>
      <c r="F780" s="58"/>
      <c r="G780" s="542"/>
      <c r="H780" s="161"/>
      <c r="I780" s="161"/>
    </row>
    <row r="781" spans="1:9">
      <c r="A781" s="58">
        <f>Start.listina!AH589</f>
        <v>0</v>
      </c>
      <c r="B781" s="58">
        <f>Start.listina!I589</f>
        <v>0</v>
      </c>
      <c r="C781" s="543">
        <f>Start.listina!J589</f>
        <v>0</v>
      </c>
      <c r="D781" s="58">
        <f>Start.listina!K589</f>
        <v>0</v>
      </c>
      <c r="E781" s="58">
        <f>Start.listina!L589</f>
        <v>0</v>
      </c>
      <c r="F781" s="58"/>
      <c r="G781" s="542" t="str">
        <f>IF(N(A781)&gt;0,VLOOKUP(A781,Body!$A$4:$F$259,5,0),"")</f>
        <v/>
      </c>
      <c r="H781" s="161" t="str">
        <f>IF(N(A781)&gt;0,VLOOKUP(A781,Body!$A$4:$F$259,6,0),"")</f>
        <v/>
      </c>
      <c r="I781" s="161" t="str">
        <f>IF(N(A781)&gt;0,VLOOKUP(A781,Body!$A$4:$F$259,2,0),"")</f>
        <v/>
      </c>
    </row>
    <row r="782" spans="1:9">
      <c r="A782" s="58"/>
      <c r="B782" s="58">
        <f>Start.listina!O589</f>
        <v>0</v>
      </c>
      <c r="C782" s="58">
        <f>Start.listina!P589</f>
        <v>0</v>
      </c>
      <c r="D782" s="58">
        <f>Start.listina!Q589</f>
        <v>0</v>
      </c>
      <c r="E782" s="58">
        <f>Start.listina!R589</f>
        <v>0</v>
      </c>
      <c r="F782" s="58"/>
      <c r="G782" s="542"/>
      <c r="H782" s="161"/>
      <c r="I782" s="161"/>
    </row>
    <row r="783" spans="1:9">
      <c r="A783" s="58"/>
      <c r="B783" s="58">
        <f>Start.listina!U589</f>
        <v>0</v>
      </c>
      <c r="C783" s="58">
        <f>Start.listina!V589</f>
        <v>0</v>
      </c>
      <c r="D783" s="58">
        <f>Start.listina!W589</f>
        <v>0</v>
      </c>
      <c r="E783" s="58">
        <f>Start.listina!X589</f>
        <v>0</v>
      </c>
      <c r="F783" s="58"/>
      <c r="G783" s="542"/>
      <c r="H783" s="161"/>
      <c r="I783" s="161"/>
    </row>
    <row r="784" spans="1:9">
      <c r="A784" s="58"/>
      <c r="B784" s="58">
        <f>Start.listina!AA589</f>
        <v>0</v>
      </c>
      <c r="C784" s="58">
        <f>Start.listina!AB589</f>
        <v>0</v>
      </c>
      <c r="D784" s="58">
        <f>Start.listina!AC589</f>
        <v>0</v>
      </c>
      <c r="E784" s="58">
        <f>Start.listina!AD589</f>
        <v>0</v>
      </c>
      <c r="F784" s="58"/>
      <c r="G784" s="542"/>
      <c r="H784" s="161"/>
      <c r="I784" s="161"/>
    </row>
    <row r="785" spans="1:9">
      <c r="A785" s="58">
        <f>Start.listina!AH590</f>
        <v>0</v>
      </c>
      <c r="B785" s="58">
        <f>Start.listina!I590</f>
        <v>0</v>
      </c>
      <c r="C785" s="543">
        <f>Start.listina!J590</f>
        <v>0</v>
      </c>
      <c r="D785" s="58">
        <f>Start.listina!K590</f>
        <v>0</v>
      </c>
      <c r="E785" s="58">
        <f>Start.listina!L590</f>
        <v>0</v>
      </c>
      <c r="F785" s="58"/>
      <c r="G785" s="542" t="str">
        <f>IF(N(A785)&gt;0,VLOOKUP(A785,Body!$A$4:$F$259,5,0),"")</f>
        <v/>
      </c>
      <c r="H785" s="161" t="str">
        <f>IF(N(A785)&gt;0,VLOOKUP(A785,Body!$A$4:$F$259,6,0),"")</f>
        <v/>
      </c>
      <c r="I785" s="161" t="str">
        <f>IF(N(A785)&gt;0,VLOOKUP(A785,Body!$A$4:$F$259,2,0),"")</f>
        <v/>
      </c>
    </row>
    <row r="786" spans="1:9">
      <c r="A786" s="58"/>
      <c r="B786" s="58">
        <f>Start.listina!O590</f>
        <v>0</v>
      </c>
      <c r="C786" s="58">
        <f>Start.listina!P590</f>
        <v>0</v>
      </c>
      <c r="D786" s="58">
        <f>Start.listina!Q590</f>
        <v>0</v>
      </c>
      <c r="E786" s="58">
        <f>Start.listina!R590</f>
        <v>0</v>
      </c>
      <c r="F786" s="58"/>
      <c r="G786" s="542"/>
      <c r="H786" s="161"/>
      <c r="I786" s="161"/>
    </row>
    <row r="787" spans="1:9">
      <c r="A787" s="58"/>
      <c r="B787" s="58">
        <f>Start.listina!U590</f>
        <v>0</v>
      </c>
      <c r="C787" s="58">
        <f>Start.listina!V590</f>
        <v>0</v>
      </c>
      <c r="D787" s="58">
        <f>Start.listina!W590</f>
        <v>0</v>
      </c>
      <c r="E787" s="58">
        <f>Start.listina!X590</f>
        <v>0</v>
      </c>
      <c r="F787" s="58"/>
      <c r="G787" s="542"/>
      <c r="H787" s="161"/>
      <c r="I787" s="161"/>
    </row>
    <row r="788" spans="1:9">
      <c r="A788" s="58"/>
      <c r="B788" s="58">
        <f>Start.listina!AA590</f>
        <v>0</v>
      </c>
      <c r="C788" s="58">
        <f>Start.listina!AB590</f>
        <v>0</v>
      </c>
      <c r="D788" s="58">
        <f>Start.listina!AC590</f>
        <v>0</v>
      </c>
      <c r="E788" s="58">
        <f>Start.listina!AD590</f>
        <v>0</v>
      </c>
      <c r="F788" s="58"/>
      <c r="G788" s="542"/>
      <c r="H788" s="161"/>
      <c r="I788" s="161"/>
    </row>
    <row r="789" spans="1:9">
      <c r="A789" s="58">
        <f>Start.listina!AH591</f>
        <v>0</v>
      </c>
      <c r="B789" s="58">
        <f>Start.listina!I591</f>
        <v>0</v>
      </c>
      <c r="C789" s="543">
        <f>Start.listina!J591</f>
        <v>0</v>
      </c>
      <c r="D789" s="58">
        <f>Start.listina!K591</f>
        <v>0</v>
      </c>
      <c r="E789" s="58">
        <f>Start.listina!L591</f>
        <v>0</v>
      </c>
      <c r="F789" s="58"/>
      <c r="G789" s="542" t="str">
        <f>IF(N(A789)&gt;0,VLOOKUP(A789,Body!$A$4:$F$259,5,0),"")</f>
        <v/>
      </c>
      <c r="H789" s="161" t="str">
        <f>IF(N(A789)&gt;0,VLOOKUP(A789,Body!$A$4:$F$259,6,0),"")</f>
        <v/>
      </c>
      <c r="I789" s="161" t="str">
        <f>IF(N(A789)&gt;0,VLOOKUP(A789,Body!$A$4:$F$259,2,0),"")</f>
        <v/>
      </c>
    </row>
    <row r="790" spans="1:9">
      <c r="A790" s="58"/>
      <c r="B790" s="58">
        <f>Start.listina!O591</f>
        <v>0</v>
      </c>
      <c r="C790" s="58">
        <f>Start.listina!P591</f>
        <v>0</v>
      </c>
      <c r="D790" s="58">
        <f>Start.listina!Q591</f>
        <v>0</v>
      </c>
      <c r="E790" s="58">
        <f>Start.listina!R591</f>
        <v>0</v>
      </c>
      <c r="F790" s="58"/>
      <c r="G790" s="542"/>
      <c r="H790" s="161"/>
      <c r="I790" s="161"/>
    </row>
    <row r="791" spans="1:9">
      <c r="A791" s="58"/>
      <c r="B791" s="58">
        <f>Start.listina!U591</f>
        <v>0</v>
      </c>
      <c r="C791" s="58">
        <f>Start.listina!V591</f>
        <v>0</v>
      </c>
      <c r="D791" s="58">
        <f>Start.listina!W591</f>
        <v>0</v>
      </c>
      <c r="E791" s="58">
        <f>Start.listina!X591</f>
        <v>0</v>
      </c>
      <c r="F791" s="58"/>
      <c r="G791" s="542"/>
      <c r="H791" s="161"/>
      <c r="I791" s="161"/>
    </row>
    <row r="792" spans="1:9">
      <c r="A792" s="58"/>
      <c r="B792" s="58">
        <f>Start.listina!AA591</f>
        <v>0</v>
      </c>
      <c r="C792" s="58">
        <f>Start.listina!AB591</f>
        <v>0</v>
      </c>
      <c r="D792" s="58">
        <f>Start.listina!AC591</f>
        <v>0</v>
      </c>
      <c r="E792" s="58">
        <f>Start.listina!AD591</f>
        <v>0</v>
      </c>
      <c r="F792" s="58"/>
      <c r="G792" s="542"/>
      <c r="H792" s="161"/>
      <c r="I792" s="161"/>
    </row>
    <row r="793" spans="1:9">
      <c r="A793" s="58">
        <f>Start.listina!AH592</f>
        <v>0</v>
      </c>
      <c r="B793" s="58">
        <f>Start.listina!I592</f>
        <v>0</v>
      </c>
      <c r="C793" s="543">
        <f>Start.listina!J592</f>
        <v>0</v>
      </c>
      <c r="D793" s="58">
        <f>Start.listina!K592</f>
        <v>0</v>
      </c>
      <c r="E793" s="58">
        <f>Start.listina!L592</f>
        <v>0</v>
      </c>
      <c r="F793" s="58"/>
      <c r="G793" s="542" t="str">
        <f>IF(N(A793)&gt;0,VLOOKUP(A793,Body!$A$4:$F$259,5,0),"")</f>
        <v/>
      </c>
      <c r="H793" s="161" t="str">
        <f>IF(N(A793)&gt;0,VLOOKUP(A793,Body!$A$4:$F$259,6,0),"")</f>
        <v/>
      </c>
      <c r="I793" s="161" t="str">
        <f>IF(N(A793)&gt;0,VLOOKUP(A793,Body!$A$4:$F$259,2,0),"")</f>
        <v/>
      </c>
    </row>
    <row r="794" spans="1:9">
      <c r="A794" s="58"/>
      <c r="B794" s="58">
        <f>Start.listina!O592</f>
        <v>0</v>
      </c>
      <c r="C794" s="58">
        <f>Start.listina!P592</f>
        <v>0</v>
      </c>
      <c r="D794" s="58">
        <f>Start.listina!Q592</f>
        <v>0</v>
      </c>
      <c r="E794" s="58">
        <f>Start.listina!R592</f>
        <v>0</v>
      </c>
      <c r="F794" s="58"/>
      <c r="G794" s="542"/>
      <c r="H794" s="161"/>
      <c r="I794" s="161"/>
    </row>
    <row r="795" spans="1:9">
      <c r="A795" s="58"/>
      <c r="B795" s="58">
        <f>Start.listina!U592</f>
        <v>0</v>
      </c>
      <c r="C795" s="58">
        <f>Start.listina!V592</f>
        <v>0</v>
      </c>
      <c r="D795" s="58">
        <f>Start.listina!W592</f>
        <v>0</v>
      </c>
      <c r="E795" s="58">
        <f>Start.listina!X592</f>
        <v>0</v>
      </c>
      <c r="F795" s="58"/>
      <c r="G795" s="542"/>
      <c r="H795" s="161"/>
      <c r="I795" s="161"/>
    </row>
    <row r="796" spans="1:9">
      <c r="A796" s="58"/>
      <c r="B796" s="58">
        <f>Start.listina!AA592</f>
        <v>0</v>
      </c>
      <c r="C796" s="58">
        <f>Start.listina!AB592</f>
        <v>0</v>
      </c>
      <c r="D796" s="58">
        <f>Start.listina!AC592</f>
        <v>0</v>
      </c>
      <c r="E796" s="58">
        <f>Start.listina!AD592</f>
        <v>0</v>
      </c>
      <c r="F796" s="58"/>
      <c r="G796" s="542"/>
      <c r="H796" s="161"/>
      <c r="I796" s="161"/>
    </row>
    <row r="797" spans="1:9">
      <c r="A797" s="58">
        <f>Start.listina!AH593</f>
        <v>0</v>
      </c>
      <c r="B797" s="58">
        <f>Start.listina!I593</f>
        <v>0</v>
      </c>
      <c r="C797" s="543">
        <f>Start.listina!J593</f>
        <v>0</v>
      </c>
      <c r="D797" s="58">
        <f>Start.listina!K593</f>
        <v>0</v>
      </c>
      <c r="E797" s="58">
        <f>Start.listina!L593</f>
        <v>0</v>
      </c>
      <c r="F797" s="58"/>
      <c r="G797" s="542" t="str">
        <f>IF(N(A797)&gt;0,VLOOKUP(A797,Body!$A$4:$F$259,5,0),"")</f>
        <v/>
      </c>
      <c r="H797" s="161" t="str">
        <f>IF(N(A797)&gt;0,VLOOKUP(A797,Body!$A$4:$F$259,6,0),"")</f>
        <v/>
      </c>
      <c r="I797" s="161" t="str">
        <f>IF(N(A797)&gt;0,VLOOKUP(A797,Body!$A$4:$F$259,2,0),"")</f>
        <v/>
      </c>
    </row>
    <row r="798" spans="1:9">
      <c r="A798" s="58"/>
      <c r="B798" s="58">
        <f>Start.listina!O593</f>
        <v>0</v>
      </c>
      <c r="C798" s="58">
        <f>Start.listina!P593</f>
        <v>0</v>
      </c>
      <c r="D798" s="58">
        <f>Start.listina!Q593</f>
        <v>0</v>
      </c>
      <c r="E798" s="58">
        <f>Start.listina!R593</f>
        <v>0</v>
      </c>
      <c r="F798" s="58"/>
      <c r="G798" s="542"/>
      <c r="H798" s="161"/>
      <c r="I798" s="161"/>
    </row>
    <row r="799" spans="1:9">
      <c r="A799" s="58"/>
      <c r="B799" s="58">
        <f>Start.listina!U593</f>
        <v>0</v>
      </c>
      <c r="C799" s="58">
        <f>Start.listina!V593</f>
        <v>0</v>
      </c>
      <c r="D799" s="58">
        <f>Start.listina!W593</f>
        <v>0</v>
      </c>
      <c r="E799" s="58">
        <f>Start.listina!X593</f>
        <v>0</v>
      </c>
      <c r="F799" s="58"/>
      <c r="G799" s="542"/>
      <c r="H799" s="161"/>
      <c r="I799" s="161"/>
    </row>
    <row r="800" spans="1:9">
      <c r="A800" s="58"/>
      <c r="B800" s="58">
        <f>Start.listina!AA593</f>
        <v>0</v>
      </c>
      <c r="C800" s="58">
        <f>Start.listina!AB593</f>
        <v>0</v>
      </c>
      <c r="D800" s="58">
        <f>Start.listina!AC593</f>
        <v>0</v>
      </c>
      <c r="E800" s="58">
        <f>Start.listina!AD593</f>
        <v>0</v>
      </c>
      <c r="F800" s="58"/>
      <c r="G800" s="542"/>
      <c r="H800" s="161"/>
      <c r="I800" s="161"/>
    </row>
    <row r="801" spans="1:9">
      <c r="A801" s="58">
        <f>Start.listina!AH594</f>
        <v>0</v>
      </c>
      <c r="B801" s="58">
        <f>Start.listina!I594</f>
        <v>0</v>
      </c>
      <c r="C801" s="543">
        <f>Start.listina!J594</f>
        <v>0</v>
      </c>
      <c r="D801" s="58">
        <f>Start.listina!K594</f>
        <v>0</v>
      </c>
      <c r="E801" s="58">
        <f>Start.listina!L594</f>
        <v>0</v>
      </c>
      <c r="F801" s="58"/>
      <c r="G801" s="542" t="str">
        <f>IF(N(A801)&gt;0,VLOOKUP(A801,Body!$A$4:$F$259,5,0),"")</f>
        <v/>
      </c>
      <c r="H801" s="161" t="str">
        <f>IF(N(A801)&gt;0,VLOOKUP(A801,Body!$A$4:$F$259,6,0),"")</f>
        <v/>
      </c>
      <c r="I801" s="161" t="str">
        <f>IF(N(A801)&gt;0,VLOOKUP(A801,Body!$A$4:$F$259,2,0),"")</f>
        <v/>
      </c>
    </row>
    <row r="802" spans="1:9">
      <c r="A802" s="58"/>
      <c r="B802" s="58">
        <f>Start.listina!O594</f>
        <v>0</v>
      </c>
      <c r="C802" s="58">
        <f>Start.listina!P594</f>
        <v>0</v>
      </c>
      <c r="D802" s="58">
        <f>Start.listina!Q594</f>
        <v>0</v>
      </c>
      <c r="E802" s="58">
        <f>Start.listina!R594</f>
        <v>0</v>
      </c>
      <c r="F802" s="58"/>
      <c r="G802" s="542"/>
      <c r="H802" s="161"/>
      <c r="I802" s="161"/>
    </row>
    <row r="803" spans="1:9">
      <c r="A803" s="58"/>
      <c r="B803" s="58">
        <f>Start.listina!U594</f>
        <v>0</v>
      </c>
      <c r="C803" s="58">
        <f>Start.listina!V594</f>
        <v>0</v>
      </c>
      <c r="D803" s="58">
        <f>Start.listina!W594</f>
        <v>0</v>
      </c>
      <c r="E803" s="58">
        <f>Start.listina!X594</f>
        <v>0</v>
      </c>
      <c r="F803" s="58"/>
      <c r="G803" s="542"/>
      <c r="H803" s="161"/>
      <c r="I803" s="161"/>
    </row>
    <row r="804" spans="1:9">
      <c r="A804" s="58"/>
      <c r="B804" s="58">
        <f>Start.listina!AA594</f>
        <v>0</v>
      </c>
      <c r="C804" s="58">
        <f>Start.listina!AB594</f>
        <v>0</v>
      </c>
      <c r="D804" s="58">
        <f>Start.listina!AC594</f>
        <v>0</v>
      </c>
      <c r="E804" s="58">
        <f>Start.listina!AD594</f>
        <v>0</v>
      </c>
      <c r="F804" s="58"/>
      <c r="G804" s="542"/>
      <c r="H804" s="161"/>
      <c r="I804" s="161"/>
    </row>
    <row r="805" spans="1:9">
      <c r="A805" s="58">
        <f>Start.listina!AH595</f>
        <v>0</v>
      </c>
      <c r="B805" s="58">
        <f>Start.listina!I595</f>
        <v>0</v>
      </c>
      <c r="C805" s="543">
        <f>Start.listina!J595</f>
        <v>0</v>
      </c>
      <c r="D805" s="58">
        <f>Start.listina!K595</f>
        <v>0</v>
      </c>
      <c r="E805" s="58">
        <f>Start.listina!L595</f>
        <v>0</v>
      </c>
      <c r="F805" s="58"/>
      <c r="G805" s="542" t="str">
        <f>IF(N(A805)&gt;0,VLOOKUP(A805,Body!$A$4:$F$259,5,0),"")</f>
        <v/>
      </c>
      <c r="H805" s="161" t="str">
        <f>IF(N(A805)&gt;0,VLOOKUP(A805,Body!$A$4:$F$259,6,0),"")</f>
        <v/>
      </c>
      <c r="I805" s="161" t="str">
        <f>IF(N(A805)&gt;0,VLOOKUP(A805,Body!$A$4:$F$259,2,0),"")</f>
        <v/>
      </c>
    </row>
    <row r="806" spans="1:9">
      <c r="A806" s="58"/>
      <c r="B806" s="58">
        <f>Start.listina!O595</f>
        <v>0</v>
      </c>
      <c r="C806" s="58">
        <f>Start.listina!P595</f>
        <v>0</v>
      </c>
      <c r="D806" s="58">
        <f>Start.listina!Q595</f>
        <v>0</v>
      </c>
      <c r="E806" s="58">
        <f>Start.listina!R595</f>
        <v>0</v>
      </c>
      <c r="F806" s="58"/>
      <c r="G806" s="542"/>
      <c r="H806" s="161"/>
      <c r="I806" s="161"/>
    </row>
    <row r="807" spans="1:9">
      <c r="A807" s="58"/>
      <c r="B807" s="58">
        <f>Start.listina!U595</f>
        <v>0</v>
      </c>
      <c r="C807" s="58">
        <f>Start.listina!V595</f>
        <v>0</v>
      </c>
      <c r="D807" s="58">
        <f>Start.listina!W595</f>
        <v>0</v>
      </c>
      <c r="E807" s="58">
        <f>Start.listina!X595</f>
        <v>0</v>
      </c>
      <c r="F807" s="58"/>
      <c r="G807" s="542"/>
      <c r="H807" s="161"/>
      <c r="I807" s="161"/>
    </row>
    <row r="808" spans="1:9">
      <c r="A808" s="58"/>
      <c r="B808" s="58">
        <f>Start.listina!AA595</f>
        <v>0</v>
      </c>
      <c r="C808" s="58">
        <f>Start.listina!AB595</f>
        <v>0</v>
      </c>
      <c r="D808" s="58">
        <f>Start.listina!AC595</f>
        <v>0</v>
      </c>
      <c r="E808" s="58">
        <f>Start.listina!AD595</f>
        <v>0</v>
      </c>
      <c r="F808" s="58"/>
      <c r="G808" s="542"/>
      <c r="H808" s="161"/>
      <c r="I808" s="161"/>
    </row>
    <row r="809" spans="1:9">
      <c r="A809" s="58">
        <f>Start.listina!AH596</f>
        <v>0</v>
      </c>
      <c r="B809" s="58">
        <f>Start.listina!I596</f>
        <v>0</v>
      </c>
      <c r="C809" s="543">
        <f>Start.listina!J596</f>
        <v>0</v>
      </c>
      <c r="D809" s="58">
        <f>Start.listina!K596</f>
        <v>0</v>
      </c>
      <c r="E809" s="58">
        <f>Start.listina!L596</f>
        <v>0</v>
      </c>
      <c r="F809" s="58"/>
      <c r="G809" s="542" t="str">
        <f>IF(N(A809)&gt;0,VLOOKUP(A809,Body!$A$4:$F$259,5,0),"")</f>
        <v/>
      </c>
      <c r="H809" s="161" t="str">
        <f>IF(N(A809)&gt;0,VLOOKUP(A809,Body!$A$4:$F$259,6,0),"")</f>
        <v/>
      </c>
      <c r="I809" s="161" t="str">
        <f>IF(N(A809)&gt;0,VLOOKUP(A809,Body!$A$4:$F$259,2,0),"")</f>
        <v/>
      </c>
    </row>
    <row r="810" spans="1:9">
      <c r="A810" s="58"/>
      <c r="B810" s="58">
        <f>Start.listina!O596</f>
        <v>0</v>
      </c>
      <c r="C810" s="58">
        <f>Start.listina!P596</f>
        <v>0</v>
      </c>
      <c r="D810" s="58">
        <f>Start.listina!Q596</f>
        <v>0</v>
      </c>
      <c r="E810" s="58">
        <f>Start.listina!R596</f>
        <v>0</v>
      </c>
      <c r="F810" s="58"/>
      <c r="G810" s="542"/>
      <c r="H810" s="161"/>
      <c r="I810" s="161"/>
    </row>
    <row r="811" spans="1:9">
      <c r="A811" s="58"/>
      <c r="B811" s="58">
        <f>Start.listina!U596</f>
        <v>0</v>
      </c>
      <c r="C811" s="58">
        <f>Start.listina!V596</f>
        <v>0</v>
      </c>
      <c r="D811" s="58">
        <f>Start.listina!W596</f>
        <v>0</v>
      </c>
      <c r="E811" s="58">
        <f>Start.listina!X596</f>
        <v>0</v>
      </c>
      <c r="F811" s="58"/>
      <c r="G811" s="542"/>
      <c r="H811" s="161"/>
      <c r="I811" s="161"/>
    </row>
    <row r="812" spans="1:9">
      <c r="A812" s="58"/>
      <c r="B812" s="58">
        <f>Start.listina!AA596</f>
        <v>0</v>
      </c>
      <c r="C812" s="58">
        <f>Start.listina!AB596</f>
        <v>0</v>
      </c>
      <c r="D812" s="58">
        <f>Start.listina!AC596</f>
        <v>0</v>
      </c>
      <c r="E812" s="58">
        <f>Start.listina!AD596</f>
        <v>0</v>
      </c>
      <c r="F812" s="58"/>
      <c r="G812" s="542"/>
      <c r="H812" s="161"/>
      <c r="I812" s="161"/>
    </row>
    <row r="813" spans="1:9">
      <c r="A813" s="58">
        <f>Start.listina!AH597</f>
        <v>0</v>
      </c>
      <c r="B813" s="58">
        <f>Start.listina!I597</f>
        <v>0</v>
      </c>
      <c r="C813" s="543">
        <f>Start.listina!J597</f>
        <v>0</v>
      </c>
      <c r="D813" s="58">
        <f>Start.listina!K597</f>
        <v>0</v>
      </c>
      <c r="E813" s="58">
        <f>Start.listina!L597</f>
        <v>0</v>
      </c>
      <c r="F813" s="58"/>
      <c r="G813" s="542" t="str">
        <f>IF(N(A813)&gt;0,VLOOKUP(A813,Body!$A$4:$F$259,5,0),"")</f>
        <v/>
      </c>
      <c r="H813" s="161" t="str">
        <f>IF(N(A813)&gt;0,VLOOKUP(A813,Body!$A$4:$F$259,6,0),"")</f>
        <v/>
      </c>
      <c r="I813" s="161" t="str">
        <f>IF(N(A813)&gt;0,VLOOKUP(A813,Body!$A$4:$F$259,2,0),"")</f>
        <v/>
      </c>
    </row>
    <row r="814" spans="1:9">
      <c r="A814" s="58"/>
      <c r="B814" s="58">
        <f>Start.listina!O597</f>
        <v>0</v>
      </c>
      <c r="C814" s="58">
        <f>Start.listina!P597</f>
        <v>0</v>
      </c>
      <c r="D814" s="58">
        <f>Start.listina!Q597</f>
        <v>0</v>
      </c>
      <c r="E814" s="58">
        <f>Start.listina!R597</f>
        <v>0</v>
      </c>
      <c r="F814" s="58"/>
      <c r="G814" s="542"/>
      <c r="H814" s="161"/>
      <c r="I814" s="161"/>
    </row>
    <row r="815" spans="1:9">
      <c r="A815" s="58"/>
      <c r="B815" s="58">
        <f>Start.listina!U597</f>
        <v>0</v>
      </c>
      <c r="C815" s="58">
        <f>Start.listina!V597</f>
        <v>0</v>
      </c>
      <c r="D815" s="58">
        <f>Start.listina!W597</f>
        <v>0</v>
      </c>
      <c r="E815" s="58">
        <f>Start.listina!X597</f>
        <v>0</v>
      </c>
      <c r="F815" s="58"/>
      <c r="G815" s="542"/>
      <c r="H815" s="161"/>
      <c r="I815" s="161"/>
    </row>
    <row r="816" spans="1:9">
      <c r="A816" s="58"/>
      <c r="B816" s="58">
        <f>Start.listina!AA597</f>
        <v>0</v>
      </c>
      <c r="C816" s="58">
        <f>Start.listina!AB597</f>
        <v>0</v>
      </c>
      <c r="D816" s="58">
        <f>Start.listina!AC597</f>
        <v>0</v>
      </c>
      <c r="E816" s="58">
        <f>Start.listina!AD597</f>
        <v>0</v>
      </c>
      <c r="F816" s="58"/>
      <c r="G816" s="542"/>
      <c r="H816" s="161"/>
      <c r="I816" s="161"/>
    </row>
    <row r="817" spans="1:9">
      <c r="A817" s="58">
        <f>Start.listina!AH598</f>
        <v>0</v>
      </c>
      <c r="B817" s="58">
        <f>Start.listina!I598</f>
        <v>0</v>
      </c>
      <c r="C817" s="543">
        <f>Start.listina!J598</f>
        <v>0</v>
      </c>
      <c r="D817" s="58">
        <f>Start.listina!K598</f>
        <v>0</v>
      </c>
      <c r="E817" s="58">
        <f>Start.listina!L598</f>
        <v>0</v>
      </c>
      <c r="F817" s="58"/>
      <c r="G817" s="542" t="str">
        <f>IF(N(A817)&gt;0,VLOOKUP(A817,Body!$A$4:$F$259,5,0),"")</f>
        <v/>
      </c>
      <c r="H817" s="161" t="str">
        <f>IF(N(A817)&gt;0,VLOOKUP(A817,Body!$A$4:$F$259,6,0),"")</f>
        <v/>
      </c>
      <c r="I817" s="161" t="str">
        <f>IF(N(A817)&gt;0,VLOOKUP(A817,Body!$A$4:$F$259,2,0),"")</f>
        <v/>
      </c>
    </row>
    <row r="818" spans="1:9">
      <c r="A818" s="58"/>
      <c r="B818" s="58">
        <f>Start.listina!O598</f>
        <v>0</v>
      </c>
      <c r="C818" s="58">
        <f>Start.listina!P598</f>
        <v>0</v>
      </c>
      <c r="D818" s="58">
        <f>Start.listina!Q598</f>
        <v>0</v>
      </c>
      <c r="E818" s="58">
        <f>Start.listina!R598</f>
        <v>0</v>
      </c>
      <c r="F818" s="58"/>
      <c r="G818" s="542"/>
      <c r="H818" s="161"/>
      <c r="I818" s="161"/>
    </row>
    <row r="819" spans="1:9">
      <c r="A819" s="58"/>
      <c r="B819" s="58">
        <f>Start.listina!U598</f>
        <v>0</v>
      </c>
      <c r="C819" s="58">
        <f>Start.listina!V598</f>
        <v>0</v>
      </c>
      <c r="D819" s="58">
        <f>Start.listina!W598</f>
        <v>0</v>
      </c>
      <c r="E819" s="58">
        <f>Start.listina!X598</f>
        <v>0</v>
      </c>
      <c r="F819" s="58"/>
      <c r="G819" s="542"/>
      <c r="H819" s="161"/>
      <c r="I819" s="161"/>
    </row>
    <row r="820" spans="1:9">
      <c r="A820" s="58"/>
      <c r="B820" s="58">
        <f>Start.listina!AA598</f>
        <v>0</v>
      </c>
      <c r="C820" s="58">
        <f>Start.listina!AB598</f>
        <v>0</v>
      </c>
      <c r="D820" s="58">
        <f>Start.listina!AC598</f>
        <v>0</v>
      </c>
      <c r="E820" s="58">
        <f>Start.listina!AD598</f>
        <v>0</v>
      </c>
      <c r="F820" s="58"/>
      <c r="G820" s="542"/>
      <c r="H820" s="161"/>
      <c r="I820" s="161"/>
    </row>
    <row r="821" spans="1:9">
      <c r="A821" s="58">
        <f>Start.listina!AH599</f>
        <v>0</v>
      </c>
      <c r="B821" s="58">
        <f>Start.listina!I599</f>
        <v>0</v>
      </c>
      <c r="C821" s="543">
        <f>Start.listina!J599</f>
        <v>0</v>
      </c>
      <c r="D821" s="58">
        <f>Start.listina!K599</f>
        <v>0</v>
      </c>
      <c r="E821" s="58">
        <f>Start.listina!L599</f>
        <v>0</v>
      </c>
      <c r="F821" s="58"/>
      <c r="G821" s="542" t="str">
        <f>IF(N(A821)&gt;0,VLOOKUP(A821,Body!$A$4:$F$259,5,0),"")</f>
        <v/>
      </c>
      <c r="H821" s="161" t="str">
        <f>IF(N(A821)&gt;0,VLOOKUP(A821,Body!$A$4:$F$259,6,0),"")</f>
        <v/>
      </c>
      <c r="I821" s="161" t="str">
        <f>IF(N(A821)&gt;0,VLOOKUP(A821,Body!$A$4:$F$259,2,0),"")</f>
        <v/>
      </c>
    </row>
    <row r="822" spans="1:9">
      <c r="A822" s="58"/>
      <c r="B822" s="58">
        <f>Start.listina!O599</f>
        <v>0</v>
      </c>
      <c r="C822" s="58">
        <f>Start.listina!P599</f>
        <v>0</v>
      </c>
      <c r="D822" s="58">
        <f>Start.listina!Q599</f>
        <v>0</v>
      </c>
      <c r="E822" s="58">
        <f>Start.listina!R599</f>
        <v>0</v>
      </c>
      <c r="F822" s="58"/>
      <c r="G822" s="542"/>
      <c r="H822" s="161"/>
      <c r="I822" s="161"/>
    </row>
    <row r="823" spans="1:9">
      <c r="A823" s="58"/>
      <c r="B823" s="58">
        <f>Start.listina!U599</f>
        <v>0</v>
      </c>
      <c r="C823" s="58">
        <f>Start.listina!V599</f>
        <v>0</v>
      </c>
      <c r="D823" s="58">
        <f>Start.listina!W599</f>
        <v>0</v>
      </c>
      <c r="E823" s="58">
        <f>Start.listina!X599</f>
        <v>0</v>
      </c>
      <c r="F823" s="58"/>
      <c r="G823" s="542"/>
      <c r="H823" s="161"/>
      <c r="I823" s="161"/>
    </row>
    <row r="824" spans="1:9">
      <c r="A824" s="58"/>
      <c r="B824" s="58">
        <f>Start.listina!AA599</f>
        <v>0</v>
      </c>
      <c r="C824" s="58">
        <f>Start.listina!AB599</f>
        <v>0</v>
      </c>
      <c r="D824" s="58">
        <f>Start.listina!AC599</f>
        <v>0</v>
      </c>
      <c r="E824" s="58">
        <f>Start.listina!AD599</f>
        <v>0</v>
      </c>
      <c r="F824" s="58"/>
      <c r="G824" s="542"/>
      <c r="H824" s="161"/>
      <c r="I824" s="161"/>
    </row>
    <row r="825" spans="1:9">
      <c r="A825" s="58">
        <f>Start.listina!AH600</f>
        <v>0</v>
      </c>
      <c r="B825" s="58">
        <f>Start.listina!I600</f>
        <v>0</v>
      </c>
      <c r="C825" s="543">
        <f>Start.listina!J600</f>
        <v>0</v>
      </c>
      <c r="D825" s="58">
        <f>Start.listina!K600</f>
        <v>0</v>
      </c>
      <c r="E825" s="58">
        <f>Start.listina!L600</f>
        <v>0</v>
      </c>
      <c r="F825" s="58"/>
      <c r="G825" s="542" t="str">
        <f>IF(N(A825)&gt;0,VLOOKUP(A825,Body!$A$4:$F$259,5,0),"")</f>
        <v/>
      </c>
      <c r="H825" s="161" t="str">
        <f>IF(N(A825)&gt;0,VLOOKUP(A825,Body!$A$4:$F$259,6,0),"")</f>
        <v/>
      </c>
      <c r="I825" s="161" t="str">
        <f>IF(N(A825)&gt;0,VLOOKUP(A825,Body!$A$4:$F$259,2,0),"")</f>
        <v/>
      </c>
    </row>
    <row r="826" spans="1:9">
      <c r="A826" s="58"/>
      <c r="B826" s="58">
        <f>Start.listina!O600</f>
        <v>0</v>
      </c>
      <c r="C826" s="58">
        <f>Start.listina!P600</f>
        <v>0</v>
      </c>
      <c r="D826" s="58">
        <f>Start.listina!Q600</f>
        <v>0</v>
      </c>
      <c r="E826" s="58">
        <f>Start.listina!R600</f>
        <v>0</v>
      </c>
      <c r="F826" s="58"/>
      <c r="G826" s="542"/>
      <c r="H826" s="161"/>
      <c r="I826" s="161"/>
    </row>
    <row r="827" spans="1:9">
      <c r="A827" s="58"/>
      <c r="B827" s="58">
        <f>Start.listina!U600</f>
        <v>0</v>
      </c>
      <c r="C827" s="58">
        <f>Start.listina!V600</f>
        <v>0</v>
      </c>
      <c r="D827" s="58">
        <f>Start.listina!W600</f>
        <v>0</v>
      </c>
      <c r="E827" s="58">
        <f>Start.listina!X600</f>
        <v>0</v>
      </c>
      <c r="F827" s="58"/>
      <c r="G827" s="542"/>
      <c r="H827" s="161"/>
      <c r="I827" s="161"/>
    </row>
    <row r="828" spans="1:9">
      <c r="A828" s="58"/>
      <c r="B828" s="58">
        <f>Start.listina!AA600</f>
        <v>0</v>
      </c>
      <c r="C828" s="58">
        <f>Start.listina!AB600</f>
        <v>0</v>
      </c>
      <c r="D828" s="58">
        <f>Start.listina!AC600</f>
        <v>0</v>
      </c>
      <c r="E828" s="58">
        <f>Start.listina!AD600</f>
        <v>0</v>
      </c>
      <c r="F828" s="58"/>
      <c r="G828" s="542"/>
      <c r="H828" s="161"/>
      <c r="I828" s="161"/>
    </row>
    <row r="829" spans="1:9">
      <c r="A829" s="58">
        <f>Start.listina!AH601</f>
        <v>0</v>
      </c>
      <c r="B829" s="58">
        <f>Start.listina!I601</f>
        <v>0</v>
      </c>
      <c r="C829" s="543">
        <f>Start.listina!J601</f>
        <v>0</v>
      </c>
      <c r="D829" s="58">
        <f>Start.listina!K601</f>
        <v>0</v>
      </c>
      <c r="E829" s="58">
        <f>Start.listina!L601</f>
        <v>0</v>
      </c>
      <c r="F829" s="58"/>
      <c r="G829" s="542" t="str">
        <f>IF(N(A829)&gt;0,VLOOKUP(A829,Body!$A$4:$F$259,5,0),"")</f>
        <v/>
      </c>
      <c r="H829" s="161" t="str">
        <f>IF(N(A829)&gt;0,VLOOKUP(A829,Body!$A$4:$F$259,6,0),"")</f>
        <v/>
      </c>
      <c r="I829" s="161" t="str">
        <f>IF(N(A829)&gt;0,VLOOKUP(A829,Body!$A$4:$F$259,2,0),"")</f>
        <v/>
      </c>
    </row>
    <row r="830" spans="1:9">
      <c r="A830" s="58"/>
      <c r="B830" s="58">
        <f>Start.listina!O601</f>
        <v>0</v>
      </c>
      <c r="C830" s="58">
        <f>Start.listina!P601</f>
        <v>0</v>
      </c>
      <c r="D830" s="58">
        <f>Start.listina!Q601</f>
        <v>0</v>
      </c>
      <c r="E830" s="58">
        <f>Start.listina!R601</f>
        <v>0</v>
      </c>
      <c r="F830" s="58"/>
      <c r="G830" s="542"/>
      <c r="H830" s="161"/>
      <c r="I830" s="161"/>
    </row>
    <row r="831" spans="1:9">
      <c r="A831" s="58"/>
      <c r="B831" s="58">
        <f>Start.listina!U601</f>
        <v>0</v>
      </c>
      <c r="C831" s="58">
        <f>Start.listina!V601</f>
        <v>0</v>
      </c>
      <c r="D831" s="58">
        <f>Start.listina!W601</f>
        <v>0</v>
      </c>
      <c r="E831" s="58">
        <f>Start.listina!X601</f>
        <v>0</v>
      </c>
      <c r="F831" s="58"/>
      <c r="G831" s="542"/>
      <c r="H831" s="161"/>
      <c r="I831" s="161"/>
    </row>
    <row r="832" spans="1:9">
      <c r="A832" s="58"/>
      <c r="B832" s="58">
        <f>Start.listina!AA601</f>
        <v>0</v>
      </c>
      <c r="C832" s="58">
        <f>Start.listina!AB601</f>
        <v>0</v>
      </c>
      <c r="D832" s="58">
        <f>Start.listina!AC601</f>
        <v>0</v>
      </c>
      <c r="E832" s="58">
        <f>Start.listina!AD601</f>
        <v>0</v>
      </c>
      <c r="F832" s="58"/>
      <c r="G832" s="542"/>
      <c r="H832" s="161"/>
      <c r="I832" s="161"/>
    </row>
    <row r="833" spans="1:9">
      <c r="A833" s="58">
        <f>Start.listina!AH602</f>
        <v>0</v>
      </c>
      <c r="B833" s="58">
        <f>Start.listina!I602</f>
        <v>0</v>
      </c>
      <c r="C833" s="543">
        <f>Start.listina!J602</f>
        <v>0</v>
      </c>
      <c r="D833" s="58">
        <f>Start.listina!K602</f>
        <v>0</v>
      </c>
      <c r="E833" s="58">
        <f>Start.listina!L602</f>
        <v>0</v>
      </c>
      <c r="F833" s="58"/>
      <c r="G833" s="542" t="str">
        <f>IF(N(A833)&gt;0,VLOOKUP(A833,Body!$A$4:$F$259,5,0),"")</f>
        <v/>
      </c>
      <c r="H833" s="161" t="str">
        <f>IF(N(A833)&gt;0,VLOOKUP(A833,Body!$A$4:$F$259,6,0),"")</f>
        <v/>
      </c>
      <c r="I833" s="161" t="str">
        <f>IF(N(A833)&gt;0,VLOOKUP(A833,Body!$A$4:$F$259,2,0),"")</f>
        <v/>
      </c>
    </row>
    <row r="834" spans="1:9">
      <c r="A834" s="58"/>
      <c r="B834" s="58">
        <f>Start.listina!O602</f>
        <v>0</v>
      </c>
      <c r="C834" s="58">
        <f>Start.listina!P602</f>
        <v>0</v>
      </c>
      <c r="D834" s="58">
        <f>Start.listina!Q602</f>
        <v>0</v>
      </c>
      <c r="E834" s="58">
        <f>Start.listina!R602</f>
        <v>0</v>
      </c>
      <c r="F834" s="58"/>
      <c r="G834" s="542"/>
      <c r="H834" s="161"/>
      <c r="I834" s="161"/>
    </row>
    <row r="835" spans="1:9">
      <c r="A835" s="58"/>
      <c r="B835" s="58">
        <f>Start.listina!U602</f>
        <v>0</v>
      </c>
      <c r="C835" s="58">
        <f>Start.listina!V602</f>
        <v>0</v>
      </c>
      <c r="D835" s="58">
        <f>Start.listina!W602</f>
        <v>0</v>
      </c>
      <c r="E835" s="58">
        <f>Start.listina!X602</f>
        <v>0</v>
      </c>
      <c r="F835" s="58"/>
      <c r="G835" s="542"/>
      <c r="H835" s="161"/>
      <c r="I835" s="161"/>
    </row>
    <row r="836" spans="1:9">
      <c r="A836" s="58"/>
      <c r="B836" s="58">
        <f>Start.listina!AA602</f>
        <v>0</v>
      </c>
      <c r="C836" s="58">
        <f>Start.listina!AB602</f>
        <v>0</v>
      </c>
      <c r="D836" s="58">
        <f>Start.listina!AC602</f>
        <v>0</v>
      </c>
      <c r="E836" s="58">
        <f>Start.listina!AD602</f>
        <v>0</v>
      </c>
      <c r="F836" s="58"/>
      <c r="G836" s="542"/>
      <c r="H836" s="161"/>
      <c r="I836" s="161"/>
    </row>
    <row r="837" spans="1:9">
      <c r="A837" s="58">
        <f>Start.listina!AH603</f>
        <v>0</v>
      </c>
      <c r="B837" s="58">
        <f>Start.listina!I603</f>
        <v>0</v>
      </c>
      <c r="C837" s="543">
        <f>Start.listina!J603</f>
        <v>0</v>
      </c>
      <c r="D837" s="58">
        <f>Start.listina!K603</f>
        <v>0</v>
      </c>
      <c r="E837" s="58">
        <f>Start.listina!L603</f>
        <v>0</v>
      </c>
      <c r="F837" s="58"/>
      <c r="G837" s="542" t="str">
        <f>IF(N(A837)&gt;0,VLOOKUP(A837,Body!$A$4:$F$259,5,0),"")</f>
        <v/>
      </c>
      <c r="H837" s="161" t="str">
        <f>IF(N(A837)&gt;0,VLOOKUP(A837,Body!$A$4:$F$259,6,0),"")</f>
        <v/>
      </c>
      <c r="I837" s="161" t="str">
        <f>IF(N(A837)&gt;0,VLOOKUP(A837,Body!$A$4:$F$259,2,0),"")</f>
        <v/>
      </c>
    </row>
    <row r="838" spans="1:9">
      <c r="A838" s="58"/>
      <c r="B838" s="58">
        <f>Start.listina!O603</f>
        <v>0</v>
      </c>
      <c r="C838" s="58">
        <f>Start.listina!P603</f>
        <v>0</v>
      </c>
      <c r="D838" s="58">
        <f>Start.listina!Q603</f>
        <v>0</v>
      </c>
      <c r="E838" s="58">
        <f>Start.listina!R603</f>
        <v>0</v>
      </c>
      <c r="F838" s="58"/>
      <c r="G838" s="542"/>
      <c r="H838" s="161"/>
      <c r="I838" s="161"/>
    </row>
    <row r="839" spans="1:9">
      <c r="A839" s="58"/>
      <c r="B839" s="58">
        <f>Start.listina!U603</f>
        <v>0</v>
      </c>
      <c r="C839" s="58">
        <f>Start.listina!V603</f>
        <v>0</v>
      </c>
      <c r="D839" s="58">
        <f>Start.listina!W603</f>
        <v>0</v>
      </c>
      <c r="E839" s="58">
        <f>Start.listina!X603</f>
        <v>0</v>
      </c>
      <c r="F839" s="58"/>
      <c r="G839" s="542"/>
      <c r="H839" s="161"/>
      <c r="I839" s="161"/>
    </row>
    <row r="840" spans="1:9">
      <c r="A840" s="58"/>
      <c r="B840" s="58">
        <f>Start.listina!AA603</f>
        <v>0</v>
      </c>
      <c r="C840" s="58">
        <f>Start.listina!AB603</f>
        <v>0</v>
      </c>
      <c r="D840" s="58">
        <f>Start.listina!AC603</f>
        <v>0</v>
      </c>
      <c r="E840" s="58">
        <f>Start.listina!AD603</f>
        <v>0</v>
      </c>
      <c r="F840" s="58"/>
      <c r="G840" s="542"/>
      <c r="H840" s="161"/>
      <c r="I840" s="161"/>
    </row>
    <row r="841" spans="1:9">
      <c r="A841" s="58">
        <f>Start.listina!AH604</f>
        <v>0</v>
      </c>
      <c r="B841" s="58">
        <f>Start.listina!I604</f>
        <v>0</v>
      </c>
      <c r="C841" s="543">
        <f>Start.listina!J604</f>
        <v>0</v>
      </c>
      <c r="D841" s="58">
        <f>Start.listina!K604</f>
        <v>0</v>
      </c>
      <c r="E841" s="58">
        <f>Start.listina!L604</f>
        <v>0</v>
      </c>
      <c r="F841" s="58"/>
      <c r="G841" s="542" t="str">
        <f>IF(N(A841)&gt;0,VLOOKUP(A841,Body!$A$4:$F$259,5,0),"")</f>
        <v/>
      </c>
      <c r="H841" s="161" t="str">
        <f>IF(N(A841)&gt;0,VLOOKUP(A841,Body!$A$4:$F$259,6,0),"")</f>
        <v/>
      </c>
      <c r="I841" s="161" t="str">
        <f>IF(N(A841)&gt;0,VLOOKUP(A841,Body!$A$4:$F$259,2,0),"")</f>
        <v/>
      </c>
    </row>
    <row r="842" spans="1:9">
      <c r="A842" s="58"/>
      <c r="B842" s="58">
        <f>Start.listina!O604</f>
        <v>0</v>
      </c>
      <c r="C842" s="58">
        <f>Start.listina!P604</f>
        <v>0</v>
      </c>
      <c r="D842" s="58">
        <f>Start.listina!Q604</f>
        <v>0</v>
      </c>
      <c r="E842" s="58">
        <f>Start.listina!R604</f>
        <v>0</v>
      </c>
      <c r="F842" s="58"/>
      <c r="G842" s="542"/>
      <c r="H842" s="161"/>
      <c r="I842" s="161"/>
    </row>
    <row r="843" spans="1:9">
      <c r="A843" s="58"/>
      <c r="B843" s="58">
        <f>Start.listina!U604</f>
        <v>0</v>
      </c>
      <c r="C843" s="58">
        <f>Start.listina!V604</f>
        <v>0</v>
      </c>
      <c r="D843" s="58">
        <f>Start.listina!W604</f>
        <v>0</v>
      </c>
      <c r="E843" s="58">
        <f>Start.listina!X604</f>
        <v>0</v>
      </c>
      <c r="F843" s="58"/>
      <c r="G843" s="542"/>
      <c r="H843" s="161"/>
      <c r="I843" s="161"/>
    </row>
    <row r="844" spans="1:9">
      <c r="A844" s="58"/>
      <c r="B844" s="58">
        <f>Start.listina!AA604</f>
        <v>0</v>
      </c>
      <c r="C844" s="58">
        <f>Start.listina!AB604</f>
        <v>0</v>
      </c>
      <c r="D844" s="58">
        <f>Start.listina!AC604</f>
        <v>0</v>
      </c>
      <c r="E844" s="58">
        <f>Start.listina!AD604</f>
        <v>0</v>
      </c>
      <c r="F844" s="58"/>
      <c r="G844" s="542"/>
      <c r="H844" s="161"/>
      <c r="I844" s="161"/>
    </row>
    <row r="845" spans="1:9">
      <c r="A845" s="58">
        <f>Start.listina!AH605</f>
        <v>0</v>
      </c>
      <c r="B845" s="58">
        <f>Start.listina!I605</f>
        <v>0</v>
      </c>
      <c r="C845" s="543">
        <f>Start.listina!J605</f>
        <v>0</v>
      </c>
      <c r="D845" s="58">
        <f>Start.listina!K605</f>
        <v>0</v>
      </c>
      <c r="E845" s="58">
        <f>Start.listina!L605</f>
        <v>0</v>
      </c>
      <c r="F845" s="58"/>
      <c r="G845" s="542" t="str">
        <f>IF(N(A845)&gt;0,VLOOKUP(A845,Body!$A$4:$F$259,5,0),"")</f>
        <v/>
      </c>
      <c r="H845" s="161" t="str">
        <f>IF(N(A845)&gt;0,VLOOKUP(A845,Body!$A$4:$F$259,6,0),"")</f>
        <v/>
      </c>
      <c r="I845" s="161" t="str">
        <f>IF(N(A845)&gt;0,VLOOKUP(A845,Body!$A$4:$F$259,2,0),"")</f>
        <v/>
      </c>
    </row>
    <row r="846" spans="1:9">
      <c r="A846" s="58"/>
      <c r="B846" s="58">
        <f>Start.listina!O605</f>
        <v>0</v>
      </c>
      <c r="C846" s="58">
        <f>Start.listina!P605</f>
        <v>0</v>
      </c>
      <c r="D846" s="58">
        <f>Start.listina!Q605</f>
        <v>0</v>
      </c>
      <c r="E846" s="58">
        <f>Start.listina!R605</f>
        <v>0</v>
      </c>
      <c r="F846" s="58"/>
      <c r="G846" s="542"/>
      <c r="H846" s="161"/>
      <c r="I846" s="161"/>
    </row>
    <row r="847" spans="1:9">
      <c r="A847" s="58"/>
      <c r="B847" s="58">
        <f>Start.listina!U605</f>
        <v>0</v>
      </c>
      <c r="C847" s="58">
        <f>Start.listina!V605</f>
        <v>0</v>
      </c>
      <c r="D847" s="58">
        <f>Start.listina!W605</f>
        <v>0</v>
      </c>
      <c r="E847" s="58">
        <f>Start.listina!X605</f>
        <v>0</v>
      </c>
      <c r="F847" s="58"/>
      <c r="G847" s="542"/>
      <c r="H847" s="161"/>
      <c r="I847" s="161"/>
    </row>
    <row r="848" spans="1:9">
      <c r="A848" s="58"/>
      <c r="B848" s="58">
        <f>Start.listina!AA605</f>
        <v>0</v>
      </c>
      <c r="C848" s="58">
        <f>Start.listina!AB605</f>
        <v>0</v>
      </c>
      <c r="D848" s="58">
        <f>Start.listina!AC605</f>
        <v>0</v>
      </c>
      <c r="E848" s="58">
        <f>Start.listina!AD605</f>
        <v>0</v>
      </c>
      <c r="F848" s="58"/>
      <c r="G848" s="542"/>
      <c r="H848" s="161"/>
      <c r="I848" s="161"/>
    </row>
    <row r="849" spans="1:9">
      <c r="A849" s="58">
        <f>Start.listina!AH606</f>
        <v>0</v>
      </c>
      <c r="B849" s="58">
        <f>Start.listina!I606</f>
        <v>0</v>
      </c>
      <c r="C849" s="543">
        <f>Start.listina!J606</f>
        <v>0</v>
      </c>
      <c r="D849" s="58">
        <f>Start.listina!K606</f>
        <v>0</v>
      </c>
      <c r="E849" s="58">
        <f>Start.listina!L606</f>
        <v>0</v>
      </c>
      <c r="F849" s="58"/>
      <c r="G849" s="542" t="str">
        <f>IF(N(A849)&gt;0,VLOOKUP(A849,Body!$A$4:$F$259,5,0),"")</f>
        <v/>
      </c>
      <c r="H849" s="161" t="str">
        <f>IF(N(A849)&gt;0,VLOOKUP(A849,Body!$A$4:$F$259,6,0),"")</f>
        <v/>
      </c>
      <c r="I849" s="161" t="str">
        <f>IF(N(A849)&gt;0,VLOOKUP(A849,Body!$A$4:$F$259,2,0),"")</f>
        <v/>
      </c>
    </row>
    <row r="850" spans="1:9">
      <c r="A850" s="58"/>
      <c r="B850" s="58">
        <f>Start.listina!O606</f>
        <v>0</v>
      </c>
      <c r="C850" s="58">
        <f>Start.listina!P606</f>
        <v>0</v>
      </c>
      <c r="D850" s="58">
        <f>Start.listina!Q606</f>
        <v>0</v>
      </c>
      <c r="E850" s="58">
        <f>Start.listina!R606</f>
        <v>0</v>
      </c>
      <c r="F850" s="58"/>
      <c r="G850" s="542"/>
      <c r="H850" s="161"/>
      <c r="I850" s="161"/>
    </row>
    <row r="851" spans="1:9">
      <c r="A851" s="58"/>
      <c r="B851" s="58">
        <f>Start.listina!U606</f>
        <v>0</v>
      </c>
      <c r="C851" s="58">
        <f>Start.listina!V606</f>
        <v>0</v>
      </c>
      <c r="D851" s="58">
        <f>Start.listina!W606</f>
        <v>0</v>
      </c>
      <c r="E851" s="58">
        <f>Start.listina!X606</f>
        <v>0</v>
      </c>
      <c r="F851" s="58"/>
      <c r="G851" s="542"/>
      <c r="H851" s="161"/>
      <c r="I851" s="161"/>
    </row>
    <row r="852" spans="1:9">
      <c r="A852" s="58"/>
      <c r="B852" s="58">
        <f>Start.listina!AA606</f>
        <v>0</v>
      </c>
      <c r="C852" s="58">
        <f>Start.listina!AB606</f>
        <v>0</v>
      </c>
      <c r="D852" s="58">
        <f>Start.listina!AC606</f>
        <v>0</v>
      </c>
      <c r="E852" s="58">
        <f>Start.listina!AD606</f>
        <v>0</v>
      </c>
      <c r="F852" s="58"/>
      <c r="G852" s="542"/>
      <c r="H852" s="161"/>
      <c r="I852" s="161"/>
    </row>
    <row r="853" spans="1:9">
      <c r="A853" s="58">
        <f>Start.listina!AH607</f>
        <v>0</v>
      </c>
      <c r="B853" s="58">
        <f>Start.listina!I607</f>
        <v>0</v>
      </c>
      <c r="C853" s="543">
        <f>Start.listina!J607</f>
        <v>0</v>
      </c>
      <c r="D853" s="58">
        <f>Start.listina!K607</f>
        <v>0</v>
      </c>
      <c r="E853" s="58">
        <f>Start.listina!L607</f>
        <v>0</v>
      </c>
      <c r="F853" s="58"/>
      <c r="G853" s="542" t="str">
        <f>IF(N(A853)&gt;0,VLOOKUP(A853,Body!$A$4:$F$259,5,0),"")</f>
        <v/>
      </c>
      <c r="H853" s="161" t="str">
        <f>IF(N(A853)&gt;0,VLOOKUP(A853,Body!$A$4:$F$259,6,0),"")</f>
        <v/>
      </c>
      <c r="I853" s="161" t="str">
        <f>IF(N(A853)&gt;0,VLOOKUP(A853,Body!$A$4:$F$259,2,0),"")</f>
        <v/>
      </c>
    </row>
    <row r="854" spans="1:9">
      <c r="A854" s="58"/>
      <c r="B854" s="58">
        <f>Start.listina!O607</f>
        <v>0</v>
      </c>
      <c r="C854" s="58">
        <f>Start.listina!P607</f>
        <v>0</v>
      </c>
      <c r="D854" s="58">
        <f>Start.listina!Q607</f>
        <v>0</v>
      </c>
      <c r="E854" s="58">
        <f>Start.listina!R607</f>
        <v>0</v>
      </c>
      <c r="F854" s="58"/>
      <c r="G854" s="542"/>
      <c r="H854" s="161"/>
      <c r="I854" s="161"/>
    </row>
    <row r="855" spans="1:9">
      <c r="A855" s="58"/>
      <c r="B855" s="58">
        <f>Start.listina!U607</f>
        <v>0</v>
      </c>
      <c r="C855" s="58">
        <f>Start.listina!V607</f>
        <v>0</v>
      </c>
      <c r="D855" s="58">
        <f>Start.listina!W607</f>
        <v>0</v>
      </c>
      <c r="E855" s="58">
        <f>Start.listina!X607</f>
        <v>0</v>
      </c>
      <c r="F855" s="58"/>
      <c r="G855" s="542"/>
      <c r="H855" s="161"/>
      <c r="I855" s="161"/>
    </row>
    <row r="856" spans="1:9">
      <c r="A856" s="58"/>
      <c r="B856" s="58">
        <f>Start.listina!AA607</f>
        <v>0</v>
      </c>
      <c r="C856" s="58">
        <f>Start.listina!AB607</f>
        <v>0</v>
      </c>
      <c r="D856" s="58">
        <f>Start.listina!AC607</f>
        <v>0</v>
      </c>
      <c r="E856" s="58">
        <f>Start.listina!AD607</f>
        <v>0</v>
      </c>
      <c r="F856" s="58"/>
      <c r="G856" s="542"/>
      <c r="H856" s="161"/>
      <c r="I856" s="161"/>
    </row>
    <row r="857" spans="1:9">
      <c r="A857" s="58">
        <f>Start.listina!AH608</f>
        <v>0</v>
      </c>
      <c r="B857" s="58">
        <f>Start.listina!I608</f>
        <v>0</v>
      </c>
      <c r="C857" s="543">
        <f>Start.listina!J608</f>
        <v>0</v>
      </c>
      <c r="D857" s="58">
        <f>Start.listina!K608</f>
        <v>0</v>
      </c>
      <c r="E857" s="58">
        <f>Start.listina!L608</f>
        <v>0</v>
      </c>
      <c r="F857" s="58"/>
      <c r="G857" s="542" t="str">
        <f>IF(N(A857)&gt;0,VLOOKUP(A857,Body!$A$4:$F$259,5,0),"")</f>
        <v/>
      </c>
      <c r="H857" s="161" t="str">
        <f>IF(N(A857)&gt;0,VLOOKUP(A857,Body!$A$4:$F$259,6,0),"")</f>
        <v/>
      </c>
      <c r="I857" s="161" t="str">
        <f>IF(N(A857)&gt;0,VLOOKUP(A857,Body!$A$4:$F$259,2,0),"")</f>
        <v/>
      </c>
    </row>
    <row r="858" spans="1:9">
      <c r="A858" s="58"/>
      <c r="B858" s="58">
        <f>Start.listina!O608</f>
        <v>0</v>
      </c>
      <c r="C858" s="58">
        <f>Start.listina!P608</f>
        <v>0</v>
      </c>
      <c r="D858" s="58">
        <f>Start.listina!Q608</f>
        <v>0</v>
      </c>
      <c r="E858" s="58">
        <f>Start.listina!R608</f>
        <v>0</v>
      </c>
      <c r="F858" s="58"/>
      <c r="G858" s="542"/>
      <c r="H858" s="161"/>
      <c r="I858" s="161"/>
    </row>
    <row r="859" spans="1:9">
      <c r="A859" s="58"/>
      <c r="B859" s="58">
        <f>Start.listina!U608</f>
        <v>0</v>
      </c>
      <c r="C859" s="58">
        <f>Start.listina!V608</f>
        <v>0</v>
      </c>
      <c r="D859" s="58">
        <f>Start.listina!W608</f>
        <v>0</v>
      </c>
      <c r="E859" s="58">
        <f>Start.listina!X608</f>
        <v>0</v>
      </c>
      <c r="F859" s="58"/>
      <c r="G859" s="542"/>
      <c r="H859" s="161"/>
      <c r="I859" s="161"/>
    </row>
    <row r="860" spans="1:9">
      <c r="A860" s="58"/>
      <c r="B860" s="58">
        <f>Start.listina!AA608</f>
        <v>0</v>
      </c>
      <c r="C860" s="58">
        <f>Start.listina!AB608</f>
        <v>0</v>
      </c>
      <c r="D860" s="58">
        <f>Start.listina!AC608</f>
        <v>0</v>
      </c>
      <c r="E860" s="58">
        <f>Start.listina!AD608</f>
        <v>0</v>
      </c>
      <c r="F860" s="58"/>
      <c r="G860" s="542"/>
      <c r="H860" s="161"/>
      <c r="I860" s="161"/>
    </row>
    <row r="861" spans="1:9">
      <c r="A861" s="58">
        <f>Start.listina!AH609</f>
        <v>0</v>
      </c>
      <c r="B861" s="58">
        <f>Start.listina!I609</f>
        <v>0</v>
      </c>
      <c r="C861" s="543">
        <f>Start.listina!J609</f>
        <v>0</v>
      </c>
      <c r="D861" s="58">
        <f>Start.listina!K609</f>
        <v>0</v>
      </c>
      <c r="E861" s="58">
        <f>Start.listina!L609</f>
        <v>0</v>
      </c>
      <c r="F861" s="58"/>
      <c r="G861" s="542" t="str">
        <f>IF(N(A861)&gt;0,VLOOKUP(A861,Body!$A$4:$F$259,5,0),"")</f>
        <v/>
      </c>
      <c r="H861" s="161" t="str">
        <f>IF(N(A861)&gt;0,VLOOKUP(A861,Body!$A$4:$F$259,6,0),"")</f>
        <v/>
      </c>
      <c r="I861" s="161" t="str">
        <f>IF(N(A861)&gt;0,VLOOKUP(A861,Body!$A$4:$F$259,2,0),"")</f>
        <v/>
      </c>
    </row>
    <row r="862" spans="1:9">
      <c r="A862" s="58"/>
      <c r="B862" s="58">
        <f>Start.listina!O609</f>
        <v>0</v>
      </c>
      <c r="C862" s="58">
        <f>Start.listina!P609</f>
        <v>0</v>
      </c>
      <c r="D862" s="58">
        <f>Start.listina!Q609</f>
        <v>0</v>
      </c>
      <c r="E862" s="58">
        <f>Start.listina!R609</f>
        <v>0</v>
      </c>
      <c r="F862" s="58"/>
      <c r="G862" s="542"/>
      <c r="H862" s="161"/>
      <c r="I862" s="161"/>
    </row>
    <row r="863" spans="1:9">
      <c r="A863" s="58"/>
      <c r="B863" s="58">
        <f>Start.listina!U609</f>
        <v>0</v>
      </c>
      <c r="C863" s="58">
        <f>Start.listina!V609</f>
        <v>0</v>
      </c>
      <c r="D863" s="58">
        <f>Start.listina!W609</f>
        <v>0</v>
      </c>
      <c r="E863" s="58">
        <f>Start.listina!X609</f>
        <v>0</v>
      </c>
      <c r="F863" s="58"/>
      <c r="G863" s="542"/>
      <c r="H863" s="161"/>
      <c r="I863" s="161"/>
    </row>
    <row r="864" spans="1:9">
      <c r="A864" s="58"/>
      <c r="B864" s="58">
        <f>Start.listina!AA609</f>
        <v>0</v>
      </c>
      <c r="C864" s="58">
        <f>Start.listina!AB609</f>
        <v>0</v>
      </c>
      <c r="D864" s="58">
        <f>Start.listina!AC609</f>
        <v>0</v>
      </c>
      <c r="E864" s="58">
        <f>Start.listina!AD609</f>
        <v>0</v>
      </c>
      <c r="F864" s="58"/>
      <c r="G864" s="542"/>
      <c r="H864" s="161"/>
      <c r="I864" s="161"/>
    </row>
    <row r="865" spans="1:9">
      <c r="A865" s="58">
        <f>Start.listina!AH610</f>
        <v>0</v>
      </c>
      <c r="B865" s="58">
        <f>Start.listina!I610</f>
        <v>0</v>
      </c>
      <c r="C865" s="543">
        <f>Start.listina!J610</f>
        <v>0</v>
      </c>
      <c r="D865" s="58">
        <f>Start.listina!K610</f>
        <v>0</v>
      </c>
      <c r="E865" s="58">
        <f>Start.listina!L610</f>
        <v>0</v>
      </c>
      <c r="F865" s="58"/>
      <c r="G865" s="542" t="str">
        <f>IF(N(A865)&gt;0,VLOOKUP(A865,Body!$A$4:$F$259,5,0),"")</f>
        <v/>
      </c>
      <c r="H865" s="161" t="str">
        <f>IF(N(A865)&gt;0,VLOOKUP(A865,Body!$A$4:$F$259,6,0),"")</f>
        <v/>
      </c>
      <c r="I865" s="161" t="str">
        <f>IF(N(A865)&gt;0,VLOOKUP(A865,Body!$A$4:$F$259,2,0),"")</f>
        <v/>
      </c>
    </row>
    <row r="866" spans="1:9">
      <c r="A866" s="58"/>
      <c r="B866" s="58">
        <f>Start.listina!O610</f>
        <v>0</v>
      </c>
      <c r="C866" s="58">
        <f>Start.listina!P610</f>
        <v>0</v>
      </c>
      <c r="D866" s="58">
        <f>Start.listina!Q610</f>
        <v>0</v>
      </c>
      <c r="E866" s="58">
        <f>Start.listina!R610</f>
        <v>0</v>
      </c>
      <c r="F866" s="58"/>
      <c r="G866" s="542"/>
      <c r="H866" s="161"/>
      <c r="I866" s="161"/>
    </row>
    <row r="867" spans="1:9">
      <c r="A867" s="58"/>
      <c r="B867" s="58">
        <f>Start.listina!U610</f>
        <v>0</v>
      </c>
      <c r="C867" s="58">
        <f>Start.listina!V610</f>
        <v>0</v>
      </c>
      <c r="D867" s="58">
        <f>Start.listina!W610</f>
        <v>0</v>
      </c>
      <c r="E867" s="58">
        <f>Start.listina!X610</f>
        <v>0</v>
      </c>
      <c r="F867" s="58"/>
      <c r="G867" s="542"/>
      <c r="H867" s="161"/>
      <c r="I867" s="161"/>
    </row>
    <row r="868" spans="1:9">
      <c r="A868" s="58"/>
      <c r="B868" s="58">
        <f>Start.listina!AA610</f>
        <v>0</v>
      </c>
      <c r="C868" s="58">
        <f>Start.listina!AB610</f>
        <v>0</v>
      </c>
      <c r="D868" s="58">
        <f>Start.listina!AC610</f>
        <v>0</v>
      </c>
      <c r="E868" s="58">
        <f>Start.listina!AD610</f>
        <v>0</v>
      </c>
      <c r="F868" s="58"/>
      <c r="G868" s="542"/>
      <c r="H868" s="161"/>
      <c r="I868" s="161"/>
    </row>
    <row r="869" spans="1:9">
      <c r="A869" s="58">
        <f>Start.listina!AH611</f>
        <v>0</v>
      </c>
      <c r="B869" s="58">
        <f>Start.listina!I611</f>
        <v>0</v>
      </c>
      <c r="C869" s="543">
        <f>Start.listina!J611</f>
        <v>0</v>
      </c>
      <c r="D869" s="58">
        <f>Start.listina!K611</f>
        <v>0</v>
      </c>
      <c r="E869" s="58">
        <f>Start.listina!L611</f>
        <v>0</v>
      </c>
      <c r="F869" s="58"/>
      <c r="G869" s="542" t="str">
        <f>IF(N(A869)&gt;0,VLOOKUP(A869,Body!$A$4:$F$259,5,0),"")</f>
        <v/>
      </c>
      <c r="H869" s="161" t="str">
        <f>IF(N(A869)&gt;0,VLOOKUP(A869,Body!$A$4:$F$259,6,0),"")</f>
        <v/>
      </c>
      <c r="I869" s="161" t="str">
        <f>IF(N(A869)&gt;0,VLOOKUP(A869,Body!$A$4:$F$259,2,0),"")</f>
        <v/>
      </c>
    </row>
    <row r="870" spans="1:9">
      <c r="A870" s="58"/>
      <c r="B870" s="58">
        <f>Start.listina!O611</f>
        <v>0</v>
      </c>
      <c r="C870" s="58">
        <f>Start.listina!P611</f>
        <v>0</v>
      </c>
      <c r="D870" s="58">
        <f>Start.listina!Q611</f>
        <v>0</v>
      </c>
      <c r="E870" s="58">
        <f>Start.listina!R611</f>
        <v>0</v>
      </c>
      <c r="F870" s="58"/>
      <c r="G870" s="542"/>
      <c r="H870" s="161"/>
      <c r="I870" s="161"/>
    </row>
    <row r="871" spans="1:9">
      <c r="A871" s="58"/>
      <c r="B871" s="58">
        <f>Start.listina!U611</f>
        <v>0</v>
      </c>
      <c r="C871" s="58">
        <f>Start.listina!V611</f>
        <v>0</v>
      </c>
      <c r="D871" s="58">
        <f>Start.listina!W611</f>
        <v>0</v>
      </c>
      <c r="E871" s="58">
        <f>Start.listina!X611</f>
        <v>0</v>
      </c>
      <c r="F871" s="58"/>
      <c r="G871" s="542"/>
      <c r="H871" s="161"/>
      <c r="I871" s="161"/>
    </row>
    <row r="872" spans="1:9">
      <c r="A872" s="58"/>
      <c r="B872" s="58">
        <f>Start.listina!AA611</f>
        <v>0</v>
      </c>
      <c r="C872" s="58">
        <f>Start.listina!AB611</f>
        <v>0</v>
      </c>
      <c r="D872" s="58">
        <f>Start.listina!AC611</f>
        <v>0</v>
      </c>
      <c r="E872" s="58">
        <f>Start.listina!AD611</f>
        <v>0</v>
      </c>
      <c r="F872" s="58"/>
      <c r="G872" s="542"/>
      <c r="H872" s="161"/>
      <c r="I872" s="161"/>
    </row>
    <row r="873" spans="1:9">
      <c r="A873" s="58">
        <f>Start.listina!AH612</f>
        <v>0</v>
      </c>
      <c r="B873" s="58">
        <f>Start.listina!I612</f>
        <v>0</v>
      </c>
      <c r="C873" s="543">
        <f>Start.listina!J612</f>
        <v>0</v>
      </c>
      <c r="D873" s="58">
        <f>Start.listina!K612</f>
        <v>0</v>
      </c>
      <c r="E873" s="58">
        <f>Start.listina!L612</f>
        <v>0</v>
      </c>
      <c r="F873" s="58"/>
      <c r="G873" s="542" t="str">
        <f>IF(N(A873)&gt;0,VLOOKUP(A873,Body!$A$4:$F$259,5,0),"")</f>
        <v/>
      </c>
      <c r="H873" s="161" t="str">
        <f>IF(N(A873)&gt;0,VLOOKUP(A873,Body!$A$4:$F$259,6,0),"")</f>
        <v/>
      </c>
      <c r="I873" s="161" t="str">
        <f>IF(N(A873)&gt;0,VLOOKUP(A873,Body!$A$4:$F$259,2,0),"")</f>
        <v/>
      </c>
    </row>
    <row r="874" spans="1:9">
      <c r="A874" s="58"/>
      <c r="B874" s="58">
        <f>Start.listina!O612</f>
        <v>0</v>
      </c>
      <c r="C874" s="58">
        <f>Start.listina!P612</f>
        <v>0</v>
      </c>
      <c r="D874" s="58">
        <f>Start.listina!Q612</f>
        <v>0</v>
      </c>
      <c r="E874" s="58">
        <f>Start.listina!R612</f>
        <v>0</v>
      </c>
      <c r="F874" s="58"/>
      <c r="G874" s="542"/>
      <c r="H874" s="161"/>
      <c r="I874" s="161"/>
    </row>
    <row r="875" spans="1:9">
      <c r="A875" s="58"/>
      <c r="B875" s="58">
        <f>Start.listina!U612</f>
        <v>0</v>
      </c>
      <c r="C875" s="58">
        <f>Start.listina!V612</f>
        <v>0</v>
      </c>
      <c r="D875" s="58">
        <f>Start.listina!W612</f>
        <v>0</v>
      </c>
      <c r="E875" s="58">
        <f>Start.listina!X612</f>
        <v>0</v>
      </c>
      <c r="F875" s="58"/>
      <c r="G875" s="542"/>
      <c r="H875" s="161"/>
      <c r="I875" s="161"/>
    </row>
    <row r="876" spans="1:9">
      <c r="A876" s="58"/>
      <c r="B876" s="58">
        <f>Start.listina!AA612</f>
        <v>0</v>
      </c>
      <c r="C876" s="58">
        <f>Start.listina!AB612</f>
        <v>0</v>
      </c>
      <c r="D876" s="58">
        <f>Start.listina!AC612</f>
        <v>0</v>
      </c>
      <c r="E876" s="58">
        <f>Start.listina!AD612</f>
        <v>0</v>
      </c>
      <c r="F876" s="58"/>
      <c r="G876" s="542"/>
      <c r="H876" s="161"/>
      <c r="I876" s="161"/>
    </row>
    <row r="877" spans="1:9">
      <c r="A877" s="58">
        <f>Start.listina!AH613</f>
        <v>0</v>
      </c>
      <c r="B877" s="58">
        <f>Start.listina!I613</f>
        <v>0</v>
      </c>
      <c r="C877" s="543">
        <f>Start.listina!J613</f>
        <v>0</v>
      </c>
      <c r="D877" s="58">
        <f>Start.listina!K613</f>
        <v>0</v>
      </c>
      <c r="E877" s="58">
        <f>Start.listina!L613</f>
        <v>0</v>
      </c>
      <c r="F877" s="58"/>
      <c r="G877" s="542" t="str">
        <f>IF(N(A877)&gt;0,VLOOKUP(A877,Body!$A$4:$F$259,5,0),"")</f>
        <v/>
      </c>
      <c r="H877" s="161" t="str">
        <f>IF(N(A877)&gt;0,VLOOKUP(A877,Body!$A$4:$F$259,6,0),"")</f>
        <v/>
      </c>
      <c r="I877" s="161" t="str">
        <f>IF(N(A877)&gt;0,VLOOKUP(A877,Body!$A$4:$F$259,2,0),"")</f>
        <v/>
      </c>
    </row>
    <row r="878" spans="1:9">
      <c r="A878" s="58"/>
      <c r="B878" s="58">
        <f>Start.listina!O613</f>
        <v>0</v>
      </c>
      <c r="C878" s="58">
        <f>Start.listina!P613</f>
        <v>0</v>
      </c>
      <c r="D878" s="58">
        <f>Start.listina!Q613</f>
        <v>0</v>
      </c>
      <c r="E878" s="58">
        <f>Start.listina!R613</f>
        <v>0</v>
      </c>
      <c r="F878" s="58"/>
      <c r="G878" s="542"/>
      <c r="H878" s="161"/>
      <c r="I878" s="161"/>
    </row>
    <row r="879" spans="1:9">
      <c r="A879" s="58"/>
      <c r="B879" s="58">
        <f>Start.listina!U613</f>
        <v>0</v>
      </c>
      <c r="C879" s="58">
        <f>Start.listina!V613</f>
        <v>0</v>
      </c>
      <c r="D879" s="58">
        <f>Start.listina!W613</f>
        <v>0</v>
      </c>
      <c r="E879" s="58">
        <f>Start.listina!X613</f>
        <v>0</v>
      </c>
      <c r="F879" s="58"/>
      <c r="G879" s="542"/>
      <c r="H879" s="161"/>
      <c r="I879" s="161"/>
    </row>
    <row r="880" spans="1:9">
      <c r="A880" s="58"/>
      <c r="B880" s="58">
        <f>Start.listina!AA613</f>
        <v>0</v>
      </c>
      <c r="C880" s="58">
        <f>Start.listina!AB613</f>
        <v>0</v>
      </c>
      <c r="D880" s="58">
        <f>Start.listina!AC613</f>
        <v>0</v>
      </c>
      <c r="E880" s="58">
        <f>Start.listina!AD613</f>
        <v>0</v>
      </c>
      <c r="F880" s="58"/>
      <c r="G880" s="542"/>
      <c r="H880" s="161"/>
      <c r="I880" s="161"/>
    </row>
    <row r="881" spans="1:9">
      <c r="A881" s="58">
        <f>Start.listina!AH614</f>
        <v>0</v>
      </c>
      <c r="B881" s="58">
        <f>Start.listina!I614</f>
        <v>0</v>
      </c>
      <c r="C881" s="543">
        <f>Start.listina!J614</f>
        <v>0</v>
      </c>
      <c r="D881" s="58">
        <f>Start.listina!K614</f>
        <v>0</v>
      </c>
      <c r="E881" s="58">
        <f>Start.listina!L614</f>
        <v>0</v>
      </c>
      <c r="F881" s="58"/>
      <c r="G881" s="542" t="str">
        <f>IF(N(A881)&gt;0,VLOOKUP(A881,Body!$A$4:$F$259,5,0),"")</f>
        <v/>
      </c>
      <c r="H881" s="161" t="str">
        <f>IF(N(A881)&gt;0,VLOOKUP(A881,Body!$A$4:$F$259,6,0),"")</f>
        <v/>
      </c>
      <c r="I881" s="161" t="str">
        <f>IF(N(A881)&gt;0,VLOOKUP(A881,Body!$A$4:$F$259,2,0),"")</f>
        <v/>
      </c>
    </row>
    <row r="882" spans="1:9">
      <c r="A882" s="58"/>
      <c r="B882" s="58">
        <f>Start.listina!O614</f>
        <v>0</v>
      </c>
      <c r="C882" s="58">
        <f>Start.listina!P614</f>
        <v>0</v>
      </c>
      <c r="D882" s="58">
        <f>Start.listina!Q614</f>
        <v>0</v>
      </c>
      <c r="E882" s="58">
        <f>Start.listina!R614</f>
        <v>0</v>
      </c>
      <c r="F882" s="58"/>
      <c r="G882" s="542"/>
      <c r="H882" s="161"/>
      <c r="I882" s="161"/>
    </row>
    <row r="883" spans="1:9">
      <c r="A883" s="58"/>
      <c r="B883" s="58">
        <f>Start.listina!U614</f>
        <v>0</v>
      </c>
      <c r="C883" s="58">
        <f>Start.listina!V614</f>
        <v>0</v>
      </c>
      <c r="D883" s="58">
        <f>Start.listina!W614</f>
        <v>0</v>
      </c>
      <c r="E883" s="58">
        <f>Start.listina!X614</f>
        <v>0</v>
      </c>
      <c r="F883" s="58"/>
      <c r="G883" s="542"/>
      <c r="H883" s="161"/>
      <c r="I883" s="161"/>
    </row>
    <row r="884" spans="1:9">
      <c r="A884" s="58"/>
      <c r="B884" s="58">
        <f>Start.listina!AA614</f>
        <v>0</v>
      </c>
      <c r="C884" s="58">
        <f>Start.listina!AB614</f>
        <v>0</v>
      </c>
      <c r="D884" s="58">
        <f>Start.listina!AC614</f>
        <v>0</v>
      </c>
      <c r="E884" s="58">
        <f>Start.listina!AD614</f>
        <v>0</v>
      </c>
      <c r="F884" s="58"/>
      <c r="G884" s="542"/>
      <c r="H884" s="161"/>
      <c r="I884" s="161"/>
    </row>
    <row r="885" spans="1:9">
      <c r="A885" s="58">
        <f>Start.listina!AH615</f>
        <v>0</v>
      </c>
      <c r="B885" s="58">
        <f>Start.listina!I615</f>
        <v>0</v>
      </c>
      <c r="C885" s="543">
        <f>Start.listina!J615</f>
        <v>0</v>
      </c>
      <c r="D885" s="58">
        <f>Start.listina!K615</f>
        <v>0</v>
      </c>
      <c r="E885" s="58">
        <f>Start.listina!L615</f>
        <v>0</v>
      </c>
      <c r="F885" s="58"/>
      <c r="G885" s="542" t="str">
        <f>IF(N(A885)&gt;0,VLOOKUP(A885,Body!$A$4:$F$259,5,0),"")</f>
        <v/>
      </c>
      <c r="H885" s="161" t="str">
        <f>IF(N(A885)&gt;0,VLOOKUP(A885,Body!$A$4:$F$259,6,0),"")</f>
        <v/>
      </c>
      <c r="I885" s="161" t="str">
        <f>IF(N(A885)&gt;0,VLOOKUP(A885,Body!$A$4:$F$259,2,0),"")</f>
        <v/>
      </c>
    </row>
    <row r="886" spans="1:9">
      <c r="A886" s="58"/>
      <c r="B886" s="58">
        <f>Start.listina!O615</f>
        <v>0</v>
      </c>
      <c r="C886" s="58">
        <f>Start.listina!P615</f>
        <v>0</v>
      </c>
      <c r="D886" s="58">
        <f>Start.listina!Q615</f>
        <v>0</v>
      </c>
      <c r="E886" s="58">
        <f>Start.listina!R615</f>
        <v>0</v>
      </c>
      <c r="F886" s="58"/>
      <c r="G886" s="542"/>
      <c r="H886" s="161"/>
      <c r="I886" s="161"/>
    </row>
    <row r="887" spans="1:9">
      <c r="A887" s="58"/>
      <c r="B887" s="58">
        <f>Start.listina!U615</f>
        <v>0</v>
      </c>
      <c r="C887" s="58">
        <f>Start.listina!V615</f>
        <v>0</v>
      </c>
      <c r="D887" s="58">
        <f>Start.listina!W615</f>
        <v>0</v>
      </c>
      <c r="E887" s="58">
        <f>Start.listina!X615</f>
        <v>0</v>
      </c>
      <c r="F887" s="58"/>
      <c r="G887" s="542"/>
      <c r="H887" s="161"/>
      <c r="I887" s="161"/>
    </row>
    <row r="888" spans="1:9">
      <c r="A888" s="58"/>
      <c r="B888" s="58">
        <f>Start.listina!AA615</f>
        <v>0</v>
      </c>
      <c r="C888" s="58">
        <f>Start.listina!AB615</f>
        <v>0</v>
      </c>
      <c r="D888" s="58">
        <f>Start.listina!AC615</f>
        <v>0</v>
      </c>
      <c r="E888" s="58">
        <f>Start.listina!AD615</f>
        <v>0</v>
      </c>
      <c r="F888" s="58"/>
      <c r="G888" s="542"/>
      <c r="H888" s="161"/>
      <c r="I888" s="161"/>
    </row>
    <row r="889" spans="1:9">
      <c r="A889" s="58">
        <f>Start.listina!AH616</f>
        <v>0</v>
      </c>
      <c r="B889" s="58">
        <f>Start.listina!I616</f>
        <v>0</v>
      </c>
      <c r="C889" s="543">
        <f>Start.listina!J616</f>
        <v>0</v>
      </c>
      <c r="D889" s="58">
        <f>Start.listina!K616</f>
        <v>0</v>
      </c>
      <c r="E889" s="58">
        <f>Start.listina!L616</f>
        <v>0</v>
      </c>
      <c r="F889" s="58"/>
      <c r="G889" s="542" t="str">
        <f>IF(N(A889)&gt;0,VLOOKUP(A889,Body!$A$4:$F$259,5,0),"")</f>
        <v/>
      </c>
      <c r="H889" s="161" t="str">
        <f>IF(N(A889)&gt;0,VLOOKUP(A889,Body!$A$4:$F$259,6,0),"")</f>
        <v/>
      </c>
      <c r="I889" s="161" t="str">
        <f>IF(N(A889)&gt;0,VLOOKUP(A889,Body!$A$4:$F$259,2,0),"")</f>
        <v/>
      </c>
    </row>
    <row r="890" spans="1:9">
      <c r="A890" s="58"/>
      <c r="B890" s="58">
        <f>Start.listina!O616</f>
        <v>0</v>
      </c>
      <c r="C890" s="58">
        <f>Start.listina!P616</f>
        <v>0</v>
      </c>
      <c r="D890" s="58">
        <f>Start.listina!Q616</f>
        <v>0</v>
      </c>
      <c r="E890" s="58">
        <f>Start.listina!R616</f>
        <v>0</v>
      </c>
      <c r="F890" s="58"/>
      <c r="G890" s="542"/>
      <c r="H890" s="161"/>
      <c r="I890" s="161"/>
    </row>
    <row r="891" spans="1:9">
      <c r="A891" s="58"/>
      <c r="B891" s="58">
        <f>Start.listina!U616</f>
        <v>0</v>
      </c>
      <c r="C891" s="58">
        <f>Start.listina!V616</f>
        <v>0</v>
      </c>
      <c r="D891" s="58">
        <f>Start.listina!W616</f>
        <v>0</v>
      </c>
      <c r="E891" s="58">
        <f>Start.listina!X616</f>
        <v>0</v>
      </c>
      <c r="F891" s="58"/>
      <c r="G891" s="542"/>
      <c r="H891" s="161"/>
      <c r="I891" s="161"/>
    </row>
    <row r="892" spans="1:9">
      <c r="A892" s="58"/>
      <c r="B892" s="58">
        <f>Start.listina!AA616</f>
        <v>0</v>
      </c>
      <c r="C892" s="58">
        <f>Start.listina!AB616</f>
        <v>0</v>
      </c>
      <c r="D892" s="58">
        <f>Start.listina!AC616</f>
        <v>0</v>
      </c>
      <c r="E892" s="58">
        <f>Start.listina!AD616</f>
        <v>0</v>
      </c>
      <c r="F892" s="58"/>
      <c r="G892" s="542"/>
      <c r="H892" s="161"/>
      <c r="I892" s="161"/>
    </row>
    <row r="893" spans="1:9">
      <c r="A893" s="58">
        <f>Start.listina!AH617</f>
        <v>0</v>
      </c>
      <c r="B893" s="58">
        <f>Start.listina!I617</f>
        <v>0</v>
      </c>
      <c r="C893" s="543">
        <f>Start.listina!J617</f>
        <v>0</v>
      </c>
      <c r="D893" s="58">
        <f>Start.listina!K617</f>
        <v>0</v>
      </c>
      <c r="E893" s="58">
        <f>Start.listina!L617</f>
        <v>0</v>
      </c>
      <c r="F893" s="58"/>
      <c r="G893" s="542" t="str">
        <f>IF(N(A893)&gt;0,VLOOKUP(A893,Body!$A$4:$F$259,5,0),"")</f>
        <v/>
      </c>
      <c r="H893" s="161" t="str">
        <f>IF(N(A893)&gt;0,VLOOKUP(A893,Body!$A$4:$F$259,6,0),"")</f>
        <v/>
      </c>
      <c r="I893" s="161" t="str">
        <f>IF(N(A893)&gt;0,VLOOKUP(A893,Body!$A$4:$F$259,2,0),"")</f>
        <v/>
      </c>
    </row>
    <row r="894" spans="1:9">
      <c r="A894" s="58"/>
      <c r="B894" s="58">
        <f>Start.listina!O617</f>
        <v>0</v>
      </c>
      <c r="C894" s="58">
        <f>Start.listina!P617</f>
        <v>0</v>
      </c>
      <c r="D894" s="58">
        <f>Start.listina!Q617</f>
        <v>0</v>
      </c>
      <c r="E894" s="58">
        <f>Start.listina!R617</f>
        <v>0</v>
      </c>
      <c r="F894" s="58"/>
      <c r="G894" s="542"/>
      <c r="H894" s="161"/>
      <c r="I894" s="161"/>
    </row>
    <row r="895" spans="1:9">
      <c r="A895" s="58"/>
      <c r="B895" s="58">
        <f>Start.listina!U617</f>
        <v>0</v>
      </c>
      <c r="C895" s="58">
        <f>Start.listina!V617</f>
        <v>0</v>
      </c>
      <c r="D895" s="58">
        <f>Start.listina!W617</f>
        <v>0</v>
      </c>
      <c r="E895" s="58">
        <f>Start.listina!X617</f>
        <v>0</v>
      </c>
      <c r="F895" s="58"/>
      <c r="G895" s="542"/>
      <c r="H895" s="161"/>
      <c r="I895" s="161"/>
    </row>
    <row r="896" spans="1:9">
      <c r="A896" s="58"/>
      <c r="B896" s="58">
        <f>Start.listina!AA617</f>
        <v>0</v>
      </c>
      <c r="C896" s="58">
        <f>Start.listina!AB617</f>
        <v>0</v>
      </c>
      <c r="D896" s="58">
        <f>Start.listina!AC617</f>
        <v>0</v>
      </c>
      <c r="E896" s="58">
        <f>Start.listina!AD617</f>
        <v>0</v>
      </c>
      <c r="F896" s="58"/>
      <c r="G896" s="542"/>
      <c r="H896" s="161"/>
      <c r="I896" s="161"/>
    </row>
    <row r="897" spans="1:9">
      <c r="A897" s="58">
        <f>Start.listina!AH618</f>
        <v>0</v>
      </c>
      <c r="B897" s="58">
        <f>Start.listina!I618</f>
        <v>0</v>
      </c>
      <c r="C897" s="543">
        <f>Start.listina!J618</f>
        <v>0</v>
      </c>
      <c r="D897" s="58">
        <f>Start.listina!K618</f>
        <v>0</v>
      </c>
      <c r="E897" s="58">
        <f>Start.listina!L618</f>
        <v>0</v>
      </c>
      <c r="F897" s="58"/>
      <c r="G897" s="542" t="str">
        <f>IF(N(A897)&gt;0,VLOOKUP(A897,Body!$A$4:$F$259,5,0),"")</f>
        <v/>
      </c>
      <c r="H897" s="161" t="str">
        <f>IF(N(A897)&gt;0,VLOOKUP(A897,Body!$A$4:$F$259,6,0),"")</f>
        <v/>
      </c>
      <c r="I897" s="161" t="str">
        <f>IF(N(A897)&gt;0,VLOOKUP(A897,Body!$A$4:$F$259,2,0),"")</f>
        <v/>
      </c>
    </row>
    <row r="898" spans="1:9">
      <c r="A898" s="58"/>
      <c r="B898" s="58">
        <f>Start.listina!O618</f>
        <v>0</v>
      </c>
      <c r="C898" s="58">
        <f>Start.listina!P618</f>
        <v>0</v>
      </c>
      <c r="D898" s="58">
        <f>Start.listina!Q618</f>
        <v>0</v>
      </c>
      <c r="E898" s="58">
        <f>Start.listina!R618</f>
        <v>0</v>
      </c>
      <c r="F898" s="58"/>
      <c r="G898" s="542"/>
      <c r="H898" s="161"/>
      <c r="I898" s="161"/>
    </row>
    <row r="899" spans="1:9">
      <c r="A899" s="58"/>
      <c r="B899" s="58">
        <f>Start.listina!U618</f>
        <v>0</v>
      </c>
      <c r="C899" s="58">
        <f>Start.listina!V618</f>
        <v>0</v>
      </c>
      <c r="D899" s="58">
        <f>Start.listina!W618</f>
        <v>0</v>
      </c>
      <c r="E899" s="58">
        <f>Start.listina!X618</f>
        <v>0</v>
      </c>
      <c r="F899" s="58"/>
      <c r="G899" s="542"/>
      <c r="H899" s="161"/>
      <c r="I899" s="161"/>
    </row>
    <row r="900" spans="1:9">
      <c r="A900" s="58"/>
      <c r="B900" s="58">
        <f>Start.listina!AA618</f>
        <v>0</v>
      </c>
      <c r="C900" s="58">
        <f>Start.listina!AB618</f>
        <v>0</v>
      </c>
      <c r="D900" s="58">
        <f>Start.listina!AC618</f>
        <v>0</v>
      </c>
      <c r="E900" s="58">
        <f>Start.listina!AD618</f>
        <v>0</v>
      </c>
      <c r="F900" s="58"/>
      <c r="G900" s="542"/>
      <c r="H900" s="161"/>
      <c r="I900" s="161"/>
    </row>
    <row r="901" spans="1:9">
      <c r="A901" s="58">
        <f>Start.listina!AH619</f>
        <v>0</v>
      </c>
      <c r="B901" s="58">
        <f>Start.listina!I619</f>
        <v>0</v>
      </c>
      <c r="C901" s="543">
        <f>Start.listina!J619</f>
        <v>0</v>
      </c>
      <c r="D901" s="58">
        <f>Start.listina!K619</f>
        <v>0</v>
      </c>
      <c r="E901" s="58">
        <f>Start.listina!L619</f>
        <v>0</v>
      </c>
      <c r="F901" s="58"/>
      <c r="G901" s="542" t="str">
        <f>IF(N(A901)&gt;0,VLOOKUP(A901,Body!$A$4:$F$259,5,0),"")</f>
        <v/>
      </c>
      <c r="H901" s="161" t="str">
        <f>IF(N(A901)&gt;0,VLOOKUP(A901,Body!$A$4:$F$259,6,0),"")</f>
        <v/>
      </c>
      <c r="I901" s="161" t="str">
        <f>IF(N(A901)&gt;0,VLOOKUP(A901,Body!$A$4:$F$259,2,0),"")</f>
        <v/>
      </c>
    </row>
    <row r="902" spans="1:9">
      <c r="A902" s="58"/>
      <c r="B902" s="58">
        <f>Start.listina!O619</f>
        <v>0</v>
      </c>
      <c r="C902" s="58">
        <f>Start.listina!P619</f>
        <v>0</v>
      </c>
      <c r="D902" s="58">
        <f>Start.listina!Q619</f>
        <v>0</v>
      </c>
      <c r="E902" s="58">
        <f>Start.listina!R619</f>
        <v>0</v>
      </c>
      <c r="F902" s="58"/>
      <c r="G902" s="542"/>
      <c r="H902" s="161"/>
      <c r="I902" s="161"/>
    </row>
    <row r="903" spans="1:9">
      <c r="A903" s="58"/>
      <c r="B903" s="58">
        <f>Start.listina!U619</f>
        <v>0</v>
      </c>
      <c r="C903" s="58">
        <f>Start.listina!V619</f>
        <v>0</v>
      </c>
      <c r="D903" s="58">
        <f>Start.listina!W619</f>
        <v>0</v>
      </c>
      <c r="E903" s="58">
        <f>Start.listina!X619</f>
        <v>0</v>
      </c>
      <c r="F903" s="58"/>
      <c r="G903" s="542"/>
      <c r="H903" s="161"/>
      <c r="I903" s="161"/>
    </row>
    <row r="904" spans="1:9">
      <c r="A904" s="58"/>
      <c r="B904" s="58">
        <f>Start.listina!AA619</f>
        <v>0</v>
      </c>
      <c r="C904" s="58">
        <f>Start.listina!AB619</f>
        <v>0</v>
      </c>
      <c r="D904" s="58">
        <f>Start.listina!AC619</f>
        <v>0</v>
      </c>
      <c r="E904" s="58">
        <f>Start.listina!AD619</f>
        <v>0</v>
      </c>
      <c r="F904" s="58"/>
      <c r="G904" s="542"/>
      <c r="H904" s="161"/>
      <c r="I904" s="161"/>
    </row>
    <row r="905" spans="1:9">
      <c r="A905" s="58">
        <f>Start.listina!AH620</f>
        <v>0</v>
      </c>
      <c r="B905" s="58">
        <f>Start.listina!I620</f>
        <v>0</v>
      </c>
      <c r="C905" s="543">
        <f>Start.listina!J620</f>
        <v>0</v>
      </c>
      <c r="D905" s="58">
        <f>Start.listina!K620</f>
        <v>0</v>
      </c>
      <c r="E905" s="58">
        <f>Start.listina!L620</f>
        <v>0</v>
      </c>
      <c r="F905" s="58"/>
      <c r="G905" s="542" t="str">
        <f>IF(N(A905)&gt;0,VLOOKUP(A905,Body!$A$4:$F$259,5,0),"")</f>
        <v/>
      </c>
      <c r="H905" s="161" t="str">
        <f>IF(N(A905)&gt;0,VLOOKUP(A905,Body!$A$4:$F$259,6,0),"")</f>
        <v/>
      </c>
      <c r="I905" s="161" t="str">
        <f>IF(N(A905)&gt;0,VLOOKUP(A905,Body!$A$4:$F$259,2,0),"")</f>
        <v/>
      </c>
    </row>
    <row r="906" spans="1:9">
      <c r="A906" s="58"/>
      <c r="B906" s="58">
        <f>Start.listina!O620</f>
        <v>0</v>
      </c>
      <c r="C906" s="58">
        <f>Start.listina!P620</f>
        <v>0</v>
      </c>
      <c r="D906" s="58">
        <f>Start.listina!Q620</f>
        <v>0</v>
      </c>
      <c r="E906" s="58">
        <f>Start.listina!R620</f>
        <v>0</v>
      </c>
      <c r="F906" s="58"/>
      <c r="G906" s="542"/>
      <c r="H906" s="161"/>
      <c r="I906" s="161"/>
    </row>
    <row r="907" spans="1:9">
      <c r="A907" s="58"/>
      <c r="B907" s="58">
        <f>Start.listina!U620</f>
        <v>0</v>
      </c>
      <c r="C907" s="58">
        <f>Start.listina!V620</f>
        <v>0</v>
      </c>
      <c r="D907" s="58">
        <f>Start.listina!W620</f>
        <v>0</v>
      </c>
      <c r="E907" s="58">
        <f>Start.listina!X620</f>
        <v>0</v>
      </c>
      <c r="F907" s="58"/>
      <c r="G907" s="542"/>
      <c r="H907" s="161"/>
      <c r="I907" s="161"/>
    </row>
    <row r="908" spans="1:9">
      <c r="A908" s="58"/>
      <c r="B908" s="58">
        <f>Start.listina!AA620</f>
        <v>0</v>
      </c>
      <c r="C908" s="58">
        <f>Start.listina!AB620</f>
        <v>0</v>
      </c>
      <c r="D908" s="58">
        <f>Start.listina!AC620</f>
        <v>0</v>
      </c>
      <c r="E908" s="58">
        <f>Start.listina!AD620</f>
        <v>0</v>
      </c>
      <c r="F908" s="58"/>
      <c r="G908" s="542"/>
      <c r="H908" s="161"/>
      <c r="I908" s="161"/>
    </row>
    <row r="909" spans="1:9">
      <c r="A909" s="58">
        <f>Start.listina!AH621</f>
        <v>0</v>
      </c>
      <c r="B909" s="58">
        <f>Start.listina!I621</f>
        <v>0</v>
      </c>
      <c r="C909" s="543">
        <f>Start.listina!J621</f>
        <v>0</v>
      </c>
      <c r="D909" s="58">
        <f>Start.listina!K621</f>
        <v>0</v>
      </c>
      <c r="E909" s="58">
        <f>Start.listina!L621</f>
        <v>0</v>
      </c>
      <c r="F909" s="58"/>
      <c r="G909" s="542" t="str">
        <f>IF(N(A909)&gt;0,VLOOKUP(A909,Body!$A$4:$F$259,5,0),"")</f>
        <v/>
      </c>
      <c r="H909" s="161" t="str">
        <f>IF(N(A909)&gt;0,VLOOKUP(A909,Body!$A$4:$F$259,6,0),"")</f>
        <v/>
      </c>
      <c r="I909" s="161" t="str">
        <f>IF(N(A909)&gt;0,VLOOKUP(A909,Body!$A$4:$F$259,2,0),"")</f>
        <v/>
      </c>
    </row>
    <row r="910" spans="1:9">
      <c r="A910" s="58"/>
      <c r="B910" s="58">
        <f>Start.listina!O621</f>
        <v>0</v>
      </c>
      <c r="C910" s="58">
        <f>Start.listina!P621</f>
        <v>0</v>
      </c>
      <c r="D910" s="58">
        <f>Start.listina!Q621</f>
        <v>0</v>
      </c>
      <c r="E910" s="58">
        <f>Start.listina!R621</f>
        <v>0</v>
      </c>
      <c r="F910" s="58"/>
      <c r="G910" s="542"/>
      <c r="H910" s="161"/>
      <c r="I910" s="161"/>
    </row>
    <row r="911" spans="1:9">
      <c r="A911" s="58"/>
      <c r="B911" s="58">
        <f>Start.listina!U621</f>
        <v>0</v>
      </c>
      <c r="C911" s="58">
        <f>Start.listina!V621</f>
        <v>0</v>
      </c>
      <c r="D911" s="58">
        <f>Start.listina!W621</f>
        <v>0</v>
      </c>
      <c r="E911" s="58">
        <f>Start.listina!X621</f>
        <v>0</v>
      </c>
      <c r="F911" s="58"/>
      <c r="G911" s="542"/>
      <c r="H911" s="161"/>
      <c r="I911" s="161"/>
    </row>
    <row r="912" spans="1:9">
      <c r="A912" s="58"/>
      <c r="B912" s="58">
        <f>Start.listina!AA621</f>
        <v>0</v>
      </c>
      <c r="C912" s="58">
        <f>Start.listina!AB621</f>
        <v>0</v>
      </c>
      <c r="D912" s="58">
        <f>Start.listina!AC621</f>
        <v>0</v>
      </c>
      <c r="E912" s="58">
        <f>Start.listina!AD621</f>
        <v>0</v>
      </c>
      <c r="F912" s="58"/>
      <c r="G912" s="542"/>
      <c r="H912" s="161"/>
      <c r="I912" s="161"/>
    </row>
    <row r="913" spans="1:9">
      <c r="A913" s="58">
        <f>Start.listina!AH622</f>
        <v>0</v>
      </c>
      <c r="B913" s="58">
        <f>Start.listina!I622</f>
        <v>0</v>
      </c>
      <c r="C913" s="543">
        <f>Start.listina!J622</f>
        <v>0</v>
      </c>
      <c r="D913" s="58">
        <f>Start.listina!K622</f>
        <v>0</v>
      </c>
      <c r="E913" s="58">
        <f>Start.listina!L622</f>
        <v>0</v>
      </c>
      <c r="F913" s="58"/>
      <c r="G913" s="542" t="str">
        <f>IF(N(A913)&gt;0,VLOOKUP(A913,Body!$A$4:$F$259,5,0),"")</f>
        <v/>
      </c>
      <c r="H913" s="161" t="str">
        <f>IF(N(A913)&gt;0,VLOOKUP(A913,Body!$A$4:$F$259,6,0),"")</f>
        <v/>
      </c>
      <c r="I913" s="161" t="str">
        <f>IF(N(A913)&gt;0,VLOOKUP(A913,Body!$A$4:$F$259,2,0),"")</f>
        <v/>
      </c>
    </row>
    <row r="914" spans="1:9">
      <c r="A914" s="58"/>
      <c r="B914" s="58">
        <f>Start.listina!O622</f>
        <v>0</v>
      </c>
      <c r="C914" s="58">
        <f>Start.listina!P622</f>
        <v>0</v>
      </c>
      <c r="D914" s="58">
        <f>Start.listina!Q622</f>
        <v>0</v>
      </c>
      <c r="E914" s="58">
        <f>Start.listina!R622</f>
        <v>0</v>
      </c>
      <c r="F914" s="58"/>
      <c r="G914" s="542"/>
      <c r="H914" s="161"/>
      <c r="I914" s="161"/>
    </row>
    <row r="915" spans="1:9">
      <c r="A915" s="58"/>
      <c r="B915" s="58">
        <f>Start.listina!U622</f>
        <v>0</v>
      </c>
      <c r="C915" s="58">
        <f>Start.listina!V622</f>
        <v>0</v>
      </c>
      <c r="D915" s="58">
        <f>Start.listina!W622</f>
        <v>0</v>
      </c>
      <c r="E915" s="58">
        <f>Start.listina!X622</f>
        <v>0</v>
      </c>
      <c r="F915" s="58"/>
      <c r="G915" s="542"/>
      <c r="H915" s="161"/>
      <c r="I915" s="161"/>
    </row>
    <row r="916" spans="1:9">
      <c r="A916" s="58"/>
      <c r="B916" s="58">
        <f>Start.listina!AA622</f>
        <v>0</v>
      </c>
      <c r="C916" s="58">
        <f>Start.listina!AB622</f>
        <v>0</v>
      </c>
      <c r="D916" s="58">
        <f>Start.listina!AC622</f>
        <v>0</v>
      </c>
      <c r="E916" s="58">
        <f>Start.listina!AD622</f>
        <v>0</v>
      </c>
      <c r="F916" s="58"/>
      <c r="G916" s="542"/>
      <c r="H916" s="161"/>
      <c r="I916" s="161"/>
    </row>
    <row r="917" spans="1:9">
      <c r="A917" s="58">
        <f>Start.listina!AH623</f>
        <v>0</v>
      </c>
      <c r="B917" s="58">
        <f>Start.listina!I623</f>
        <v>0</v>
      </c>
      <c r="C917" s="543">
        <f>Start.listina!J623</f>
        <v>0</v>
      </c>
      <c r="D917" s="58">
        <f>Start.listina!K623</f>
        <v>0</v>
      </c>
      <c r="E917" s="58">
        <f>Start.listina!L623</f>
        <v>0</v>
      </c>
      <c r="F917" s="58"/>
      <c r="G917" s="542" t="str">
        <f>IF(N(A917)&gt;0,VLOOKUP(A917,Body!$A$4:$F$259,5,0),"")</f>
        <v/>
      </c>
      <c r="H917" s="161" t="str">
        <f>IF(N(A917)&gt;0,VLOOKUP(A917,Body!$A$4:$F$259,6,0),"")</f>
        <v/>
      </c>
      <c r="I917" s="161" t="str">
        <f>IF(N(A917)&gt;0,VLOOKUP(A917,Body!$A$4:$F$259,2,0),"")</f>
        <v/>
      </c>
    </row>
    <row r="918" spans="1:9">
      <c r="A918" s="58"/>
      <c r="B918" s="58">
        <f>Start.listina!O623</f>
        <v>0</v>
      </c>
      <c r="C918" s="58">
        <f>Start.listina!P623</f>
        <v>0</v>
      </c>
      <c r="D918" s="58">
        <f>Start.listina!Q623</f>
        <v>0</v>
      </c>
      <c r="E918" s="58">
        <f>Start.listina!R623</f>
        <v>0</v>
      </c>
      <c r="F918" s="58"/>
      <c r="G918" s="542"/>
      <c r="H918" s="161"/>
      <c r="I918" s="161"/>
    </row>
    <row r="919" spans="1:9">
      <c r="A919" s="58"/>
      <c r="B919" s="58">
        <f>Start.listina!U623</f>
        <v>0</v>
      </c>
      <c r="C919" s="58">
        <f>Start.listina!V623</f>
        <v>0</v>
      </c>
      <c r="D919" s="58">
        <f>Start.listina!W623</f>
        <v>0</v>
      </c>
      <c r="E919" s="58">
        <f>Start.listina!X623</f>
        <v>0</v>
      </c>
      <c r="F919" s="58"/>
      <c r="G919" s="542"/>
      <c r="H919" s="161"/>
      <c r="I919" s="161"/>
    </row>
    <row r="920" spans="1:9">
      <c r="A920" s="58"/>
      <c r="B920" s="58">
        <f>Start.listina!AA623</f>
        <v>0</v>
      </c>
      <c r="C920" s="58">
        <f>Start.listina!AB623</f>
        <v>0</v>
      </c>
      <c r="D920" s="58">
        <f>Start.listina!AC623</f>
        <v>0</v>
      </c>
      <c r="E920" s="58">
        <f>Start.listina!AD623</f>
        <v>0</v>
      </c>
      <c r="F920" s="58"/>
      <c r="G920" s="542"/>
      <c r="H920" s="161"/>
      <c r="I920" s="161"/>
    </row>
    <row r="921" spans="1:9">
      <c r="A921" s="58">
        <f>Start.listina!AH624</f>
        <v>0</v>
      </c>
      <c r="B921" s="58">
        <f>Start.listina!I624</f>
        <v>0</v>
      </c>
      <c r="C921" s="543">
        <f>Start.listina!J624</f>
        <v>0</v>
      </c>
      <c r="D921" s="58">
        <f>Start.listina!K624</f>
        <v>0</v>
      </c>
      <c r="E921" s="58">
        <f>Start.listina!L624</f>
        <v>0</v>
      </c>
      <c r="F921" s="58"/>
      <c r="G921" s="542" t="str">
        <f>IF(N(A921)&gt;0,VLOOKUP(A921,Body!$A$4:$F$259,5,0),"")</f>
        <v/>
      </c>
      <c r="H921" s="161" t="str">
        <f>IF(N(A921)&gt;0,VLOOKUP(A921,Body!$A$4:$F$259,6,0),"")</f>
        <v/>
      </c>
      <c r="I921" s="161" t="str">
        <f>IF(N(A921)&gt;0,VLOOKUP(A921,Body!$A$4:$F$259,2,0),"")</f>
        <v/>
      </c>
    </row>
    <row r="922" spans="1:9">
      <c r="A922" s="58"/>
      <c r="B922" s="58">
        <f>Start.listina!O624</f>
        <v>0</v>
      </c>
      <c r="C922" s="58">
        <f>Start.listina!P624</f>
        <v>0</v>
      </c>
      <c r="D922" s="58">
        <f>Start.listina!Q624</f>
        <v>0</v>
      </c>
      <c r="E922" s="58">
        <f>Start.listina!R624</f>
        <v>0</v>
      </c>
      <c r="F922" s="58"/>
      <c r="G922" s="542"/>
      <c r="H922" s="161"/>
      <c r="I922" s="161"/>
    </row>
    <row r="923" spans="1:9">
      <c r="A923" s="58"/>
      <c r="B923" s="58">
        <f>Start.listina!U624</f>
        <v>0</v>
      </c>
      <c r="C923" s="58">
        <f>Start.listina!V624</f>
        <v>0</v>
      </c>
      <c r="D923" s="58">
        <f>Start.listina!W624</f>
        <v>0</v>
      </c>
      <c r="E923" s="58">
        <f>Start.listina!X624</f>
        <v>0</v>
      </c>
      <c r="F923" s="58"/>
      <c r="G923" s="542"/>
      <c r="H923" s="161"/>
      <c r="I923" s="161"/>
    </row>
    <row r="924" spans="1:9">
      <c r="A924" s="58"/>
      <c r="B924" s="58">
        <f>Start.listina!AA624</f>
        <v>0</v>
      </c>
      <c r="C924" s="58">
        <f>Start.listina!AB624</f>
        <v>0</v>
      </c>
      <c r="D924" s="58">
        <f>Start.listina!AC624</f>
        <v>0</v>
      </c>
      <c r="E924" s="58">
        <f>Start.listina!AD624</f>
        <v>0</v>
      </c>
      <c r="F924" s="58"/>
      <c r="G924" s="542"/>
      <c r="H924" s="161"/>
      <c r="I924" s="161"/>
    </row>
    <row r="925" spans="1:9">
      <c r="A925" s="58">
        <f>Start.listina!AH625</f>
        <v>0</v>
      </c>
      <c r="B925" s="58">
        <f>Start.listina!I625</f>
        <v>0</v>
      </c>
      <c r="C925" s="543">
        <f>Start.listina!J625</f>
        <v>0</v>
      </c>
      <c r="D925" s="58">
        <f>Start.listina!K625</f>
        <v>0</v>
      </c>
      <c r="E925" s="58">
        <f>Start.listina!L625</f>
        <v>0</v>
      </c>
      <c r="F925" s="58"/>
      <c r="G925" s="542" t="str">
        <f>IF(N(A925)&gt;0,VLOOKUP(A925,Body!$A$4:$F$259,5,0),"")</f>
        <v/>
      </c>
      <c r="H925" s="161" t="str">
        <f>IF(N(A925)&gt;0,VLOOKUP(A925,Body!$A$4:$F$259,6,0),"")</f>
        <v/>
      </c>
      <c r="I925" s="161" t="str">
        <f>IF(N(A925)&gt;0,VLOOKUP(A925,Body!$A$4:$F$259,2,0),"")</f>
        <v/>
      </c>
    </row>
    <row r="926" spans="1:9">
      <c r="A926" s="58"/>
      <c r="B926" s="58">
        <f>Start.listina!O625</f>
        <v>0</v>
      </c>
      <c r="C926" s="58">
        <f>Start.listina!P625</f>
        <v>0</v>
      </c>
      <c r="D926" s="58">
        <f>Start.listina!Q625</f>
        <v>0</v>
      </c>
      <c r="E926" s="58">
        <f>Start.listina!R625</f>
        <v>0</v>
      </c>
      <c r="F926" s="58"/>
      <c r="G926" s="542"/>
      <c r="H926" s="161"/>
      <c r="I926" s="161"/>
    </row>
    <row r="927" spans="1:9">
      <c r="A927" s="58"/>
      <c r="B927" s="58">
        <f>Start.listina!U625</f>
        <v>0</v>
      </c>
      <c r="C927" s="58">
        <f>Start.listina!V625</f>
        <v>0</v>
      </c>
      <c r="D927" s="58">
        <f>Start.listina!W625</f>
        <v>0</v>
      </c>
      <c r="E927" s="58">
        <f>Start.listina!X625</f>
        <v>0</v>
      </c>
      <c r="F927" s="58"/>
      <c r="G927" s="542"/>
      <c r="H927" s="161"/>
      <c r="I927" s="161"/>
    </row>
    <row r="928" spans="1:9">
      <c r="A928" s="58"/>
      <c r="B928" s="58">
        <f>Start.listina!AA625</f>
        <v>0</v>
      </c>
      <c r="C928" s="58">
        <f>Start.listina!AB625</f>
        <v>0</v>
      </c>
      <c r="D928" s="58">
        <f>Start.listina!AC625</f>
        <v>0</v>
      </c>
      <c r="E928" s="58">
        <f>Start.listina!AD625</f>
        <v>0</v>
      </c>
      <c r="F928" s="58"/>
      <c r="G928" s="542"/>
      <c r="H928" s="161"/>
      <c r="I928" s="161"/>
    </row>
    <row r="929" spans="1:9">
      <c r="A929" s="58">
        <f>Start.listina!AH626</f>
        <v>0</v>
      </c>
      <c r="B929" s="58">
        <f>Start.listina!I626</f>
        <v>0</v>
      </c>
      <c r="C929" s="543">
        <f>Start.listina!J626</f>
        <v>0</v>
      </c>
      <c r="D929" s="58">
        <f>Start.listina!K626</f>
        <v>0</v>
      </c>
      <c r="E929" s="58">
        <f>Start.listina!L626</f>
        <v>0</v>
      </c>
      <c r="F929" s="58"/>
      <c r="G929" s="542" t="str">
        <f>IF(N(A929)&gt;0,VLOOKUP(A929,Body!$A$4:$F$259,5,0),"")</f>
        <v/>
      </c>
      <c r="H929" s="161" t="str">
        <f>IF(N(A929)&gt;0,VLOOKUP(A929,Body!$A$4:$F$259,6,0),"")</f>
        <v/>
      </c>
      <c r="I929" s="161" t="str">
        <f>IF(N(A929)&gt;0,VLOOKUP(A929,Body!$A$4:$F$259,2,0),"")</f>
        <v/>
      </c>
    </row>
    <row r="930" spans="1:9">
      <c r="A930" s="58"/>
      <c r="B930" s="58">
        <f>Start.listina!O626</f>
        <v>0</v>
      </c>
      <c r="C930" s="58">
        <f>Start.listina!P626</f>
        <v>0</v>
      </c>
      <c r="D930" s="58">
        <f>Start.listina!Q626</f>
        <v>0</v>
      </c>
      <c r="E930" s="58">
        <f>Start.listina!R626</f>
        <v>0</v>
      </c>
      <c r="F930" s="58"/>
      <c r="G930" s="542"/>
      <c r="H930" s="161"/>
      <c r="I930" s="161"/>
    </row>
    <row r="931" spans="1:9">
      <c r="A931" s="58"/>
      <c r="B931" s="58">
        <f>Start.listina!U626</f>
        <v>0</v>
      </c>
      <c r="C931" s="58">
        <f>Start.listina!V626</f>
        <v>0</v>
      </c>
      <c r="D931" s="58">
        <f>Start.listina!W626</f>
        <v>0</v>
      </c>
      <c r="E931" s="58">
        <f>Start.listina!X626</f>
        <v>0</v>
      </c>
      <c r="F931" s="58"/>
      <c r="G931" s="542"/>
      <c r="H931" s="161"/>
      <c r="I931" s="161"/>
    </row>
    <row r="932" spans="1:9">
      <c r="A932" s="58"/>
      <c r="B932" s="58">
        <f>Start.listina!AA626</f>
        <v>0</v>
      </c>
      <c r="C932" s="58">
        <f>Start.listina!AB626</f>
        <v>0</v>
      </c>
      <c r="D932" s="58">
        <f>Start.listina!AC626</f>
        <v>0</v>
      </c>
      <c r="E932" s="58">
        <f>Start.listina!AD626</f>
        <v>0</v>
      </c>
      <c r="F932" s="58"/>
      <c r="G932" s="542"/>
      <c r="H932" s="161"/>
      <c r="I932" s="161"/>
    </row>
    <row r="933" spans="1:9">
      <c r="A933" s="58">
        <f>Start.listina!AH627</f>
        <v>0</v>
      </c>
      <c r="B933" s="58">
        <f>Start.listina!I627</f>
        <v>0</v>
      </c>
      <c r="C933" s="543">
        <f>Start.listina!J627</f>
        <v>0</v>
      </c>
      <c r="D933" s="58">
        <f>Start.listina!K627</f>
        <v>0</v>
      </c>
      <c r="E933" s="58">
        <f>Start.listina!L627</f>
        <v>0</v>
      </c>
      <c r="F933" s="58"/>
      <c r="G933" s="542" t="str">
        <f>IF(N(A933)&gt;0,VLOOKUP(A933,Body!$A$4:$F$259,5,0),"")</f>
        <v/>
      </c>
      <c r="H933" s="161" t="str">
        <f>IF(N(A933)&gt;0,VLOOKUP(A933,Body!$A$4:$F$259,6,0),"")</f>
        <v/>
      </c>
      <c r="I933" s="161" t="str">
        <f>IF(N(A933)&gt;0,VLOOKUP(A933,Body!$A$4:$F$259,2,0),"")</f>
        <v/>
      </c>
    </row>
    <row r="934" spans="1:9">
      <c r="A934" s="58"/>
      <c r="B934" s="58">
        <f>Start.listina!O627</f>
        <v>0</v>
      </c>
      <c r="C934" s="58">
        <f>Start.listina!P627</f>
        <v>0</v>
      </c>
      <c r="D934" s="58">
        <f>Start.listina!Q627</f>
        <v>0</v>
      </c>
      <c r="E934" s="58">
        <f>Start.listina!R627</f>
        <v>0</v>
      </c>
      <c r="F934" s="58"/>
      <c r="G934" s="542"/>
      <c r="H934" s="161"/>
      <c r="I934" s="161"/>
    </row>
    <row r="935" spans="1:9">
      <c r="A935" s="58"/>
      <c r="B935" s="58">
        <f>Start.listina!U627</f>
        <v>0</v>
      </c>
      <c r="C935" s="58">
        <f>Start.listina!V627</f>
        <v>0</v>
      </c>
      <c r="D935" s="58">
        <f>Start.listina!W627</f>
        <v>0</v>
      </c>
      <c r="E935" s="58">
        <f>Start.listina!X627</f>
        <v>0</v>
      </c>
      <c r="F935" s="58"/>
      <c r="G935" s="542"/>
      <c r="H935" s="161"/>
      <c r="I935" s="161"/>
    </row>
    <row r="936" spans="1:9">
      <c r="A936" s="58"/>
      <c r="B936" s="58">
        <f>Start.listina!AA627</f>
        <v>0</v>
      </c>
      <c r="C936" s="58">
        <f>Start.listina!AB627</f>
        <v>0</v>
      </c>
      <c r="D936" s="58">
        <f>Start.listina!AC627</f>
        <v>0</v>
      </c>
      <c r="E936" s="58">
        <f>Start.listina!AD627</f>
        <v>0</v>
      </c>
      <c r="F936" s="58"/>
      <c r="G936" s="542"/>
      <c r="H936" s="161"/>
      <c r="I936" s="161"/>
    </row>
    <row r="937" spans="1:9">
      <c r="A937" s="58">
        <f>Start.listina!AH628</f>
        <v>0</v>
      </c>
      <c r="B937" s="58">
        <f>Start.listina!I628</f>
        <v>0</v>
      </c>
      <c r="C937" s="543">
        <f>Start.listina!J628</f>
        <v>0</v>
      </c>
      <c r="D937" s="58">
        <f>Start.listina!K628</f>
        <v>0</v>
      </c>
      <c r="E937" s="58">
        <f>Start.listina!L628</f>
        <v>0</v>
      </c>
      <c r="F937" s="58"/>
      <c r="G937" s="542" t="str">
        <f>IF(N(A937)&gt;0,VLOOKUP(A937,Body!$A$4:$F$259,5,0),"")</f>
        <v/>
      </c>
      <c r="H937" s="161" t="str">
        <f>IF(N(A937)&gt;0,VLOOKUP(A937,Body!$A$4:$F$259,6,0),"")</f>
        <v/>
      </c>
      <c r="I937" s="161" t="str">
        <f>IF(N(A937)&gt;0,VLOOKUP(A937,Body!$A$4:$F$259,2,0),"")</f>
        <v/>
      </c>
    </row>
    <row r="938" spans="1:9">
      <c r="A938" s="58"/>
      <c r="B938" s="58">
        <f>Start.listina!O628</f>
        <v>0</v>
      </c>
      <c r="C938" s="58">
        <f>Start.listina!P628</f>
        <v>0</v>
      </c>
      <c r="D938" s="58">
        <f>Start.listina!Q628</f>
        <v>0</v>
      </c>
      <c r="E938" s="58">
        <f>Start.listina!R628</f>
        <v>0</v>
      </c>
      <c r="F938" s="58"/>
      <c r="G938" s="542"/>
      <c r="H938" s="161"/>
      <c r="I938" s="161"/>
    </row>
    <row r="939" spans="1:9">
      <c r="A939" s="58"/>
      <c r="B939" s="58">
        <f>Start.listina!U628</f>
        <v>0</v>
      </c>
      <c r="C939" s="58">
        <f>Start.listina!V628</f>
        <v>0</v>
      </c>
      <c r="D939" s="58">
        <f>Start.listina!W628</f>
        <v>0</v>
      </c>
      <c r="E939" s="58">
        <f>Start.listina!X628</f>
        <v>0</v>
      </c>
      <c r="F939" s="58"/>
      <c r="G939" s="542"/>
      <c r="H939" s="161"/>
      <c r="I939" s="161"/>
    </row>
    <row r="940" spans="1:9">
      <c r="A940" s="58"/>
      <c r="B940" s="58">
        <f>Start.listina!AA628</f>
        <v>0</v>
      </c>
      <c r="C940" s="58">
        <f>Start.listina!AB628</f>
        <v>0</v>
      </c>
      <c r="D940" s="58">
        <f>Start.listina!AC628</f>
        <v>0</v>
      </c>
      <c r="E940" s="58">
        <f>Start.listina!AD628</f>
        <v>0</v>
      </c>
      <c r="F940" s="58"/>
      <c r="G940" s="542"/>
      <c r="H940" s="161"/>
      <c r="I940" s="161"/>
    </row>
    <row r="941" spans="1:9">
      <c r="A941" s="58">
        <f>Start.listina!AH629</f>
        <v>0</v>
      </c>
      <c r="B941" s="58">
        <f>Start.listina!I629</f>
        <v>0</v>
      </c>
      <c r="C941" s="543">
        <f>Start.listina!J629</f>
        <v>0</v>
      </c>
      <c r="D941" s="58">
        <f>Start.listina!K629</f>
        <v>0</v>
      </c>
      <c r="E941" s="58">
        <f>Start.listina!L629</f>
        <v>0</v>
      </c>
      <c r="F941" s="58"/>
      <c r="G941" s="542" t="str">
        <f>IF(N(A941)&gt;0,VLOOKUP(A941,Body!$A$4:$F$259,5,0),"")</f>
        <v/>
      </c>
      <c r="H941" s="161" t="str">
        <f>IF(N(A941)&gt;0,VLOOKUP(A941,Body!$A$4:$F$259,6,0),"")</f>
        <v/>
      </c>
      <c r="I941" s="161" t="str">
        <f>IF(N(A941)&gt;0,VLOOKUP(A941,Body!$A$4:$F$259,2,0),"")</f>
        <v/>
      </c>
    </row>
    <row r="942" spans="1:9">
      <c r="A942" s="58"/>
      <c r="B942" s="58">
        <f>Start.listina!O629</f>
        <v>0</v>
      </c>
      <c r="C942" s="58">
        <f>Start.listina!P629</f>
        <v>0</v>
      </c>
      <c r="D942" s="58">
        <f>Start.listina!Q629</f>
        <v>0</v>
      </c>
      <c r="E942" s="58">
        <f>Start.listina!R629</f>
        <v>0</v>
      </c>
      <c r="F942" s="58"/>
      <c r="G942" s="542"/>
      <c r="H942" s="161"/>
      <c r="I942" s="161"/>
    </row>
    <row r="943" spans="1:9">
      <c r="A943" s="58"/>
      <c r="B943" s="58">
        <f>Start.listina!U629</f>
        <v>0</v>
      </c>
      <c r="C943" s="58">
        <f>Start.listina!V629</f>
        <v>0</v>
      </c>
      <c r="D943" s="58">
        <f>Start.listina!W629</f>
        <v>0</v>
      </c>
      <c r="E943" s="58">
        <f>Start.listina!X629</f>
        <v>0</v>
      </c>
      <c r="F943" s="58"/>
      <c r="G943" s="542"/>
      <c r="H943" s="161"/>
      <c r="I943" s="161"/>
    </row>
    <row r="944" spans="1:9">
      <c r="A944" s="58"/>
      <c r="B944" s="58">
        <f>Start.listina!AA629</f>
        <v>0</v>
      </c>
      <c r="C944" s="58">
        <f>Start.listina!AB629</f>
        <v>0</v>
      </c>
      <c r="D944" s="58">
        <f>Start.listina!AC629</f>
        <v>0</v>
      </c>
      <c r="E944" s="58">
        <f>Start.listina!AD629</f>
        <v>0</v>
      </c>
      <c r="F944" s="58"/>
      <c r="G944" s="542"/>
      <c r="H944" s="161"/>
      <c r="I944" s="161"/>
    </row>
    <row r="945" spans="1:9">
      <c r="A945" s="58">
        <f>Start.listina!AH630</f>
        <v>0</v>
      </c>
      <c r="B945" s="58">
        <f>Start.listina!I630</f>
        <v>0</v>
      </c>
      <c r="C945" s="543">
        <f>Start.listina!J630</f>
        <v>0</v>
      </c>
      <c r="D945" s="58">
        <f>Start.listina!K630</f>
        <v>0</v>
      </c>
      <c r="E945" s="58">
        <f>Start.listina!L630</f>
        <v>0</v>
      </c>
      <c r="F945" s="58"/>
      <c r="G945" s="542" t="str">
        <f>IF(N(A945)&gt;0,VLOOKUP(A945,Body!$A$4:$F$259,5,0),"")</f>
        <v/>
      </c>
      <c r="H945" s="161" t="str">
        <f>IF(N(A945)&gt;0,VLOOKUP(A945,Body!$A$4:$F$259,6,0),"")</f>
        <v/>
      </c>
      <c r="I945" s="161" t="str">
        <f>IF(N(A945)&gt;0,VLOOKUP(A945,Body!$A$4:$F$259,2,0),"")</f>
        <v/>
      </c>
    </row>
    <row r="946" spans="1:9">
      <c r="A946" s="58"/>
      <c r="B946" s="58">
        <f>Start.listina!O630</f>
        <v>0</v>
      </c>
      <c r="C946" s="58">
        <f>Start.listina!P630</f>
        <v>0</v>
      </c>
      <c r="D946" s="58">
        <f>Start.listina!Q630</f>
        <v>0</v>
      </c>
      <c r="E946" s="58">
        <f>Start.listina!R630</f>
        <v>0</v>
      </c>
      <c r="F946" s="58"/>
      <c r="G946" s="542"/>
      <c r="H946" s="161"/>
      <c r="I946" s="161"/>
    </row>
    <row r="947" spans="1:9">
      <c r="A947" s="58"/>
      <c r="B947" s="58">
        <f>Start.listina!U630</f>
        <v>0</v>
      </c>
      <c r="C947" s="58">
        <f>Start.listina!V630</f>
        <v>0</v>
      </c>
      <c r="D947" s="58">
        <f>Start.listina!W630</f>
        <v>0</v>
      </c>
      <c r="E947" s="58">
        <f>Start.listina!X630</f>
        <v>0</v>
      </c>
      <c r="F947" s="58"/>
      <c r="G947" s="542"/>
      <c r="H947" s="161"/>
      <c r="I947" s="161"/>
    </row>
    <row r="948" spans="1:9">
      <c r="A948" s="58"/>
      <c r="B948" s="58">
        <f>Start.listina!AA630</f>
        <v>0</v>
      </c>
      <c r="C948" s="58">
        <f>Start.listina!AB630</f>
        <v>0</v>
      </c>
      <c r="D948" s="58">
        <f>Start.listina!AC630</f>
        <v>0</v>
      </c>
      <c r="E948" s="58">
        <f>Start.listina!AD630</f>
        <v>0</v>
      </c>
      <c r="F948" s="58"/>
      <c r="G948" s="542"/>
      <c r="H948" s="161"/>
      <c r="I948" s="161"/>
    </row>
    <row r="949" spans="1:9">
      <c r="A949" s="58">
        <f>Start.listina!AH631</f>
        <v>0</v>
      </c>
      <c r="B949" s="58">
        <f>Start.listina!I631</f>
        <v>0</v>
      </c>
      <c r="C949" s="543">
        <f>Start.listina!J631</f>
        <v>0</v>
      </c>
      <c r="D949" s="58">
        <f>Start.listina!K631</f>
        <v>0</v>
      </c>
      <c r="E949" s="58">
        <f>Start.listina!L631</f>
        <v>0</v>
      </c>
      <c r="F949" s="58"/>
      <c r="G949" s="542" t="str">
        <f>IF(N(A949)&gt;0,VLOOKUP(A949,Body!$A$4:$F$259,5,0),"")</f>
        <v/>
      </c>
      <c r="H949" s="161" t="str">
        <f>IF(N(A949)&gt;0,VLOOKUP(A949,Body!$A$4:$F$259,6,0),"")</f>
        <v/>
      </c>
      <c r="I949" s="161" t="str">
        <f>IF(N(A949)&gt;0,VLOOKUP(A949,Body!$A$4:$F$259,2,0),"")</f>
        <v/>
      </c>
    </row>
    <row r="950" spans="1:9">
      <c r="A950" s="58"/>
      <c r="B950" s="58">
        <f>Start.listina!O631</f>
        <v>0</v>
      </c>
      <c r="C950" s="58">
        <f>Start.listina!P631</f>
        <v>0</v>
      </c>
      <c r="D950" s="58">
        <f>Start.listina!Q631</f>
        <v>0</v>
      </c>
      <c r="E950" s="58">
        <f>Start.listina!R631</f>
        <v>0</v>
      </c>
      <c r="F950" s="58"/>
      <c r="G950" s="542"/>
      <c r="H950" s="161"/>
      <c r="I950" s="161"/>
    </row>
    <row r="951" spans="1:9">
      <c r="A951" s="58"/>
      <c r="B951" s="58">
        <f>Start.listina!U631</f>
        <v>0</v>
      </c>
      <c r="C951" s="58">
        <f>Start.listina!V631</f>
        <v>0</v>
      </c>
      <c r="D951" s="58">
        <f>Start.listina!W631</f>
        <v>0</v>
      </c>
      <c r="E951" s="58">
        <f>Start.listina!X631</f>
        <v>0</v>
      </c>
      <c r="F951" s="58"/>
      <c r="G951" s="542"/>
      <c r="H951" s="161"/>
      <c r="I951" s="161"/>
    </row>
    <row r="952" spans="1:9">
      <c r="A952" s="58"/>
      <c r="B952" s="58">
        <f>Start.listina!AA631</f>
        <v>0</v>
      </c>
      <c r="C952" s="58">
        <f>Start.listina!AB631</f>
        <v>0</v>
      </c>
      <c r="D952" s="58">
        <f>Start.listina!AC631</f>
        <v>0</v>
      </c>
      <c r="E952" s="58">
        <f>Start.listina!AD631</f>
        <v>0</v>
      </c>
      <c r="F952" s="58"/>
      <c r="G952" s="542"/>
      <c r="H952" s="161"/>
      <c r="I952" s="161"/>
    </row>
    <row r="953" spans="1:9">
      <c r="A953" s="58">
        <f>Start.listina!AH632</f>
        <v>0</v>
      </c>
      <c r="B953" s="58">
        <f>Start.listina!I632</f>
        <v>0</v>
      </c>
      <c r="C953" s="543">
        <f>Start.listina!J632</f>
        <v>0</v>
      </c>
      <c r="D953" s="58">
        <f>Start.listina!K632</f>
        <v>0</v>
      </c>
      <c r="E953" s="58">
        <f>Start.listina!L632</f>
        <v>0</v>
      </c>
      <c r="F953" s="58"/>
      <c r="G953" s="542" t="str">
        <f>IF(N(A953)&gt;0,VLOOKUP(A953,Body!$A$4:$F$259,5,0),"")</f>
        <v/>
      </c>
      <c r="H953" s="161" t="str">
        <f>IF(N(A953)&gt;0,VLOOKUP(A953,Body!$A$4:$F$259,6,0),"")</f>
        <v/>
      </c>
      <c r="I953" s="161" t="str">
        <f>IF(N(A953)&gt;0,VLOOKUP(A953,Body!$A$4:$F$259,2,0),"")</f>
        <v/>
      </c>
    </row>
    <row r="954" spans="1:9">
      <c r="A954" s="58"/>
      <c r="B954" s="58">
        <f>Start.listina!O632</f>
        <v>0</v>
      </c>
      <c r="C954" s="58">
        <f>Start.listina!P632</f>
        <v>0</v>
      </c>
      <c r="D954" s="58">
        <f>Start.listina!Q632</f>
        <v>0</v>
      </c>
      <c r="E954" s="58">
        <f>Start.listina!R632</f>
        <v>0</v>
      </c>
      <c r="F954" s="58"/>
      <c r="G954" s="542"/>
      <c r="H954" s="161"/>
      <c r="I954" s="161"/>
    </row>
    <row r="955" spans="1:9">
      <c r="A955" s="58"/>
      <c r="B955" s="58">
        <f>Start.listina!U632</f>
        <v>0</v>
      </c>
      <c r="C955" s="58">
        <f>Start.listina!V632</f>
        <v>0</v>
      </c>
      <c r="D955" s="58">
        <f>Start.listina!W632</f>
        <v>0</v>
      </c>
      <c r="E955" s="58">
        <f>Start.listina!X632</f>
        <v>0</v>
      </c>
      <c r="F955" s="58"/>
      <c r="G955" s="542"/>
      <c r="H955" s="161"/>
      <c r="I955" s="161"/>
    </row>
    <row r="956" spans="1:9">
      <c r="A956" s="58"/>
      <c r="B956" s="58">
        <f>Start.listina!AA632</f>
        <v>0</v>
      </c>
      <c r="C956" s="58">
        <f>Start.listina!AB632</f>
        <v>0</v>
      </c>
      <c r="D956" s="58">
        <f>Start.listina!AC632</f>
        <v>0</v>
      </c>
      <c r="E956" s="58">
        <f>Start.listina!AD632</f>
        <v>0</v>
      </c>
      <c r="F956" s="58"/>
      <c r="G956" s="542"/>
      <c r="H956" s="161"/>
      <c r="I956" s="161"/>
    </row>
    <row r="957" spans="1:9">
      <c r="A957" s="58">
        <f>Start.listina!AH633</f>
        <v>0</v>
      </c>
      <c r="B957" s="58">
        <f>Start.listina!I633</f>
        <v>0</v>
      </c>
      <c r="C957" s="543">
        <f>Start.listina!J633</f>
        <v>0</v>
      </c>
      <c r="D957" s="58">
        <f>Start.listina!K633</f>
        <v>0</v>
      </c>
      <c r="E957" s="58">
        <f>Start.listina!L633</f>
        <v>0</v>
      </c>
      <c r="F957" s="58"/>
      <c r="G957" s="542" t="str">
        <f>IF(N(A957)&gt;0,VLOOKUP(A957,Body!$A$4:$F$259,5,0),"")</f>
        <v/>
      </c>
      <c r="H957" s="161" t="str">
        <f>IF(N(A957)&gt;0,VLOOKUP(A957,Body!$A$4:$F$259,6,0),"")</f>
        <v/>
      </c>
      <c r="I957" s="161" t="str">
        <f>IF(N(A957)&gt;0,VLOOKUP(A957,Body!$A$4:$F$259,2,0),"")</f>
        <v/>
      </c>
    </row>
    <row r="958" spans="1:9">
      <c r="A958" s="58"/>
      <c r="B958" s="58">
        <f>Start.listina!O633</f>
        <v>0</v>
      </c>
      <c r="C958" s="58">
        <f>Start.listina!P633</f>
        <v>0</v>
      </c>
      <c r="D958" s="58">
        <f>Start.listina!Q633</f>
        <v>0</v>
      </c>
      <c r="E958" s="58">
        <f>Start.listina!R633</f>
        <v>0</v>
      </c>
      <c r="F958" s="58"/>
      <c r="G958" s="542"/>
      <c r="H958" s="161"/>
      <c r="I958" s="161"/>
    </row>
    <row r="959" spans="1:9">
      <c r="A959" s="58"/>
      <c r="B959" s="58">
        <f>Start.listina!U633</f>
        <v>0</v>
      </c>
      <c r="C959" s="58">
        <f>Start.listina!V633</f>
        <v>0</v>
      </c>
      <c r="D959" s="58">
        <f>Start.listina!W633</f>
        <v>0</v>
      </c>
      <c r="E959" s="58">
        <f>Start.listina!X633</f>
        <v>0</v>
      </c>
      <c r="F959" s="58"/>
      <c r="G959" s="542"/>
      <c r="H959" s="161"/>
      <c r="I959" s="161"/>
    </row>
    <row r="960" spans="1:9">
      <c r="A960" s="58"/>
      <c r="B960" s="58">
        <f>Start.listina!AA633</f>
        <v>0</v>
      </c>
      <c r="C960" s="58">
        <f>Start.listina!AB633</f>
        <v>0</v>
      </c>
      <c r="D960" s="58">
        <f>Start.listina!AC633</f>
        <v>0</v>
      </c>
      <c r="E960" s="58">
        <f>Start.listina!AD633</f>
        <v>0</v>
      </c>
      <c r="F960" s="58"/>
      <c r="G960" s="542"/>
      <c r="H960" s="161"/>
      <c r="I960" s="161"/>
    </row>
    <row r="961" spans="1:9">
      <c r="A961" s="58">
        <f>Start.listina!AH634</f>
        <v>0</v>
      </c>
      <c r="B961" s="58">
        <f>Start.listina!I634</f>
        <v>0</v>
      </c>
      <c r="C961" s="543">
        <f>Start.listina!J634</f>
        <v>0</v>
      </c>
      <c r="D961" s="58">
        <f>Start.listina!K634</f>
        <v>0</v>
      </c>
      <c r="E961" s="58">
        <f>Start.listina!L634</f>
        <v>0</v>
      </c>
      <c r="F961" s="58"/>
      <c r="G961" s="542" t="str">
        <f>IF(N(A961)&gt;0,VLOOKUP(A961,Body!$A$4:$F$259,5,0),"")</f>
        <v/>
      </c>
      <c r="H961" s="161" t="str">
        <f>IF(N(A961)&gt;0,VLOOKUP(A961,Body!$A$4:$F$259,6,0),"")</f>
        <v/>
      </c>
      <c r="I961" s="161" t="str">
        <f>IF(N(A961)&gt;0,VLOOKUP(A961,Body!$A$4:$F$259,2,0),"")</f>
        <v/>
      </c>
    </row>
    <row r="962" spans="1:9">
      <c r="A962" s="58"/>
      <c r="B962" s="58">
        <f>Start.listina!O634</f>
        <v>0</v>
      </c>
      <c r="C962" s="58">
        <f>Start.listina!P634</f>
        <v>0</v>
      </c>
      <c r="D962" s="58">
        <f>Start.listina!Q634</f>
        <v>0</v>
      </c>
      <c r="E962" s="58">
        <f>Start.listina!R634</f>
        <v>0</v>
      </c>
      <c r="F962" s="58"/>
      <c r="G962" s="542"/>
      <c r="H962" s="161"/>
      <c r="I962" s="161"/>
    </row>
    <row r="963" spans="1:9">
      <c r="A963" s="58"/>
      <c r="B963" s="58">
        <f>Start.listina!U634</f>
        <v>0</v>
      </c>
      <c r="C963" s="58">
        <f>Start.listina!V634</f>
        <v>0</v>
      </c>
      <c r="D963" s="58">
        <f>Start.listina!W634</f>
        <v>0</v>
      </c>
      <c r="E963" s="58">
        <f>Start.listina!X634</f>
        <v>0</v>
      </c>
      <c r="F963" s="58"/>
      <c r="G963" s="542"/>
      <c r="H963" s="161"/>
      <c r="I963" s="161"/>
    </row>
    <row r="964" spans="1:9">
      <c r="A964" s="58"/>
      <c r="B964" s="58">
        <f>Start.listina!AA634</f>
        <v>0</v>
      </c>
      <c r="C964" s="58">
        <f>Start.listina!AB634</f>
        <v>0</v>
      </c>
      <c r="D964" s="58">
        <f>Start.listina!AC634</f>
        <v>0</v>
      </c>
      <c r="E964" s="58">
        <f>Start.listina!AD634</f>
        <v>0</v>
      </c>
      <c r="F964" s="58"/>
      <c r="G964" s="542"/>
      <c r="H964" s="161"/>
      <c r="I964" s="161"/>
    </row>
    <row r="965" spans="1:9">
      <c r="A965" s="58">
        <f>Start.listina!AH635</f>
        <v>0</v>
      </c>
      <c r="B965" s="58">
        <f>Start.listina!I635</f>
        <v>0</v>
      </c>
      <c r="C965" s="543">
        <f>Start.listina!J635</f>
        <v>0</v>
      </c>
      <c r="D965" s="58">
        <f>Start.listina!K635</f>
        <v>0</v>
      </c>
      <c r="E965" s="58">
        <f>Start.listina!L635</f>
        <v>0</v>
      </c>
      <c r="F965" s="58"/>
      <c r="G965" s="542" t="str">
        <f>IF(N(A965)&gt;0,VLOOKUP(A965,Body!$A$4:$F$259,5,0),"")</f>
        <v/>
      </c>
      <c r="H965" s="161" t="str">
        <f>IF(N(A965)&gt;0,VLOOKUP(A965,Body!$A$4:$F$259,6,0),"")</f>
        <v/>
      </c>
      <c r="I965" s="161" t="str">
        <f>IF(N(A965)&gt;0,VLOOKUP(A965,Body!$A$4:$F$259,2,0),"")</f>
        <v/>
      </c>
    </row>
    <row r="966" spans="1:9">
      <c r="A966" s="58"/>
      <c r="B966" s="58">
        <f>Start.listina!O635</f>
        <v>0</v>
      </c>
      <c r="C966" s="58">
        <f>Start.listina!P635</f>
        <v>0</v>
      </c>
      <c r="D966" s="58">
        <f>Start.listina!Q635</f>
        <v>0</v>
      </c>
      <c r="E966" s="58">
        <f>Start.listina!R635</f>
        <v>0</v>
      </c>
      <c r="F966" s="58"/>
      <c r="G966" s="542"/>
      <c r="H966" s="161"/>
      <c r="I966" s="161"/>
    </row>
    <row r="967" spans="1:9">
      <c r="A967" s="58"/>
      <c r="B967" s="58">
        <f>Start.listina!U635</f>
        <v>0</v>
      </c>
      <c r="C967" s="58">
        <f>Start.listina!V635</f>
        <v>0</v>
      </c>
      <c r="D967" s="58">
        <f>Start.listina!W635</f>
        <v>0</v>
      </c>
      <c r="E967" s="58">
        <f>Start.listina!X635</f>
        <v>0</v>
      </c>
      <c r="F967" s="58"/>
      <c r="G967" s="542"/>
      <c r="H967" s="161"/>
      <c r="I967" s="161"/>
    </row>
    <row r="968" spans="1:9">
      <c r="A968" s="58"/>
      <c r="B968" s="58">
        <f>Start.listina!AA635</f>
        <v>0</v>
      </c>
      <c r="C968" s="58">
        <f>Start.listina!AB635</f>
        <v>0</v>
      </c>
      <c r="D968" s="58">
        <f>Start.listina!AC635</f>
        <v>0</v>
      </c>
      <c r="E968" s="58">
        <f>Start.listina!AD635</f>
        <v>0</v>
      </c>
      <c r="F968" s="58"/>
      <c r="G968" s="542"/>
      <c r="H968" s="161"/>
      <c r="I968" s="161"/>
    </row>
    <row r="969" spans="1:9">
      <c r="A969" s="58">
        <f>Start.listina!AH636</f>
        <v>0</v>
      </c>
      <c r="B969" s="58">
        <f>Start.listina!I636</f>
        <v>0</v>
      </c>
      <c r="C969" s="543">
        <f>Start.listina!J636</f>
        <v>0</v>
      </c>
      <c r="D969" s="58">
        <f>Start.listina!K636</f>
        <v>0</v>
      </c>
      <c r="E969" s="58">
        <f>Start.listina!L636</f>
        <v>0</v>
      </c>
      <c r="F969" s="58"/>
      <c r="G969" s="542" t="str">
        <f>IF(N(A969)&gt;0,VLOOKUP(A969,Body!$A$4:$F$259,5,0),"")</f>
        <v/>
      </c>
      <c r="H969" s="161" t="str">
        <f>IF(N(A969)&gt;0,VLOOKUP(A969,Body!$A$4:$F$259,6,0),"")</f>
        <v/>
      </c>
      <c r="I969" s="161" t="str">
        <f>IF(N(A969)&gt;0,VLOOKUP(A969,Body!$A$4:$F$259,2,0),"")</f>
        <v/>
      </c>
    </row>
    <row r="970" spans="1:9">
      <c r="A970" s="58"/>
      <c r="B970" s="58">
        <f>Start.listina!O636</f>
        <v>0</v>
      </c>
      <c r="C970" s="58">
        <f>Start.listina!P636</f>
        <v>0</v>
      </c>
      <c r="D970" s="58">
        <f>Start.listina!Q636</f>
        <v>0</v>
      </c>
      <c r="E970" s="58">
        <f>Start.listina!R636</f>
        <v>0</v>
      </c>
      <c r="F970" s="58"/>
      <c r="G970" s="542"/>
      <c r="H970" s="161"/>
      <c r="I970" s="161"/>
    </row>
    <row r="971" spans="1:9">
      <c r="A971" s="58"/>
      <c r="B971" s="58">
        <f>Start.listina!U636</f>
        <v>0</v>
      </c>
      <c r="C971" s="58">
        <f>Start.listina!V636</f>
        <v>0</v>
      </c>
      <c r="D971" s="58">
        <f>Start.listina!W636</f>
        <v>0</v>
      </c>
      <c r="E971" s="58">
        <f>Start.listina!X636</f>
        <v>0</v>
      </c>
      <c r="F971" s="58"/>
      <c r="G971" s="542"/>
      <c r="H971" s="161"/>
      <c r="I971" s="161"/>
    </row>
    <row r="972" spans="1:9">
      <c r="A972" s="58"/>
      <c r="B972" s="58">
        <f>Start.listina!AA636</f>
        <v>0</v>
      </c>
      <c r="C972" s="58">
        <f>Start.listina!AB636</f>
        <v>0</v>
      </c>
      <c r="D972" s="58">
        <f>Start.listina!AC636</f>
        <v>0</v>
      </c>
      <c r="E972" s="58">
        <f>Start.listina!AD636</f>
        <v>0</v>
      </c>
      <c r="F972" s="58"/>
      <c r="G972" s="542"/>
      <c r="H972" s="161"/>
      <c r="I972" s="161"/>
    </row>
    <row r="973" spans="1:9">
      <c r="A973" s="58">
        <f>Start.listina!AH637</f>
        <v>0</v>
      </c>
      <c r="B973" s="58">
        <f>Start.listina!I637</f>
        <v>0</v>
      </c>
      <c r="C973" s="543">
        <f>Start.listina!J637</f>
        <v>0</v>
      </c>
      <c r="D973" s="58">
        <f>Start.listina!K637</f>
        <v>0</v>
      </c>
      <c r="E973" s="58">
        <f>Start.listina!L637</f>
        <v>0</v>
      </c>
      <c r="F973" s="58"/>
      <c r="G973" s="542" t="str">
        <f>IF(N(A973)&gt;0,VLOOKUP(A973,Body!$A$4:$F$259,5,0),"")</f>
        <v/>
      </c>
      <c r="H973" s="161" t="str">
        <f>IF(N(A973)&gt;0,VLOOKUP(A973,Body!$A$4:$F$259,6,0),"")</f>
        <v/>
      </c>
      <c r="I973" s="161" t="str">
        <f>IF(N(A973)&gt;0,VLOOKUP(A973,Body!$A$4:$F$259,2,0),"")</f>
        <v/>
      </c>
    </row>
    <row r="974" spans="1:9">
      <c r="A974" s="58"/>
      <c r="B974" s="58">
        <f>Start.listina!O637</f>
        <v>0</v>
      </c>
      <c r="C974" s="58">
        <f>Start.listina!P637</f>
        <v>0</v>
      </c>
      <c r="D974" s="58">
        <f>Start.listina!Q637</f>
        <v>0</v>
      </c>
      <c r="E974" s="58">
        <f>Start.listina!R637</f>
        <v>0</v>
      </c>
      <c r="F974" s="58"/>
      <c r="G974" s="542"/>
      <c r="H974" s="161"/>
      <c r="I974" s="161"/>
    </row>
    <row r="975" spans="1:9">
      <c r="A975" s="58"/>
      <c r="B975" s="58">
        <f>Start.listina!U637</f>
        <v>0</v>
      </c>
      <c r="C975" s="58">
        <f>Start.listina!V637</f>
        <v>0</v>
      </c>
      <c r="D975" s="58">
        <f>Start.listina!W637</f>
        <v>0</v>
      </c>
      <c r="E975" s="58">
        <f>Start.listina!X637</f>
        <v>0</v>
      </c>
      <c r="F975" s="58"/>
      <c r="G975" s="542"/>
      <c r="H975" s="161"/>
      <c r="I975" s="161"/>
    </row>
    <row r="976" spans="1:9">
      <c r="A976" s="58"/>
      <c r="B976" s="58">
        <f>Start.listina!AA637</f>
        <v>0</v>
      </c>
      <c r="C976" s="58">
        <f>Start.listina!AB637</f>
        <v>0</v>
      </c>
      <c r="D976" s="58">
        <f>Start.listina!AC637</f>
        <v>0</v>
      </c>
      <c r="E976" s="58">
        <f>Start.listina!AD637</f>
        <v>0</v>
      </c>
      <c r="F976" s="58"/>
      <c r="G976" s="542"/>
      <c r="H976" s="161"/>
      <c r="I976" s="161"/>
    </row>
    <row r="977" spans="1:9">
      <c r="A977" s="58">
        <f>Start.listina!AH638</f>
        <v>0</v>
      </c>
      <c r="B977" s="58">
        <f>Start.listina!I638</f>
        <v>0</v>
      </c>
      <c r="C977" s="543">
        <f>Start.listina!J638</f>
        <v>0</v>
      </c>
      <c r="D977" s="58">
        <f>Start.listina!K638</f>
        <v>0</v>
      </c>
      <c r="E977" s="58">
        <f>Start.listina!L638</f>
        <v>0</v>
      </c>
      <c r="F977" s="58"/>
      <c r="G977" s="542" t="str">
        <f>IF(N(A977)&gt;0,VLOOKUP(A977,Body!$A$4:$F$259,5,0),"")</f>
        <v/>
      </c>
      <c r="H977" s="161" t="str">
        <f>IF(N(A977)&gt;0,VLOOKUP(A977,Body!$A$4:$F$259,6,0),"")</f>
        <v/>
      </c>
      <c r="I977" s="161" t="str">
        <f>IF(N(A977)&gt;0,VLOOKUP(A977,Body!$A$4:$F$259,2,0),"")</f>
        <v/>
      </c>
    </row>
    <row r="978" spans="1:9">
      <c r="A978" s="58"/>
      <c r="B978" s="58">
        <f>Start.listina!O638</f>
        <v>0</v>
      </c>
      <c r="C978" s="58">
        <f>Start.listina!P638</f>
        <v>0</v>
      </c>
      <c r="D978" s="58">
        <f>Start.listina!Q638</f>
        <v>0</v>
      </c>
      <c r="E978" s="58">
        <f>Start.listina!R638</f>
        <v>0</v>
      </c>
      <c r="F978" s="58"/>
      <c r="G978" s="542"/>
      <c r="H978" s="161"/>
      <c r="I978" s="161"/>
    </row>
    <row r="979" spans="1:9">
      <c r="A979" s="58"/>
      <c r="B979" s="58">
        <f>Start.listina!U638</f>
        <v>0</v>
      </c>
      <c r="C979" s="58">
        <f>Start.listina!V638</f>
        <v>0</v>
      </c>
      <c r="D979" s="58">
        <f>Start.listina!W638</f>
        <v>0</v>
      </c>
      <c r="E979" s="58">
        <f>Start.listina!X638</f>
        <v>0</v>
      </c>
      <c r="F979" s="58"/>
      <c r="G979" s="542"/>
      <c r="H979" s="161"/>
      <c r="I979" s="161"/>
    </row>
    <row r="980" spans="1:9">
      <c r="A980" s="58"/>
      <c r="B980" s="58">
        <f>Start.listina!AA638</f>
        <v>0</v>
      </c>
      <c r="C980" s="58">
        <f>Start.listina!AB638</f>
        <v>0</v>
      </c>
      <c r="D980" s="58">
        <f>Start.listina!AC638</f>
        <v>0</v>
      </c>
      <c r="E980" s="58">
        <f>Start.listina!AD638</f>
        <v>0</v>
      </c>
      <c r="F980" s="58"/>
      <c r="G980" s="542"/>
      <c r="H980" s="161"/>
      <c r="I980" s="161"/>
    </row>
    <row r="981" spans="1:9">
      <c r="A981" s="58">
        <f>Start.listina!AH639</f>
        <v>0</v>
      </c>
      <c r="B981" s="58">
        <f>Start.listina!I639</f>
        <v>0</v>
      </c>
      <c r="C981" s="543">
        <f>Start.listina!J639</f>
        <v>0</v>
      </c>
      <c r="D981" s="58">
        <f>Start.listina!K639</f>
        <v>0</v>
      </c>
      <c r="E981" s="58">
        <f>Start.listina!L639</f>
        <v>0</v>
      </c>
      <c r="F981" s="58"/>
      <c r="G981" s="542" t="str">
        <f>IF(N(A981)&gt;0,VLOOKUP(A981,Body!$A$4:$F$259,5,0),"")</f>
        <v/>
      </c>
      <c r="H981" s="161" t="str">
        <f>IF(N(A981)&gt;0,VLOOKUP(A981,Body!$A$4:$F$259,6,0),"")</f>
        <v/>
      </c>
      <c r="I981" s="161" t="str">
        <f>IF(N(A981)&gt;0,VLOOKUP(A981,Body!$A$4:$F$259,2,0),"")</f>
        <v/>
      </c>
    </row>
    <row r="982" spans="1:9">
      <c r="A982" s="58"/>
      <c r="B982" s="58">
        <f>Start.listina!O639</f>
        <v>0</v>
      </c>
      <c r="C982" s="58">
        <f>Start.listina!P639</f>
        <v>0</v>
      </c>
      <c r="D982" s="58">
        <f>Start.listina!Q639</f>
        <v>0</v>
      </c>
      <c r="E982" s="58">
        <f>Start.listina!R639</f>
        <v>0</v>
      </c>
      <c r="F982" s="58"/>
      <c r="G982" s="542"/>
      <c r="H982" s="161"/>
      <c r="I982" s="161"/>
    </row>
    <row r="983" spans="1:9">
      <c r="A983" s="58"/>
      <c r="B983" s="58">
        <f>Start.listina!U639</f>
        <v>0</v>
      </c>
      <c r="C983" s="58">
        <f>Start.listina!V639</f>
        <v>0</v>
      </c>
      <c r="D983" s="58">
        <f>Start.listina!W639</f>
        <v>0</v>
      </c>
      <c r="E983" s="58">
        <f>Start.listina!X639</f>
        <v>0</v>
      </c>
      <c r="F983" s="58"/>
      <c r="G983" s="542"/>
      <c r="H983" s="161"/>
      <c r="I983" s="161"/>
    </row>
    <row r="984" spans="1:9">
      <c r="A984" s="58"/>
      <c r="B984" s="58">
        <f>Start.listina!AA639</f>
        <v>0</v>
      </c>
      <c r="C984" s="58">
        <f>Start.listina!AB639</f>
        <v>0</v>
      </c>
      <c r="D984" s="58">
        <f>Start.listina!AC639</f>
        <v>0</v>
      </c>
      <c r="E984" s="58">
        <f>Start.listina!AD639</f>
        <v>0</v>
      </c>
      <c r="F984" s="58"/>
      <c r="G984" s="542"/>
      <c r="H984" s="161"/>
      <c r="I984" s="161"/>
    </row>
    <row r="985" spans="1:9">
      <c r="A985" s="58">
        <f>Start.listina!AH640</f>
        <v>0</v>
      </c>
      <c r="B985" s="58">
        <f>Start.listina!I640</f>
        <v>0</v>
      </c>
      <c r="C985" s="543">
        <f>Start.listina!J640</f>
        <v>0</v>
      </c>
      <c r="D985" s="58">
        <f>Start.listina!K640</f>
        <v>0</v>
      </c>
      <c r="E985" s="58">
        <f>Start.listina!L640</f>
        <v>0</v>
      </c>
      <c r="F985" s="58"/>
      <c r="G985" s="542" t="str">
        <f>IF(N(A985)&gt;0,VLOOKUP(A985,Body!$A$4:$F$259,5,0),"")</f>
        <v/>
      </c>
      <c r="H985" s="161" t="str">
        <f>IF(N(A985)&gt;0,VLOOKUP(A985,Body!$A$4:$F$259,6,0),"")</f>
        <v/>
      </c>
      <c r="I985" s="161" t="str">
        <f>IF(N(A985)&gt;0,VLOOKUP(A985,Body!$A$4:$F$259,2,0),"")</f>
        <v/>
      </c>
    </row>
    <row r="986" spans="1:9">
      <c r="A986" s="58"/>
      <c r="B986" s="58">
        <f>Start.listina!O640</f>
        <v>0</v>
      </c>
      <c r="C986" s="58">
        <f>Start.listina!P640</f>
        <v>0</v>
      </c>
      <c r="D986" s="58">
        <f>Start.listina!Q640</f>
        <v>0</v>
      </c>
      <c r="E986" s="58">
        <f>Start.listina!R640</f>
        <v>0</v>
      </c>
      <c r="F986" s="58"/>
      <c r="G986" s="542"/>
      <c r="H986" s="161"/>
      <c r="I986" s="161"/>
    </row>
    <row r="987" spans="1:9">
      <c r="A987" s="58"/>
      <c r="B987" s="58">
        <f>Start.listina!U640</f>
        <v>0</v>
      </c>
      <c r="C987" s="58">
        <f>Start.listina!V640</f>
        <v>0</v>
      </c>
      <c r="D987" s="58">
        <f>Start.listina!W640</f>
        <v>0</v>
      </c>
      <c r="E987" s="58">
        <f>Start.listina!X640</f>
        <v>0</v>
      </c>
      <c r="F987" s="58"/>
      <c r="G987" s="542"/>
      <c r="H987" s="161"/>
      <c r="I987" s="161"/>
    </row>
    <row r="988" spans="1:9">
      <c r="A988" s="58"/>
      <c r="B988" s="58">
        <f>Start.listina!AA640</f>
        <v>0</v>
      </c>
      <c r="C988" s="58">
        <f>Start.listina!AB640</f>
        <v>0</v>
      </c>
      <c r="D988" s="58">
        <f>Start.listina!AC640</f>
        <v>0</v>
      </c>
      <c r="E988" s="58">
        <f>Start.listina!AD640</f>
        <v>0</v>
      </c>
      <c r="F988" s="58"/>
      <c r="G988" s="542"/>
      <c r="H988" s="161"/>
      <c r="I988" s="161"/>
    </row>
    <row r="989" spans="1:9">
      <c r="A989" s="58">
        <f>Start.listina!AH641</f>
        <v>0</v>
      </c>
      <c r="B989" s="58">
        <f>Start.listina!I641</f>
        <v>0</v>
      </c>
      <c r="C989" s="543">
        <f>Start.listina!J641</f>
        <v>0</v>
      </c>
      <c r="D989" s="58">
        <f>Start.listina!K641</f>
        <v>0</v>
      </c>
      <c r="E989" s="58">
        <f>Start.listina!L641</f>
        <v>0</v>
      </c>
      <c r="F989" s="58"/>
      <c r="G989" s="542" t="str">
        <f>IF(N(A989)&gt;0,VLOOKUP(A989,Body!$A$4:$F$259,5,0),"")</f>
        <v/>
      </c>
      <c r="H989" s="161" t="str">
        <f>IF(N(A989)&gt;0,VLOOKUP(A989,Body!$A$4:$F$259,6,0),"")</f>
        <v/>
      </c>
      <c r="I989" s="161" t="str">
        <f>IF(N(A989)&gt;0,VLOOKUP(A989,Body!$A$4:$F$259,2,0),"")</f>
        <v/>
      </c>
    </row>
    <row r="990" spans="1:9">
      <c r="A990" s="58"/>
      <c r="B990" s="58">
        <f>Start.listina!O641</f>
        <v>0</v>
      </c>
      <c r="C990" s="58">
        <f>Start.listina!P641</f>
        <v>0</v>
      </c>
      <c r="D990" s="58">
        <f>Start.listina!Q641</f>
        <v>0</v>
      </c>
      <c r="E990" s="58">
        <f>Start.listina!R641</f>
        <v>0</v>
      </c>
      <c r="F990" s="58"/>
      <c r="G990" s="542"/>
      <c r="H990" s="161"/>
      <c r="I990" s="161"/>
    </row>
    <row r="991" spans="1:9">
      <c r="A991" s="58"/>
      <c r="B991" s="58">
        <f>Start.listina!U641</f>
        <v>0</v>
      </c>
      <c r="C991" s="58">
        <f>Start.listina!V641</f>
        <v>0</v>
      </c>
      <c r="D991" s="58">
        <f>Start.listina!W641</f>
        <v>0</v>
      </c>
      <c r="E991" s="58">
        <f>Start.listina!X641</f>
        <v>0</v>
      </c>
      <c r="F991" s="58"/>
      <c r="G991" s="542"/>
      <c r="H991" s="161"/>
      <c r="I991" s="161"/>
    </row>
    <row r="992" spans="1:9">
      <c r="A992" s="58"/>
      <c r="B992" s="58">
        <f>Start.listina!AA641</f>
        <v>0</v>
      </c>
      <c r="C992" s="58">
        <f>Start.listina!AB641</f>
        <v>0</v>
      </c>
      <c r="D992" s="58">
        <f>Start.listina!AC641</f>
        <v>0</v>
      </c>
      <c r="E992" s="58">
        <f>Start.listina!AD641</f>
        <v>0</v>
      </c>
      <c r="F992" s="58"/>
      <c r="G992" s="542"/>
      <c r="H992" s="161"/>
      <c r="I992" s="161"/>
    </row>
    <row r="993" spans="1:9">
      <c r="A993" s="58">
        <f>Start.listina!AH642</f>
        <v>0</v>
      </c>
      <c r="B993" s="58">
        <f>Start.listina!I642</f>
        <v>0</v>
      </c>
      <c r="C993" s="543">
        <f>Start.listina!J642</f>
        <v>0</v>
      </c>
      <c r="D993" s="58">
        <f>Start.listina!K642</f>
        <v>0</v>
      </c>
      <c r="E993" s="58">
        <f>Start.listina!L642</f>
        <v>0</v>
      </c>
      <c r="F993" s="58"/>
      <c r="G993" s="542" t="str">
        <f>IF(N(A993)&gt;0,VLOOKUP(A993,Body!$A$4:$F$259,5,0),"")</f>
        <v/>
      </c>
      <c r="H993" s="161" t="str">
        <f>IF(N(A993)&gt;0,VLOOKUP(A993,Body!$A$4:$F$259,6,0),"")</f>
        <v/>
      </c>
      <c r="I993" s="161" t="str">
        <f>IF(N(A993)&gt;0,VLOOKUP(A993,Body!$A$4:$F$259,2,0),"")</f>
        <v/>
      </c>
    </row>
    <row r="994" spans="1:9">
      <c r="A994" s="58"/>
      <c r="B994" s="58">
        <f>Start.listina!O642</f>
        <v>0</v>
      </c>
      <c r="C994" s="58">
        <f>Start.listina!P642</f>
        <v>0</v>
      </c>
      <c r="D994" s="58">
        <f>Start.listina!Q642</f>
        <v>0</v>
      </c>
      <c r="E994" s="58">
        <f>Start.listina!R642</f>
        <v>0</v>
      </c>
      <c r="F994" s="58"/>
      <c r="G994" s="542"/>
      <c r="H994" s="161"/>
      <c r="I994" s="161"/>
    </row>
    <row r="995" spans="1:9">
      <c r="A995" s="58"/>
      <c r="B995" s="58">
        <f>Start.listina!U642</f>
        <v>0</v>
      </c>
      <c r="C995" s="58">
        <f>Start.listina!V642</f>
        <v>0</v>
      </c>
      <c r="D995" s="58">
        <f>Start.listina!W642</f>
        <v>0</v>
      </c>
      <c r="E995" s="58">
        <f>Start.listina!X642</f>
        <v>0</v>
      </c>
      <c r="F995" s="58"/>
      <c r="G995" s="542"/>
      <c r="H995" s="161"/>
      <c r="I995" s="161"/>
    </row>
    <row r="996" spans="1:9">
      <c r="A996" s="58"/>
      <c r="B996" s="58">
        <f>Start.listina!AA642</f>
        <v>0</v>
      </c>
      <c r="C996" s="58">
        <f>Start.listina!AB642</f>
        <v>0</v>
      </c>
      <c r="D996" s="58">
        <f>Start.listina!AC642</f>
        <v>0</v>
      </c>
      <c r="E996" s="58">
        <f>Start.listina!AD642</f>
        <v>0</v>
      </c>
      <c r="F996" s="58"/>
      <c r="G996" s="542"/>
      <c r="H996" s="161"/>
      <c r="I996" s="161"/>
    </row>
    <row r="997" spans="1:9">
      <c r="A997" s="58">
        <f>Start.listina!AH643</f>
        <v>0</v>
      </c>
      <c r="B997" s="58">
        <f>Start.listina!I643</f>
        <v>0</v>
      </c>
      <c r="C997" s="543">
        <f>Start.listina!J643</f>
        <v>0</v>
      </c>
      <c r="D997" s="58">
        <f>Start.listina!K643</f>
        <v>0</v>
      </c>
      <c r="E997" s="58">
        <f>Start.listina!L643</f>
        <v>0</v>
      </c>
      <c r="F997" s="58"/>
      <c r="G997" s="542" t="str">
        <f>IF(N(A997)&gt;0,VLOOKUP(A997,Body!$A$4:$F$259,5,0),"")</f>
        <v/>
      </c>
      <c r="H997" s="161" t="str">
        <f>IF(N(A997)&gt;0,VLOOKUP(A997,Body!$A$4:$F$259,6,0),"")</f>
        <v/>
      </c>
      <c r="I997" s="161" t="str">
        <f>IF(N(A997)&gt;0,VLOOKUP(A997,Body!$A$4:$F$259,2,0),"")</f>
        <v/>
      </c>
    </row>
    <row r="998" spans="1:9">
      <c r="A998" s="58"/>
      <c r="B998" s="58">
        <f>Start.listina!O643</f>
        <v>0</v>
      </c>
      <c r="C998" s="58">
        <f>Start.listina!P643</f>
        <v>0</v>
      </c>
      <c r="D998" s="58">
        <f>Start.listina!Q643</f>
        <v>0</v>
      </c>
      <c r="E998" s="58">
        <f>Start.listina!R643</f>
        <v>0</v>
      </c>
      <c r="F998" s="58"/>
      <c r="G998" s="542"/>
      <c r="H998" s="161"/>
      <c r="I998" s="161"/>
    </row>
    <row r="999" spans="1:9">
      <c r="A999" s="58"/>
      <c r="B999" s="58">
        <f>Start.listina!U643</f>
        <v>0</v>
      </c>
      <c r="C999" s="58">
        <f>Start.listina!V643</f>
        <v>0</v>
      </c>
      <c r="D999" s="58">
        <f>Start.listina!W643</f>
        <v>0</v>
      </c>
      <c r="E999" s="58">
        <f>Start.listina!X643</f>
        <v>0</v>
      </c>
      <c r="F999" s="58"/>
      <c r="G999" s="542"/>
      <c r="H999" s="161"/>
      <c r="I999" s="161"/>
    </row>
    <row r="1000" spans="1:9">
      <c r="A1000" s="58"/>
      <c r="B1000" s="58">
        <f>Start.listina!AA643</f>
        <v>0</v>
      </c>
      <c r="C1000" s="58">
        <f>Start.listina!AB643</f>
        <v>0</v>
      </c>
      <c r="D1000" s="58">
        <f>Start.listina!AC643</f>
        <v>0</v>
      </c>
      <c r="E1000" s="58">
        <f>Start.listina!AD643</f>
        <v>0</v>
      </c>
      <c r="F1000" s="58"/>
      <c r="G1000" s="542"/>
      <c r="H1000" s="161"/>
      <c r="I1000" s="161"/>
    </row>
    <row r="1001" spans="1:9">
      <c r="A1001" s="58">
        <f>Start.listina!AH644</f>
        <v>0</v>
      </c>
      <c r="B1001" s="58">
        <f>Start.listina!I644</f>
        <v>0</v>
      </c>
      <c r="C1001" s="543">
        <f>Start.listina!J644</f>
        <v>0</v>
      </c>
      <c r="D1001" s="58">
        <f>Start.listina!K644</f>
        <v>0</v>
      </c>
      <c r="E1001" s="58">
        <f>Start.listina!L644</f>
        <v>0</v>
      </c>
      <c r="F1001" s="58"/>
      <c r="G1001" s="542" t="str">
        <f>IF(N(A1001)&gt;0,VLOOKUP(A1001,Body!$A$4:$F$259,5,0),"")</f>
        <v/>
      </c>
      <c r="H1001" s="161" t="str">
        <f>IF(N(A1001)&gt;0,VLOOKUP(A1001,Body!$A$4:$F$259,6,0),"")</f>
        <v/>
      </c>
      <c r="I1001" s="161" t="str">
        <f>IF(N(A1001)&gt;0,VLOOKUP(A1001,Body!$A$4:$F$259,2,0),"")</f>
        <v/>
      </c>
    </row>
    <row r="1002" spans="1:9">
      <c r="A1002" s="58"/>
      <c r="B1002" s="58">
        <f>Start.listina!O644</f>
        <v>0</v>
      </c>
      <c r="C1002" s="58">
        <f>Start.listina!P644</f>
        <v>0</v>
      </c>
      <c r="D1002" s="58">
        <f>Start.listina!Q644</f>
        <v>0</v>
      </c>
      <c r="E1002" s="58">
        <f>Start.listina!R644</f>
        <v>0</v>
      </c>
      <c r="F1002" s="58"/>
      <c r="G1002" s="542"/>
      <c r="H1002" s="161"/>
      <c r="I1002" s="161"/>
    </row>
    <row r="1003" spans="1:9">
      <c r="A1003" s="58"/>
      <c r="B1003" s="58">
        <f>Start.listina!U644</f>
        <v>0</v>
      </c>
      <c r="C1003" s="58">
        <f>Start.listina!V644</f>
        <v>0</v>
      </c>
      <c r="D1003" s="58">
        <f>Start.listina!W644</f>
        <v>0</v>
      </c>
      <c r="E1003" s="58">
        <f>Start.listina!X644</f>
        <v>0</v>
      </c>
      <c r="F1003" s="58"/>
      <c r="G1003" s="542"/>
      <c r="H1003" s="161"/>
      <c r="I1003" s="161"/>
    </row>
    <row r="1004" spans="1:9">
      <c r="A1004" s="58"/>
      <c r="B1004" s="58">
        <f>Start.listina!AA644</f>
        <v>0</v>
      </c>
      <c r="C1004" s="58">
        <f>Start.listina!AB644</f>
        <v>0</v>
      </c>
      <c r="D1004" s="58">
        <f>Start.listina!AC644</f>
        <v>0</v>
      </c>
      <c r="E1004" s="58">
        <f>Start.listina!AD644</f>
        <v>0</v>
      </c>
      <c r="F1004" s="58"/>
      <c r="G1004" s="542"/>
      <c r="H1004" s="161"/>
      <c r="I1004" s="161"/>
    </row>
    <row r="1005" spans="1:9">
      <c r="A1005" s="58">
        <f>Start.listina!AH645</f>
        <v>0</v>
      </c>
      <c r="B1005" s="58">
        <f>Start.listina!I645</f>
        <v>0</v>
      </c>
      <c r="C1005" s="543">
        <f>Start.listina!J645</f>
        <v>0</v>
      </c>
      <c r="D1005" s="58">
        <f>Start.listina!K645</f>
        <v>0</v>
      </c>
      <c r="E1005" s="58">
        <f>Start.listina!L645</f>
        <v>0</v>
      </c>
      <c r="F1005" s="58"/>
      <c r="G1005" s="542" t="str">
        <f>IF(N(A1005)&gt;0,VLOOKUP(A1005,Body!$A$4:$F$259,5,0),"")</f>
        <v/>
      </c>
      <c r="H1005" s="161" t="str">
        <f>IF(N(A1005)&gt;0,VLOOKUP(A1005,Body!$A$4:$F$259,6,0),"")</f>
        <v/>
      </c>
      <c r="I1005" s="161" t="str">
        <f>IF(N(A1005)&gt;0,VLOOKUP(A1005,Body!$A$4:$F$259,2,0),"")</f>
        <v/>
      </c>
    </row>
    <row r="1006" spans="1:9">
      <c r="A1006" s="58"/>
      <c r="B1006" s="58">
        <f>Start.listina!O645</f>
        <v>0</v>
      </c>
      <c r="C1006" s="58">
        <f>Start.listina!P645</f>
        <v>0</v>
      </c>
      <c r="D1006" s="58">
        <f>Start.listina!Q645</f>
        <v>0</v>
      </c>
      <c r="E1006" s="58">
        <f>Start.listina!R645</f>
        <v>0</v>
      </c>
      <c r="F1006" s="58"/>
      <c r="G1006" s="542"/>
      <c r="H1006" s="161"/>
      <c r="I1006" s="161"/>
    </row>
    <row r="1007" spans="1:9">
      <c r="A1007" s="58"/>
      <c r="B1007" s="58">
        <f>Start.listina!U645</f>
        <v>0</v>
      </c>
      <c r="C1007" s="58">
        <f>Start.listina!V645</f>
        <v>0</v>
      </c>
      <c r="D1007" s="58">
        <f>Start.listina!W645</f>
        <v>0</v>
      </c>
      <c r="E1007" s="58">
        <f>Start.listina!X645</f>
        <v>0</v>
      </c>
      <c r="F1007" s="58"/>
      <c r="G1007" s="542"/>
      <c r="H1007" s="161"/>
      <c r="I1007" s="161"/>
    </row>
    <row r="1008" spans="1:9">
      <c r="A1008" s="58"/>
      <c r="B1008" s="58">
        <f>Start.listina!AA645</f>
        <v>0</v>
      </c>
      <c r="C1008" s="58">
        <f>Start.listina!AB645</f>
        <v>0</v>
      </c>
      <c r="D1008" s="58">
        <f>Start.listina!AC645</f>
        <v>0</v>
      </c>
      <c r="E1008" s="58">
        <f>Start.listina!AD645</f>
        <v>0</v>
      </c>
      <c r="F1008" s="58"/>
      <c r="G1008" s="542"/>
      <c r="H1008" s="161"/>
      <c r="I1008" s="161"/>
    </row>
    <row r="1009" spans="1:9">
      <c r="A1009" s="58">
        <f>Start.listina!AH646</f>
        <v>0</v>
      </c>
      <c r="B1009" s="58">
        <f>Start.listina!I646</f>
        <v>0</v>
      </c>
      <c r="C1009" s="543">
        <f>Start.listina!J646</f>
        <v>0</v>
      </c>
      <c r="D1009" s="58">
        <f>Start.listina!K646</f>
        <v>0</v>
      </c>
      <c r="E1009" s="58">
        <f>Start.listina!L646</f>
        <v>0</v>
      </c>
      <c r="F1009" s="58"/>
      <c r="G1009" s="542" t="str">
        <f>IF(N(A1009)&gt;0,VLOOKUP(A1009,Body!$A$4:$F$259,5,0),"")</f>
        <v/>
      </c>
      <c r="H1009" s="161" t="str">
        <f>IF(N(A1009)&gt;0,VLOOKUP(A1009,Body!$A$4:$F$259,6,0),"")</f>
        <v/>
      </c>
      <c r="I1009" s="161" t="str">
        <f>IF(N(A1009)&gt;0,VLOOKUP(A1009,Body!$A$4:$F$259,2,0),"")</f>
        <v/>
      </c>
    </row>
    <row r="1010" spans="1:9">
      <c r="A1010" s="58"/>
      <c r="B1010" s="58">
        <f>Start.listina!O646</f>
        <v>0</v>
      </c>
      <c r="C1010" s="58">
        <f>Start.listina!P646</f>
        <v>0</v>
      </c>
      <c r="D1010" s="58">
        <f>Start.listina!Q646</f>
        <v>0</v>
      </c>
      <c r="E1010" s="58">
        <f>Start.listina!R646</f>
        <v>0</v>
      </c>
      <c r="F1010" s="58"/>
      <c r="G1010" s="542"/>
      <c r="H1010" s="161"/>
      <c r="I1010" s="161"/>
    </row>
    <row r="1011" spans="1:9">
      <c r="A1011" s="58"/>
      <c r="B1011" s="58">
        <f>Start.listina!U646</f>
        <v>0</v>
      </c>
      <c r="C1011" s="58">
        <f>Start.listina!V646</f>
        <v>0</v>
      </c>
      <c r="D1011" s="58">
        <f>Start.listina!W646</f>
        <v>0</v>
      </c>
      <c r="E1011" s="58">
        <f>Start.listina!X646</f>
        <v>0</v>
      </c>
      <c r="F1011" s="58"/>
      <c r="G1011" s="542"/>
      <c r="H1011" s="161"/>
      <c r="I1011" s="161"/>
    </row>
    <row r="1012" spans="1:9">
      <c r="A1012" s="58"/>
      <c r="B1012" s="58">
        <f>Start.listina!AA646</f>
        <v>0</v>
      </c>
      <c r="C1012" s="58">
        <f>Start.listina!AB646</f>
        <v>0</v>
      </c>
      <c r="D1012" s="58">
        <f>Start.listina!AC646</f>
        <v>0</v>
      </c>
      <c r="E1012" s="58">
        <f>Start.listina!AD646</f>
        <v>0</v>
      </c>
      <c r="F1012" s="58"/>
      <c r="G1012" s="542"/>
      <c r="H1012" s="161"/>
      <c r="I1012" s="161"/>
    </row>
    <row r="1013" spans="1:9">
      <c r="A1013" s="58">
        <f>Start.listina!AH647</f>
        <v>0</v>
      </c>
      <c r="B1013" s="58">
        <f>Start.listina!I647</f>
        <v>0</v>
      </c>
      <c r="C1013" s="543">
        <f>Start.listina!J647</f>
        <v>0</v>
      </c>
      <c r="D1013" s="58">
        <f>Start.listina!K647</f>
        <v>0</v>
      </c>
      <c r="E1013" s="58">
        <f>Start.listina!L647</f>
        <v>0</v>
      </c>
      <c r="F1013" s="58"/>
      <c r="G1013" s="542" t="str">
        <f>IF(N(A1013)&gt;0,VLOOKUP(A1013,Body!$A$4:$F$259,5,0),"")</f>
        <v/>
      </c>
      <c r="H1013" s="161" t="str">
        <f>IF(N(A1013)&gt;0,VLOOKUP(A1013,Body!$A$4:$F$259,6,0),"")</f>
        <v/>
      </c>
      <c r="I1013" s="161" t="str">
        <f>IF(N(A1013)&gt;0,VLOOKUP(A1013,Body!$A$4:$F$259,2,0),"")</f>
        <v/>
      </c>
    </row>
    <row r="1014" spans="1:9">
      <c r="A1014" s="58"/>
      <c r="B1014" s="58">
        <f>Start.listina!O647</f>
        <v>0</v>
      </c>
      <c r="C1014" s="58">
        <f>Start.listina!P647</f>
        <v>0</v>
      </c>
      <c r="D1014" s="58">
        <f>Start.listina!Q647</f>
        <v>0</v>
      </c>
      <c r="E1014" s="58">
        <f>Start.listina!R647</f>
        <v>0</v>
      </c>
      <c r="F1014" s="58"/>
      <c r="G1014" s="542"/>
      <c r="H1014" s="161"/>
      <c r="I1014" s="161"/>
    </row>
    <row r="1015" spans="1:9">
      <c r="A1015" s="58"/>
      <c r="B1015" s="58">
        <f>Start.listina!U647</f>
        <v>0</v>
      </c>
      <c r="C1015" s="58">
        <f>Start.listina!V647</f>
        <v>0</v>
      </c>
      <c r="D1015" s="58">
        <f>Start.listina!W647</f>
        <v>0</v>
      </c>
      <c r="E1015" s="58">
        <f>Start.listina!X647</f>
        <v>0</v>
      </c>
      <c r="F1015" s="58"/>
      <c r="G1015" s="542"/>
      <c r="H1015" s="161"/>
      <c r="I1015" s="161"/>
    </row>
    <row r="1016" spans="1:9">
      <c r="A1016" s="58"/>
      <c r="B1016" s="58">
        <f>Start.listina!AA647</f>
        <v>0</v>
      </c>
      <c r="C1016" s="58">
        <f>Start.listina!AB647</f>
        <v>0</v>
      </c>
      <c r="D1016" s="58">
        <f>Start.listina!AC647</f>
        <v>0</v>
      </c>
      <c r="E1016" s="58">
        <f>Start.listina!AD647</f>
        <v>0</v>
      </c>
      <c r="F1016" s="58"/>
      <c r="G1016" s="542"/>
      <c r="H1016" s="161"/>
      <c r="I1016" s="161"/>
    </row>
    <row r="1017" spans="1:9">
      <c r="A1017" s="58">
        <f>Start.listina!AH648</f>
        <v>0</v>
      </c>
      <c r="B1017" s="58">
        <f>Start.listina!I648</f>
        <v>0</v>
      </c>
      <c r="C1017" s="543">
        <f>Start.listina!J648</f>
        <v>0</v>
      </c>
      <c r="D1017" s="58">
        <f>Start.listina!K648</f>
        <v>0</v>
      </c>
      <c r="E1017" s="58">
        <f>Start.listina!L648</f>
        <v>0</v>
      </c>
      <c r="F1017" s="58"/>
      <c r="G1017" s="542" t="str">
        <f>IF(N(A1017)&gt;0,VLOOKUP(A1017,Body!$A$4:$F$259,5,0),"")</f>
        <v/>
      </c>
      <c r="H1017" s="161" t="str">
        <f>IF(N(A1017)&gt;0,VLOOKUP(A1017,Body!$A$4:$F$259,6,0),"")</f>
        <v/>
      </c>
      <c r="I1017" s="161" t="str">
        <f>IF(N(A1017)&gt;0,VLOOKUP(A1017,Body!$A$4:$F$259,2,0),"")</f>
        <v/>
      </c>
    </row>
    <row r="1018" spans="1:9">
      <c r="A1018" s="58"/>
      <c r="B1018" s="58">
        <f>Start.listina!O648</f>
        <v>0</v>
      </c>
      <c r="C1018" s="58">
        <f>Start.listina!P648</f>
        <v>0</v>
      </c>
      <c r="D1018" s="58">
        <f>Start.listina!Q648</f>
        <v>0</v>
      </c>
      <c r="E1018" s="58">
        <f>Start.listina!R648</f>
        <v>0</v>
      </c>
      <c r="F1018" s="58"/>
      <c r="G1018" s="542"/>
      <c r="H1018" s="161"/>
      <c r="I1018" s="161"/>
    </row>
    <row r="1019" spans="1:9">
      <c r="A1019" s="58"/>
      <c r="B1019" s="58">
        <f>Start.listina!U648</f>
        <v>0</v>
      </c>
      <c r="C1019" s="58">
        <f>Start.listina!V648</f>
        <v>0</v>
      </c>
      <c r="D1019" s="58">
        <f>Start.listina!W648</f>
        <v>0</v>
      </c>
      <c r="E1019" s="58">
        <f>Start.listina!X648</f>
        <v>0</v>
      </c>
      <c r="F1019" s="58"/>
      <c r="G1019" s="542"/>
      <c r="H1019" s="161"/>
      <c r="I1019" s="161"/>
    </row>
    <row r="1020" spans="1:9">
      <c r="A1020" s="58"/>
      <c r="B1020" s="58">
        <f>Start.listina!AA648</f>
        <v>0</v>
      </c>
      <c r="C1020" s="58">
        <f>Start.listina!AB648</f>
        <v>0</v>
      </c>
      <c r="D1020" s="58">
        <f>Start.listina!AC648</f>
        <v>0</v>
      </c>
      <c r="E1020" s="58">
        <f>Start.listina!AD648</f>
        <v>0</v>
      </c>
      <c r="F1020" s="58"/>
      <c r="G1020" s="542"/>
      <c r="H1020" s="161"/>
      <c r="I1020" s="161"/>
    </row>
    <row r="1021" spans="1:9">
      <c r="A1021" s="58">
        <f>Start.listina!AH649</f>
        <v>0</v>
      </c>
      <c r="B1021" s="58">
        <f>Start.listina!I649</f>
        <v>0</v>
      </c>
      <c r="C1021" s="543">
        <f>Start.listina!J649</f>
        <v>0</v>
      </c>
      <c r="D1021" s="58">
        <f>Start.listina!K649</f>
        <v>0</v>
      </c>
      <c r="E1021" s="58">
        <f>Start.listina!L649</f>
        <v>0</v>
      </c>
      <c r="F1021" s="58"/>
      <c r="G1021" s="542" t="str">
        <f>IF(N(A1021)&gt;0,VLOOKUP(A1021,Body!$A$4:$F$259,5,0),"")</f>
        <v/>
      </c>
      <c r="H1021" s="161" t="str">
        <f>IF(N(A1021)&gt;0,VLOOKUP(A1021,Body!$A$4:$F$259,6,0),"")</f>
        <v/>
      </c>
      <c r="I1021" s="161" t="str">
        <f>IF(N(A1021)&gt;0,VLOOKUP(A1021,Body!$A$4:$F$259,2,0),"")</f>
        <v/>
      </c>
    </row>
    <row r="1022" spans="1:9">
      <c r="A1022" s="58"/>
      <c r="B1022" s="58">
        <f>Start.listina!O649</f>
        <v>0</v>
      </c>
      <c r="C1022" s="58">
        <f>Start.listina!P649</f>
        <v>0</v>
      </c>
      <c r="D1022" s="58">
        <f>Start.listina!Q649</f>
        <v>0</v>
      </c>
      <c r="E1022" s="58">
        <f>Start.listina!R649</f>
        <v>0</v>
      </c>
      <c r="F1022" s="58"/>
      <c r="G1022" s="542"/>
      <c r="H1022" s="161"/>
      <c r="I1022" s="161"/>
    </row>
    <row r="1023" spans="1:9">
      <c r="A1023" s="58"/>
      <c r="B1023" s="58">
        <f>Start.listina!U649</f>
        <v>0</v>
      </c>
      <c r="C1023" s="58">
        <f>Start.listina!V649</f>
        <v>0</v>
      </c>
      <c r="D1023" s="58">
        <f>Start.listina!W649</f>
        <v>0</v>
      </c>
      <c r="E1023" s="58">
        <f>Start.listina!X649</f>
        <v>0</v>
      </c>
      <c r="F1023" s="58"/>
      <c r="G1023" s="542"/>
      <c r="H1023" s="161"/>
      <c r="I1023" s="161"/>
    </row>
    <row r="1024" spans="1:9">
      <c r="A1024" s="58"/>
      <c r="B1024" s="58">
        <f>Start.listina!AA649</f>
        <v>0</v>
      </c>
      <c r="C1024" s="58">
        <f>Start.listina!AB649</f>
        <v>0</v>
      </c>
      <c r="D1024" s="58">
        <f>Start.listina!AC649</f>
        <v>0</v>
      </c>
      <c r="E1024" s="58">
        <f>Start.listina!AD649</f>
        <v>0</v>
      </c>
      <c r="F1024" s="58"/>
      <c r="G1024" s="542"/>
      <c r="H1024" s="161"/>
      <c r="I1024" s="161"/>
    </row>
    <row r="1025" spans="1:9">
      <c r="A1025" s="58">
        <f>Start.listina!AH650</f>
        <v>0</v>
      </c>
      <c r="B1025" s="58">
        <f>Start.listina!I650</f>
        <v>0</v>
      </c>
      <c r="C1025" s="543">
        <f>Start.listina!J650</f>
        <v>0</v>
      </c>
      <c r="D1025" s="58">
        <f>Start.listina!K650</f>
        <v>0</v>
      </c>
      <c r="E1025" s="58">
        <f>Start.listina!L650</f>
        <v>0</v>
      </c>
      <c r="F1025" s="58"/>
      <c r="G1025" s="542" t="str">
        <f>IF(N(A1025)&gt;0,VLOOKUP(A1025,Body!$A$4:$F$259,5,0),"")</f>
        <v/>
      </c>
      <c r="H1025" s="161" t="str">
        <f>IF(N(A1025)&gt;0,VLOOKUP(A1025,Body!$A$4:$F$259,6,0),"")</f>
        <v/>
      </c>
      <c r="I1025" s="161" t="str">
        <f>IF(N(A1025)&gt;0,VLOOKUP(A1025,Body!$A$4:$F$259,2,0),"")</f>
        <v/>
      </c>
    </row>
    <row r="1026" spans="1:9">
      <c r="A1026" s="58"/>
      <c r="B1026" s="58">
        <f>Start.listina!O650</f>
        <v>0</v>
      </c>
      <c r="C1026" s="58">
        <f>Start.listina!P650</f>
        <v>0</v>
      </c>
      <c r="D1026" s="58">
        <f>Start.listina!Q650</f>
        <v>0</v>
      </c>
      <c r="E1026" s="58">
        <f>Start.listina!R650</f>
        <v>0</v>
      </c>
      <c r="F1026" s="58"/>
      <c r="G1026" s="542"/>
      <c r="H1026" s="161"/>
      <c r="I1026" s="161"/>
    </row>
    <row r="1027" spans="1:9">
      <c r="A1027" s="58"/>
      <c r="B1027" s="58">
        <f>Start.listina!U650</f>
        <v>0</v>
      </c>
      <c r="C1027" s="58">
        <f>Start.listina!V650</f>
        <v>0</v>
      </c>
      <c r="D1027" s="58">
        <f>Start.listina!W650</f>
        <v>0</v>
      </c>
      <c r="E1027" s="58">
        <f>Start.listina!X650</f>
        <v>0</v>
      </c>
      <c r="F1027" s="58"/>
      <c r="G1027" s="542"/>
      <c r="H1027" s="161"/>
      <c r="I1027" s="161"/>
    </row>
    <row r="1028" spans="1:9">
      <c r="A1028" s="58"/>
      <c r="B1028" s="58">
        <f>Start.listina!AA650</f>
        <v>0</v>
      </c>
      <c r="C1028" s="58">
        <f>Start.listina!AB650</f>
        <v>0</v>
      </c>
      <c r="D1028" s="58">
        <f>Start.listina!AC650</f>
        <v>0</v>
      </c>
      <c r="E1028" s="58">
        <f>Start.listina!AD650</f>
        <v>0</v>
      </c>
      <c r="F1028" s="58"/>
      <c r="G1028" s="542"/>
      <c r="H1028" s="161"/>
      <c r="I1028" s="161"/>
    </row>
  </sheetData>
  <pageMargins left="0.78749999999999998" right="0.78749999999999998" top="0.98402777777777795" bottom="0.98402777777777795" header="0.51180555555555496" footer="0.51180555555555496"/>
  <pageSetup paperSize="9" firstPageNumber="0"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839"/>
  <sheetViews>
    <sheetView zoomScale="150" zoomScaleNormal="150" workbookViewId="0">
      <pane xSplit="1" ySplit="3" topLeftCell="B575" activePane="bottomRight" state="frozen"/>
      <selection pane="topRight" activeCell="B1" sqref="B1"/>
      <selection pane="bottomLeft" activeCell="A575" sqref="A575"/>
      <selection pane="bottomRight" activeCell="A583" sqref="A583"/>
    </sheetView>
  </sheetViews>
  <sheetFormatPr defaultColWidth="8.7109375"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c r="A1" s="158" t="s">
        <v>1627</v>
      </c>
      <c r="B1" s="159"/>
      <c r="C1" s="159"/>
      <c r="D1" s="160"/>
      <c r="E1" s="161"/>
      <c r="F1" s="162">
        <f ca="1">F3/16</f>
        <v>17.627749999999995</v>
      </c>
      <c r="G1" s="161"/>
    </row>
    <row r="2" spans="1:7" ht="34.15" customHeight="1">
      <c r="A2" s="163">
        <f>Start.listina!$K$2</f>
        <v>20077</v>
      </c>
      <c r="B2" s="164" t="str">
        <f>Start.listina!$K$4</f>
        <v>Polouveský májový turnaj</v>
      </c>
      <c r="C2" s="165"/>
      <c r="D2" s="165"/>
      <c r="E2" s="166"/>
      <c r="G2" s="161"/>
    </row>
    <row r="3" spans="1:7" ht="21.75" customHeight="1">
      <c r="A3" s="161"/>
      <c r="B3" s="161"/>
      <c r="C3" s="161"/>
      <c r="D3" s="161"/>
      <c r="E3" s="167" t="s">
        <v>1628</v>
      </c>
      <c r="F3" s="161">
        <f ca="1">SUM(F5:F20)</f>
        <v>282.04399999999993</v>
      </c>
      <c r="G3" s="161"/>
    </row>
    <row r="4" spans="1:7" ht="24.75" customHeight="1">
      <c r="A4" s="168" t="s">
        <v>1611</v>
      </c>
      <c r="B4" s="168" t="s">
        <v>1629</v>
      </c>
      <c r="C4" s="168" t="s">
        <v>1615</v>
      </c>
      <c r="D4" s="168" t="s">
        <v>1455</v>
      </c>
      <c r="E4" s="169" t="s">
        <v>1456</v>
      </c>
      <c r="F4" s="169" t="s">
        <v>1614</v>
      </c>
      <c r="G4" s="161"/>
    </row>
    <row r="5" spans="1:7">
      <c r="A5" s="170">
        <f ca="1">Start.listina!I11</f>
        <v>15011</v>
      </c>
      <c r="B5" s="171" t="str">
        <f ca="1">Start.listina!J11</f>
        <v>Chmelař</v>
      </c>
      <c r="C5" s="170" t="str">
        <f ca="1">Start.listina!K11</f>
        <v>Ivo</v>
      </c>
      <c r="D5" s="170" t="str">
        <f ca="1">Start.listina!L11</f>
        <v>SKP Kulová osma</v>
      </c>
      <c r="E5" s="170">
        <f ca="1">Start.listina!M11</f>
        <v>38</v>
      </c>
      <c r="F5" s="170">
        <f ca="1">Start.listina!N11</f>
        <v>28.312999999999999</v>
      </c>
      <c r="G5" s="161"/>
    </row>
    <row r="6" spans="1:7">
      <c r="A6" s="170">
        <f ca="1">Start.listina!I12</f>
        <v>13005</v>
      </c>
      <c r="B6" s="171" t="str">
        <f ca="1">Start.listina!J12</f>
        <v>Bureš</v>
      </c>
      <c r="C6" s="170" t="str">
        <f ca="1">Start.listina!K12</f>
        <v>Pavel st.</v>
      </c>
      <c r="D6" s="170" t="str">
        <f ca="1">Start.listina!L12</f>
        <v>HAPEK</v>
      </c>
      <c r="E6" s="170">
        <f ca="1">Start.listina!M12</f>
        <v>68</v>
      </c>
      <c r="F6" s="170">
        <f ca="1">Start.listina!N12</f>
        <v>31.375</v>
      </c>
      <c r="G6" s="161"/>
    </row>
    <row r="7" spans="1:7">
      <c r="A7" s="170">
        <f ca="1">Start.listina!I13</f>
        <v>15001</v>
      </c>
      <c r="B7" s="171" t="str">
        <f ca="1">Start.listina!J13</f>
        <v>Ulmann</v>
      </c>
      <c r="C7" s="170" t="str">
        <f ca="1">Start.listina!K13</f>
        <v>Jiří</v>
      </c>
      <c r="D7" s="170" t="str">
        <f ca="1">Start.listina!L13</f>
        <v>TOP - ORLOVÁ</v>
      </c>
      <c r="E7" s="170">
        <f ca="1">Start.listina!M13</f>
        <v>63</v>
      </c>
      <c r="F7" s="170">
        <f ca="1">Start.listina!N13</f>
        <v>32.625</v>
      </c>
      <c r="G7" s="161"/>
    </row>
    <row r="8" spans="1:7">
      <c r="A8" s="170">
        <f ca="1">Start.listina!I14</f>
        <v>16105</v>
      </c>
      <c r="B8" s="171" t="str">
        <f ca="1">Start.listina!J14</f>
        <v>Krpec</v>
      </c>
      <c r="C8" s="170" t="str">
        <f ca="1">Start.listina!K14</f>
        <v>František</v>
      </c>
      <c r="D8" s="170" t="str">
        <f ca="1">Start.listina!L14</f>
        <v>HRODE KRUMSÍN</v>
      </c>
      <c r="E8" s="170">
        <f ca="1">Start.listina!M14</f>
        <v>92</v>
      </c>
      <c r="F8" s="170">
        <f ca="1">Start.listina!N14</f>
        <v>28.751000000000001</v>
      </c>
      <c r="G8" s="161"/>
    </row>
    <row r="9" spans="1:7">
      <c r="A9" s="170">
        <f ca="1">Start.listina!I15</f>
        <v>10139</v>
      </c>
      <c r="B9" s="171" t="str">
        <f ca="1">Start.listina!J15</f>
        <v>Karásek</v>
      </c>
      <c r="C9" s="170" t="str">
        <f ca="1">Start.listina!K15</f>
        <v>Jiří</v>
      </c>
      <c r="D9" s="170" t="str">
        <f ca="1">Start.listina!L15</f>
        <v>HRODE KRUMSÍN</v>
      </c>
      <c r="E9" s="170">
        <f ca="1">Start.listina!M15</f>
        <v>178</v>
      </c>
      <c r="F9" s="170">
        <f ca="1">Start.listina!N15</f>
        <v>22.001000000000001</v>
      </c>
      <c r="G9" s="161"/>
    </row>
    <row r="10" spans="1:7">
      <c r="A10" s="170">
        <f ca="1">Start.listina!I16</f>
        <v>27062</v>
      </c>
      <c r="B10" s="171" t="str">
        <f ca="1">Start.listina!J16</f>
        <v>Mrlina</v>
      </c>
      <c r="C10" s="170" t="str">
        <f ca="1">Start.listina!K16</f>
        <v>Karel</v>
      </c>
      <c r="D10" s="170" t="str">
        <f ca="1">Start.listina!L16</f>
        <v>FENYX Adamov</v>
      </c>
      <c r="E10" s="170">
        <f ca="1">Start.listina!M16</f>
        <v>132</v>
      </c>
      <c r="F10" s="170">
        <f ca="1">Start.listina!N16</f>
        <v>26.25</v>
      </c>
      <c r="G10" s="161"/>
    </row>
    <row r="11" spans="1:7">
      <c r="A11" s="170">
        <f ca="1">Start.listina!I17</f>
        <v>16109</v>
      </c>
      <c r="B11" s="171" t="str">
        <f ca="1">Start.listina!J17</f>
        <v>Sjögren</v>
      </c>
      <c r="C11" s="170" t="str">
        <f ca="1">Start.listina!K17</f>
        <v>Magda</v>
      </c>
      <c r="D11" s="170" t="str">
        <f ca="1">Start.listina!L17</f>
        <v>SKP Kulová osma</v>
      </c>
      <c r="E11" s="170">
        <f ca="1">Start.listina!M17</f>
        <v>129</v>
      </c>
      <c r="F11" s="170">
        <f ca="1">Start.listina!N17</f>
        <v>19.001999999999999</v>
      </c>
      <c r="G11" s="161"/>
    </row>
    <row r="12" spans="1:7">
      <c r="A12" s="170">
        <f ca="1">Start.listina!I18</f>
        <v>96005</v>
      </c>
      <c r="B12" s="171" t="str">
        <f ca="1">Start.listina!J18</f>
        <v>Bukovčík</v>
      </c>
      <c r="C12" s="170" t="str">
        <f ca="1">Start.listina!K18</f>
        <v>Jan</v>
      </c>
      <c r="D12" s="170" t="str">
        <f ca="1">Start.listina!L18</f>
        <v>PAK Albrechtice</v>
      </c>
      <c r="E12" s="170">
        <f ca="1">Start.listina!M18</f>
        <v>280</v>
      </c>
      <c r="F12" s="170">
        <f ca="1">Start.listina!N18</f>
        <v>9.0009999999999994</v>
      </c>
      <c r="G12" s="161"/>
    </row>
    <row r="13" spans="1:7">
      <c r="A13" s="170">
        <f ca="1">Start.listina!I19</f>
        <v>17060</v>
      </c>
      <c r="B13" s="171" t="str">
        <f ca="1">Start.listina!J19</f>
        <v>Bejšovec</v>
      </c>
      <c r="C13" s="170" t="str">
        <f ca="1">Start.listina!K19</f>
        <v>Petr</v>
      </c>
      <c r="D13" s="170" t="str">
        <f ca="1">Start.listina!L19</f>
        <v>PK Sokol Medlánky</v>
      </c>
      <c r="E13" s="170">
        <f ca="1">Start.listina!M19</f>
        <v>80</v>
      </c>
      <c r="F13" s="170">
        <f ca="1">Start.listina!N19</f>
        <v>29.437999999999999</v>
      </c>
      <c r="G13" s="161"/>
    </row>
    <row r="14" spans="1:7">
      <c r="A14" s="170">
        <f ca="1">Start.listina!I20</f>
        <v>11044</v>
      </c>
      <c r="B14" s="171" t="str">
        <f ca="1">Start.listina!J20</f>
        <v>Ilgner</v>
      </c>
      <c r="C14" s="170" t="str">
        <f ca="1">Start.listina!K20</f>
        <v>Vladimír</v>
      </c>
      <c r="D14" s="170" t="str">
        <f ca="1">Start.listina!L20</f>
        <v>1. Starobrněnský PK</v>
      </c>
      <c r="E14" s="170">
        <f ca="1">Start.listina!M20</f>
        <v>150</v>
      </c>
      <c r="F14" s="170">
        <f ca="1">Start.listina!N20</f>
        <v>15.315</v>
      </c>
      <c r="G14" s="161"/>
    </row>
    <row r="15" spans="1:7">
      <c r="A15" s="170">
        <f ca="1">Start.listina!I21</f>
        <v>18071</v>
      </c>
      <c r="B15" s="171" t="str">
        <f ca="1">Start.listina!J21</f>
        <v>Koudelka</v>
      </c>
      <c r="C15" s="170" t="str">
        <f ca="1">Start.listina!K21</f>
        <v>Josef</v>
      </c>
      <c r="D15" s="170" t="str">
        <f ca="1">Start.listina!L21</f>
        <v>PK Polouvsí</v>
      </c>
      <c r="E15" s="170">
        <f ca="1">Start.listina!M21</f>
        <v>283</v>
      </c>
      <c r="F15" s="170">
        <f ca="1">Start.listina!N21</f>
        <v>9.5009999999999994</v>
      </c>
      <c r="G15" s="161"/>
    </row>
    <row r="16" spans="1:7">
      <c r="A16" s="170">
        <f ca="1">Start.listina!I22</f>
        <v>18124</v>
      </c>
      <c r="B16" s="171" t="str">
        <f ca="1">Start.listina!J22</f>
        <v>Valošková</v>
      </c>
      <c r="C16" s="170" t="str">
        <f ca="1">Start.listina!K22</f>
        <v>Sára</v>
      </c>
      <c r="D16" s="170" t="str">
        <f ca="1">Start.listina!L22</f>
        <v>PK Polouvsí</v>
      </c>
      <c r="E16" s="170">
        <f ca="1">Start.listina!M22</f>
        <v>230</v>
      </c>
      <c r="F16" s="170">
        <f ca="1">Start.listina!N22</f>
        <v>11.500999999999999</v>
      </c>
      <c r="G16" s="161"/>
    </row>
    <row r="17" spans="1:7">
      <c r="A17" s="170">
        <f ca="1">Start.listina!I23</f>
        <v>13011</v>
      </c>
      <c r="B17" s="171" t="str">
        <f ca="1">Start.listina!J23</f>
        <v>Navrátil</v>
      </c>
      <c r="C17" s="170" t="str">
        <f ca="1">Start.listina!K23</f>
        <v>Petr</v>
      </c>
      <c r="D17" s="170" t="str">
        <f ca="1">Start.listina!L23</f>
        <v>HAPEK</v>
      </c>
      <c r="E17" s="170">
        <f ca="1">Start.listina!M23</f>
        <v>435</v>
      </c>
      <c r="F17" s="170">
        <f ca="1">Start.listina!N23</f>
        <v>3.1259999999999999</v>
      </c>
      <c r="G17" s="161"/>
    </row>
    <row r="18" spans="1:7">
      <c r="A18" s="170">
        <f ca="1">Start.listina!I24</f>
        <v>29023</v>
      </c>
      <c r="B18" s="171" t="str">
        <f ca="1">Start.listina!J24</f>
        <v>Suk</v>
      </c>
      <c r="C18" s="170" t="str">
        <f ca="1">Start.listina!K24</f>
        <v>Miroslav</v>
      </c>
      <c r="D18" s="170" t="str">
        <f ca="1">Start.listina!L24</f>
        <v>SKP Hranice VI-Valšovice</v>
      </c>
      <c r="E18" s="170">
        <f ca="1">Start.listina!M24</f>
        <v>332</v>
      </c>
      <c r="F18" s="170">
        <f ca="1">Start.listina!N24</f>
        <v>6.5940000000000003</v>
      </c>
      <c r="G18" s="161"/>
    </row>
    <row r="19" spans="1:7">
      <c r="A19" s="170">
        <f ca="1">Start.listina!I25</f>
        <v>11013</v>
      </c>
      <c r="B19" s="171" t="str">
        <f ca="1">Start.listina!J25</f>
        <v>Suková</v>
      </c>
      <c r="C19" s="170" t="str">
        <f ca="1">Start.listina!K25</f>
        <v>Eva</v>
      </c>
      <c r="D19" s="170" t="str">
        <f ca="1">Start.listina!L25</f>
        <v>SKP Hranice VI-Valšovice</v>
      </c>
      <c r="E19" s="170">
        <f ca="1">Start.listina!M25</f>
        <v>336</v>
      </c>
      <c r="F19" s="170">
        <f ca="1">Start.listina!N25</f>
        <v>6.2510000000000003</v>
      </c>
      <c r="G19" s="161"/>
    </row>
    <row r="20" spans="1:7">
      <c r="A20" s="170">
        <f ca="1">Start.listina!I26</f>
        <v>18067</v>
      </c>
      <c r="B20" s="171" t="str">
        <f ca="1">Start.listina!J26</f>
        <v>Vrzal</v>
      </c>
      <c r="C20" s="170" t="str">
        <f ca="1">Start.listina!K26</f>
        <v>Radomír</v>
      </c>
      <c r="D20" s="170" t="str">
        <f ca="1">Start.listina!L26</f>
        <v>PK Polouvsí</v>
      </c>
      <c r="E20" s="170">
        <f ca="1">Start.listina!M26</f>
        <v>515</v>
      </c>
      <c r="F20" s="170">
        <f ca="1">Start.listina!N26</f>
        <v>3</v>
      </c>
      <c r="G20" s="161"/>
    </row>
    <row r="21" spans="1:7">
      <c r="A21" s="170" t="str">
        <f ca="1">Start.listina!I27</f>
        <v/>
      </c>
      <c r="B21" s="171" t="str">
        <f ca="1">Start.listina!J27</f>
        <v xml:space="preserve"> </v>
      </c>
      <c r="C21" s="170" t="str">
        <f ca="1">Start.listina!K27</f>
        <v xml:space="preserve"> </v>
      </c>
      <c r="D21" s="170" t="str">
        <f ca="1">Start.listina!L27</f>
        <v xml:space="preserve"> </v>
      </c>
      <c r="E21" s="170">
        <f ca="1">Start.listina!M27</f>
        <v>9999</v>
      </c>
      <c r="F21" s="170">
        <f ca="1">Start.listina!N27</f>
        <v>0</v>
      </c>
      <c r="G21" s="161"/>
    </row>
    <row r="22" spans="1:7">
      <c r="A22" s="170" t="str">
        <f ca="1">Start.listina!I28</f>
        <v/>
      </c>
      <c r="B22" s="171" t="str">
        <f ca="1">Start.listina!J28</f>
        <v xml:space="preserve"> </v>
      </c>
      <c r="C22" s="170" t="str">
        <f ca="1">Start.listina!K28</f>
        <v xml:space="preserve"> </v>
      </c>
      <c r="D22" s="170" t="str">
        <f ca="1">Start.listina!L28</f>
        <v xml:space="preserve"> </v>
      </c>
      <c r="E22" s="170">
        <f ca="1">Start.listina!M28</f>
        <v>9999</v>
      </c>
      <c r="F22" s="170">
        <f ca="1">Start.listina!N28</f>
        <v>0</v>
      </c>
      <c r="G22" s="161"/>
    </row>
    <row r="23" spans="1:7">
      <c r="A23" s="170" t="str">
        <f ca="1">Start.listina!I29</f>
        <v/>
      </c>
      <c r="B23" s="171" t="str">
        <f ca="1">Start.listina!J29</f>
        <v xml:space="preserve"> </v>
      </c>
      <c r="C23" s="170" t="str">
        <f ca="1">Start.listina!K29</f>
        <v xml:space="preserve"> </v>
      </c>
      <c r="D23" s="170" t="str">
        <f ca="1">Start.listina!L29</f>
        <v xml:space="preserve"> </v>
      </c>
      <c r="E23" s="170">
        <f ca="1">Start.listina!M29</f>
        <v>9999</v>
      </c>
      <c r="F23" s="170">
        <f ca="1">Start.listina!N29</f>
        <v>0</v>
      </c>
      <c r="G23" s="161"/>
    </row>
    <row r="24" spans="1:7">
      <c r="A24" s="170" t="str">
        <f ca="1">Start.listina!I30</f>
        <v/>
      </c>
      <c r="B24" s="171" t="str">
        <f ca="1">Start.listina!J30</f>
        <v xml:space="preserve"> </v>
      </c>
      <c r="C24" s="170" t="str">
        <f ca="1">Start.listina!K30</f>
        <v xml:space="preserve"> </v>
      </c>
      <c r="D24" s="170" t="str">
        <f ca="1">Start.listina!L30</f>
        <v xml:space="preserve"> </v>
      </c>
      <c r="E24" s="170">
        <f ca="1">Start.listina!M30</f>
        <v>9999</v>
      </c>
      <c r="F24" s="170">
        <f ca="1">Start.listina!N30</f>
        <v>0</v>
      </c>
      <c r="G24" s="161"/>
    </row>
    <row r="25" spans="1:7">
      <c r="A25" s="170" t="str">
        <f ca="1">Start.listina!I31</f>
        <v/>
      </c>
      <c r="B25" s="171" t="str">
        <f ca="1">Start.listina!J31</f>
        <v xml:space="preserve"> </v>
      </c>
      <c r="C25" s="170" t="str">
        <f ca="1">Start.listina!K31</f>
        <v xml:space="preserve"> </v>
      </c>
      <c r="D25" s="170" t="str">
        <f ca="1">Start.listina!L31</f>
        <v xml:space="preserve"> </v>
      </c>
      <c r="E25" s="170">
        <f ca="1">Start.listina!M31</f>
        <v>9999</v>
      </c>
      <c r="F25" s="170">
        <f ca="1">Start.listina!N31</f>
        <v>0</v>
      </c>
      <c r="G25" s="161"/>
    </row>
    <row r="26" spans="1:7">
      <c r="A26" s="170" t="str">
        <f ca="1">Start.listina!I32</f>
        <v/>
      </c>
      <c r="B26" s="171" t="str">
        <f ca="1">Start.listina!J32</f>
        <v xml:space="preserve"> </v>
      </c>
      <c r="C26" s="170" t="str">
        <f ca="1">Start.listina!K32</f>
        <v xml:space="preserve"> </v>
      </c>
      <c r="D26" s="170" t="str">
        <f ca="1">Start.listina!L32</f>
        <v xml:space="preserve"> </v>
      </c>
      <c r="E26" s="170">
        <f ca="1">Start.listina!M32</f>
        <v>9999</v>
      </c>
      <c r="F26" s="170">
        <f ca="1">Start.listina!N32</f>
        <v>0</v>
      </c>
      <c r="G26" s="161"/>
    </row>
    <row r="27" spans="1:7">
      <c r="A27" s="170" t="str">
        <f ca="1">Start.listina!I33</f>
        <v/>
      </c>
      <c r="B27" s="171" t="str">
        <f ca="1">Start.listina!J33</f>
        <v xml:space="preserve"> </v>
      </c>
      <c r="C27" s="170" t="str">
        <f ca="1">Start.listina!K33</f>
        <v xml:space="preserve"> </v>
      </c>
      <c r="D27" s="170" t="str">
        <f ca="1">Start.listina!L33</f>
        <v xml:space="preserve"> </v>
      </c>
      <c r="E27" s="170">
        <f ca="1">Start.listina!M33</f>
        <v>9999</v>
      </c>
      <c r="F27" s="170">
        <f ca="1">Start.listina!N33</f>
        <v>0</v>
      </c>
      <c r="G27" s="161"/>
    </row>
    <row r="28" spans="1:7">
      <c r="A28" s="170" t="str">
        <f ca="1">Start.listina!I34</f>
        <v/>
      </c>
      <c r="B28" s="171" t="str">
        <f ca="1">Start.listina!J34</f>
        <v xml:space="preserve"> </v>
      </c>
      <c r="C28" s="170" t="str">
        <f ca="1">Start.listina!K34</f>
        <v xml:space="preserve"> </v>
      </c>
      <c r="D28" s="170" t="str">
        <f ca="1">Start.listina!L34</f>
        <v xml:space="preserve"> </v>
      </c>
      <c r="E28" s="170">
        <f ca="1">Start.listina!M34</f>
        <v>9999</v>
      </c>
      <c r="F28" s="170">
        <f ca="1">Start.listina!N34</f>
        <v>0</v>
      </c>
      <c r="G28" s="161"/>
    </row>
    <row r="29" spans="1:7">
      <c r="A29" s="170" t="str">
        <f ca="1">Start.listina!I35</f>
        <v/>
      </c>
      <c r="B29" s="171" t="str">
        <f ca="1">Start.listina!J35</f>
        <v xml:space="preserve"> </v>
      </c>
      <c r="C29" s="170" t="str">
        <f ca="1">Start.listina!K35</f>
        <v xml:space="preserve"> </v>
      </c>
      <c r="D29" s="170" t="str">
        <f ca="1">Start.listina!L35</f>
        <v xml:space="preserve"> </v>
      </c>
      <c r="E29" s="170">
        <f ca="1">Start.listina!M35</f>
        <v>9999</v>
      </c>
      <c r="F29" s="170">
        <f ca="1">Start.listina!N35</f>
        <v>0</v>
      </c>
      <c r="G29" s="161"/>
    </row>
    <row r="30" spans="1:7">
      <c r="A30" s="170" t="str">
        <f ca="1">Start.listina!I36</f>
        <v/>
      </c>
      <c r="B30" s="171" t="str">
        <f ca="1">Start.listina!J36</f>
        <v xml:space="preserve"> </v>
      </c>
      <c r="C30" s="170" t="str">
        <f ca="1">Start.listina!K36</f>
        <v xml:space="preserve"> </v>
      </c>
      <c r="D30" s="170" t="str">
        <f ca="1">Start.listina!L36</f>
        <v xml:space="preserve"> </v>
      </c>
      <c r="E30" s="170">
        <f ca="1">Start.listina!M36</f>
        <v>9999</v>
      </c>
      <c r="F30" s="170">
        <f ca="1">Start.listina!N36</f>
        <v>0</v>
      </c>
      <c r="G30" s="161"/>
    </row>
    <row r="31" spans="1:7">
      <c r="A31" s="170" t="str">
        <f ca="1">Start.listina!I37</f>
        <v/>
      </c>
      <c r="B31" s="171" t="str">
        <f ca="1">Start.listina!J37</f>
        <v xml:space="preserve"> </v>
      </c>
      <c r="C31" s="170" t="str">
        <f ca="1">Start.listina!K37</f>
        <v xml:space="preserve"> </v>
      </c>
      <c r="D31" s="170" t="str">
        <f ca="1">Start.listina!L37</f>
        <v xml:space="preserve"> </v>
      </c>
      <c r="E31" s="170">
        <f ca="1">Start.listina!M37</f>
        <v>9999</v>
      </c>
      <c r="F31" s="170">
        <f ca="1">Start.listina!N37</f>
        <v>0</v>
      </c>
      <c r="G31" s="161"/>
    </row>
    <row r="32" spans="1:7">
      <c r="A32" s="170" t="str">
        <f ca="1">Start.listina!I38</f>
        <v/>
      </c>
      <c r="B32" s="171" t="str">
        <f ca="1">Start.listina!J38</f>
        <v xml:space="preserve"> </v>
      </c>
      <c r="C32" s="170" t="str">
        <f ca="1">Start.listina!K38</f>
        <v xml:space="preserve"> </v>
      </c>
      <c r="D32" s="170" t="str">
        <f ca="1">Start.listina!L38</f>
        <v xml:space="preserve"> </v>
      </c>
      <c r="E32" s="170">
        <f ca="1">Start.listina!M38</f>
        <v>9999</v>
      </c>
      <c r="F32" s="170">
        <f ca="1">Start.listina!N38</f>
        <v>0</v>
      </c>
      <c r="G32" s="161"/>
    </row>
    <row r="33" spans="1:7">
      <c r="A33" s="170" t="str">
        <f ca="1">Start.listina!I39</f>
        <v/>
      </c>
      <c r="B33" s="171" t="str">
        <f ca="1">Start.listina!J39</f>
        <v xml:space="preserve"> </v>
      </c>
      <c r="C33" s="170" t="str">
        <f ca="1">Start.listina!K39</f>
        <v xml:space="preserve"> </v>
      </c>
      <c r="D33" s="170" t="str">
        <f ca="1">Start.listina!L39</f>
        <v xml:space="preserve"> </v>
      </c>
      <c r="E33" s="170">
        <f ca="1">Start.listina!M39</f>
        <v>9999</v>
      </c>
      <c r="F33" s="170">
        <f ca="1">Start.listina!N39</f>
        <v>0</v>
      </c>
      <c r="G33" s="161"/>
    </row>
    <row r="34" spans="1:7">
      <c r="A34" s="170" t="str">
        <f ca="1">Start.listina!I40</f>
        <v/>
      </c>
      <c r="B34" s="171" t="str">
        <f ca="1">Start.listina!J40</f>
        <v xml:space="preserve"> </v>
      </c>
      <c r="C34" s="170" t="str">
        <f ca="1">Start.listina!K40</f>
        <v xml:space="preserve"> </v>
      </c>
      <c r="D34" s="170" t="str">
        <f ca="1">Start.listina!L40</f>
        <v xml:space="preserve"> </v>
      </c>
      <c r="E34" s="170">
        <f ca="1">Start.listina!M40</f>
        <v>9999</v>
      </c>
      <c r="F34" s="170">
        <f ca="1">Start.listina!N40</f>
        <v>0</v>
      </c>
      <c r="G34" s="161"/>
    </row>
    <row r="35" spans="1:7">
      <c r="A35" s="170" t="str">
        <f ca="1">Start.listina!I41</f>
        <v/>
      </c>
      <c r="B35" s="171" t="str">
        <f ca="1">Start.listina!J41</f>
        <v xml:space="preserve"> </v>
      </c>
      <c r="C35" s="170" t="str">
        <f ca="1">Start.listina!K41</f>
        <v xml:space="preserve"> </v>
      </c>
      <c r="D35" s="170" t="str">
        <f ca="1">Start.listina!L41</f>
        <v xml:space="preserve"> </v>
      </c>
      <c r="E35" s="170">
        <f ca="1">Start.listina!M41</f>
        <v>9999</v>
      </c>
      <c r="F35" s="170">
        <f ca="1">Start.listina!N41</f>
        <v>0</v>
      </c>
      <c r="G35" s="161"/>
    </row>
    <row r="36" spans="1:7">
      <c r="A36" s="170" t="str">
        <f ca="1">Start.listina!I42</f>
        <v/>
      </c>
      <c r="B36" s="171" t="str">
        <f ca="1">Start.listina!J42</f>
        <v xml:space="preserve"> </v>
      </c>
      <c r="C36" s="170" t="str">
        <f ca="1">Start.listina!K42</f>
        <v xml:space="preserve"> </v>
      </c>
      <c r="D36" s="170" t="str">
        <f ca="1">Start.listina!L42</f>
        <v xml:space="preserve"> </v>
      </c>
      <c r="E36" s="170">
        <f ca="1">Start.listina!M42</f>
        <v>9999</v>
      </c>
      <c r="F36" s="170">
        <f ca="1">Start.listina!N42</f>
        <v>0</v>
      </c>
      <c r="G36" s="161"/>
    </row>
    <row r="37" spans="1:7">
      <c r="A37" s="170" t="str">
        <f ca="1">Start.listina!I43</f>
        <v/>
      </c>
      <c r="B37" s="171" t="str">
        <f ca="1">Start.listina!J43</f>
        <v xml:space="preserve"> </v>
      </c>
      <c r="C37" s="170" t="str">
        <f ca="1">Start.listina!K43</f>
        <v xml:space="preserve"> </v>
      </c>
      <c r="D37" s="170" t="str">
        <f ca="1">Start.listina!L43</f>
        <v xml:space="preserve"> </v>
      </c>
      <c r="E37" s="170">
        <f ca="1">Start.listina!M43</f>
        <v>9999</v>
      </c>
      <c r="F37" s="170">
        <f ca="1">Start.listina!N43</f>
        <v>0</v>
      </c>
      <c r="G37" s="161"/>
    </row>
    <row r="38" spans="1:7">
      <c r="A38" s="170" t="str">
        <f ca="1">Start.listina!I44</f>
        <v/>
      </c>
      <c r="B38" s="171" t="str">
        <f ca="1">Start.listina!J44</f>
        <v xml:space="preserve"> </v>
      </c>
      <c r="C38" s="170" t="str">
        <f ca="1">Start.listina!K44</f>
        <v xml:space="preserve"> </v>
      </c>
      <c r="D38" s="170" t="str">
        <f ca="1">Start.listina!L44</f>
        <v xml:space="preserve"> </v>
      </c>
      <c r="E38" s="170">
        <f ca="1">Start.listina!M44</f>
        <v>9999</v>
      </c>
      <c r="F38" s="170">
        <f ca="1">Start.listina!N44</f>
        <v>0</v>
      </c>
      <c r="G38" s="161"/>
    </row>
    <row r="39" spans="1:7">
      <c r="A39" s="170" t="str">
        <f ca="1">Start.listina!I45</f>
        <v/>
      </c>
      <c r="B39" s="171" t="str">
        <f ca="1">Start.listina!J45</f>
        <v xml:space="preserve"> </v>
      </c>
      <c r="C39" s="170" t="str">
        <f ca="1">Start.listina!K45</f>
        <v xml:space="preserve"> </v>
      </c>
      <c r="D39" s="170" t="str">
        <f ca="1">Start.listina!L45</f>
        <v xml:space="preserve"> </v>
      </c>
      <c r="E39" s="170">
        <f ca="1">Start.listina!M45</f>
        <v>9999</v>
      </c>
      <c r="F39" s="170">
        <f ca="1">Start.listina!N45</f>
        <v>0</v>
      </c>
      <c r="G39" s="161"/>
    </row>
    <row r="40" spans="1:7">
      <c r="A40" s="170" t="str">
        <f ca="1">Start.listina!I46</f>
        <v/>
      </c>
      <c r="B40" s="171" t="str">
        <f ca="1">Start.listina!J46</f>
        <v xml:space="preserve"> </v>
      </c>
      <c r="C40" s="170" t="str">
        <f ca="1">Start.listina!K46</f>
        <v xml:space="preserve"> </v>
      </c>
      <c r="D40" s="170" t="str">
        <f ca="1">Start.listina!L46</f>
        <v xml:space="preserve"> </v>
      </c>
      <c r="E40" s="170">
        <f ca="1">Start.listina!M46</f>
        <v>9999</v>
      </c>
      <c r="F40" s="170">
        <f ca="1">Start.listina!N46</f>
        <v>0</v>
      </c>
      <c r="G40" s="161"/>
    </row>
    <row r="41" spans="1:7">
      <c r="A41" s="170" t="str">
        <f ca="1">Start.listina!I47</f>
        <v/>
      </c>
      <c r="B41" s="171" t="str">
        <f ca="1">Start.listina!J47</f>
        <v xml:space="preserve"> </v>
      </c>
      <c r="C41" s="170" t="str">
        <f ca="1">Start.listina!K47</f>
        <v xml:space="preserve"> </v>
      </c>
      <c r="D41" s="170" t="str">
        <f ca="1">Start.listina!L47</f>
        <v xml:space="preserve"> </v>
      </c>
      <c r="E41" s="170">
        <f ca="1">Start.listina!M47</f>
        <v>9999</v>
      </c>
      <c r="F41" s="170">
        <f ca="1">Start.listina!N47</f>
        <v>0</v>
      </c>
      <c r="G41" s="161"/>
    </row>
    <row r="42" spans="1:7">
      <c r="A42" s="170" t="str">
        <f ca="1">Start.listina!I48</f>
        <v/>
      </c>
      <c r="B42" s="171" t="str">
        <f ca="1">Start.listina!J48</f>
        <v xml:space="preserve"> </v>
      </c>
      <c r="C42" s="170" t="str">
        <f ca="1">Start.listina!K48</f>
        <v xml:space="preserve"> </v>
      </c>
      <c r="D42" s="170" t="str">
        <f ca="1">Start.listina!L48</f>
        <v xml:space="preserve"> </v>
      </c>
      <c r="E42" s="170">
        <f ca="1">Start.listina!M48</f>
        <v>9999</v>
      </c>
      <c r="F42" s="170">
        <f ca="1">Start.listina!N48</f>
        <v>0</v>
      </c>
      <c r="G42" s="161"/>
    </row>
    <row r="43" spans="1:7">
      <c r="A43" s="170" t="str">
        <f ca="1">Start.listina!I49</f>
        <v/>
      </c>
      <c r="B43" s="171" t="str">
        <f ca="1">Start.listina!J49</f>
        <v xml:space="preserve"> </v>
      </c>
      <c r="C43" s="170" t="str">
        <f ca="1">Start.listina!K49</f>
        <v xml:space="preserve"> </v>
      </c>
      <c r="D43" s="170" t="str">
        <f ca="1">Start.listina!L49</f>
        <v xml:space="preserve"> </v>
      </c>
      <c r="E43" s="170">
        <f ca="1">Start.listina!M49</f>
        <v>9999</v>
      </c>
      <c r="F43" s="170">
        <f ca="1">Start.listina!N49</f>
        <v>0</v>
      </c>
      <c r="G43" s="161"/>
    </row>
    <row r="44" spans="1:7">
      <c r="A44" s="170" t="str">
        <f ca="1">Start.listina!I50</f>
        <v/>
      </c>
      <c r="B44" s="171" t="str">
        <f ca="1">Start.listina!J50</f>
        <v xml:space="preserve"> </v>
      </c>
      <c r="C44" s="170" t="str">
        <f ca="1">Start.listina!K50</f>
        <v xml:space="preserve"> </v>
      </c>
      <c r="D44" s="170" t="str">
        <f ca="1">Start.listina!L50</f>
        <v xml:space="preserve"> </v>
      </c>
      <c r="E44" s="170">
        <f ca="1">Start.listina!M50</f>
        <v>9999</v>
      </c>
      <c r="F44" s="170">
        <f ca="1">Start.listina!N50</f>
        <v>0</v>
      </c>
      <c r="G44" s="161"/>
    </row>
    <row r="45" spans="1:7">
      <c r="A45" s="170" t="str">
        <f ca="1">Start.listina!I51</f>
        <v/>
      </c>
      <c r="B45" s="171" t="str">
        <f ca="1">Start.listina!J51</f>
        <v xml:space="preserve"> </v>
      </c>
      <c r="C45" s="170" t="str">
        <f ca="1">Start.listina!K51</f>
        <v xml:space="preserve"> </v>
      </c>
      <c r="D45" s="170" t="str">
        <f ca="1">Start.listina!L51</f>
        <v xml:space="preserve"> </v>
      </c>
      <c r="E45" s="170">
        <f ca="1">Start.listina!M51</f>
        <v>9999</v>
      </c>
      <c r="F45" s="170">
        <f ca="1">Start.listina!N51</f>
        <v>0</v>
      </c>
      <c r="G45" s="161"/>
    </row>
    <row r="46" spans="1:7">
      <c r="A46" s="170" t="str">
        <f ca="1">Start.listina!I52</f>
        <v/>
      </c>
      <c r="B46" s="171" t="str">
        <f ca="1">Start.listina!J52</f>
        <v xml:space="preserve"> </v>
      </c>
      <c r="C46" s="170" t="str">
        <f ca="1">Start.listina!K52</f>
        <v xml:space="preserve"> </v>
      </c>
      <c r="D46" s="170" t="str">
        <f ca="1">Start.listina!L52</f>
        <v xml:space="preserve"> </v>
      </c>
      <c r="E46" s="170">
        <f ca="1">Start.listina!M52</f>
        <v>9999</v>
      </c>
      <c r="F46" s="170">
        <f ca="1">Start.listina!N52</f>
        <v>0</v>
      </c>
      <c r="G46" s="161"/>
    </row>
    <row r="47" spans="1:7">
      <c r="A47" s="170" t="str">
        <f ca="1">Start.listina!I53</f>
        <v/>
      </c>
      <c r="B47" s="171" t="str">
        <f ca="1">Start.listina!J53</f>
        <v xml:space="preserve"> </v>
      </c>
      <c r="C47" s="170" t="str">
        <f ca="1">Start.listina!K53</f>
        <v xml:space="preserve"> </v>
      </c>
      <c r="D47" s="170" t="str">
        <f ca="1">Start.listina!L53</f>
        <v xml:space="preserve"> </v>
      </c>
      <c r="E47" s="170">
        <f ca="1">Start.listina!M53</f>
        <v>9999</v>
      </c>
      <c r="F47" s="170">
        <f ca="1">Start.listina!N53</f>
        <v>0</v>
      </c>
      <c r="G47" s="161"/>
    </row>
    <row r="48" spans="1:7">
      <c r="A48" s="170" t="str">
        <f ca="1">Start.listina!I54</f>
        <v/>
      </c>
      <c r="B48" s="171" t="str">
        <f ca="1">Start.listina!J54</f>
        <v xml:space="preserve"> </v>
      </c>
      <c r="C48" s="170" t="str">
        <f ca="1">Start.listina!K54</f>
        <v xml:space="preserve"> </v>
      </c>
      <c r="D48" s="170" t="str">
        <f ca="1">Start.listina!L54</f>
        <v xml:space="preserve"> </v>
      </c>
      <c r="E48" s="170">
        <f ca="1">Start.listina!M54</f>
        <v>9999</v>
      </c>
      <c r="F48" s="170">
        <f ca="1">Start.listina!N54</f>
        <v>0</v>
      </c>
      <c r="G48" s="161"/>
    </row>
    <row r="49" spans="1:7">
      <c r="A49" s="170" t="str">
        <f ca="1">Start.listina!I55</f>
        <v/>
      </c>
      <c r="B49" s="171" t="str">
        <f ca="1">Start.listina!J55</f>
        <v xml:space="preserve"> </v>
      </c>
      <c r="C49" s="170" t="str">
        <f ca="1">Start.listina!K55</f>
        <v xml:space="preserve"> </v>
      </c>
      <c r="D49" s="170" t="str">
        <f ca="1">Start.listina!L55</f>
        <v xml:space="preserve"> </v>
      </c>
      <c r="E49" s="170">
        <f ca="1">Start.listina!M55</f>
        <v>9999</v>
      </c>
      <c r="F49" s="170">
        <f ca="1">Start.listina!N55</f>
        <v>0</v>
      </c>
      <c r="G49" s="161"/>
    </row>
    <row r="50" spans="1:7">
      <c r="A50" s="170" t="str">
        <f ca="1">Start.listina!I56</f>
        <v/>
      </c>
      <c r="B50" s="171" t="str">
        <f ca="1">Start.listina!J56</f>
        <v xml:space="preserve"> </v>
      </c>
      <c r="C50" s="170" t="str">
        <f ca="1">Start.listina!K56</f>
        <v xml:space="preserve"> </v>
      </c>
      <c r="D50" s="170" t="str">
        <f ca="1">Start.listina!L56</f>
        <v xml:space="preserve"> </v>
      </c>
      <c r="E50" s="170">
        <f ca="1">Start.listina!M56</f>
        <v>9999</v>
      </c>
      <c r="F50" s="170">
        <f ca="1">Start.listina!N56</f>
        <v>0</v>
      </c>
      <c r="G50" s="161"/>
    </row>
    <row r="51" spans="1:7">
      <c r="A51" s="170" t="str">
        <f ca="1">Start.listina!I57</f>
        <v/>
      </c>
      <c r="B51" s="171" t="str">
        <f ca="1">Start.listina!J57</f>
        <v xml:space="preserve"> </v>
      </c>
      <c r="C51" s="170" t="str">
        <f ca="1">Start.listina!K57</f>
        <v xml:space="preserve"> </v>
      </c>
      <c r="D51" s="170" t="str">
        <f ca="1">Start.listina!L57</f>
        <v xml:space="preserve"> </v>
      </c>
      <c r="E51" s="170">
        <f ca="1">Start.listina!M57</f>
        <v>9999</v>
      </c>
      <c r="F51" s="170">
        <f ca="1">Start.listina!N57</f>
        <v>0</v>
      </c>
      <c r="G51" s="161"/>
    </row>
    <row r="52" spans="1:7">
      <c r="A52" s="170" t="str">
        <f ca="1">Start.listina!I58</f>
        <v/>
      </c>
      <c r="B52" s="171" t="str">
        <f ca="1">Start.listina!J58</f>
        <v xml:space="preserve"> </v>
      </c>
      <c r="C52" s="170" t="str">
        <f ca="1">Start.listina!K58</f>
        <v xml:space="preserve"> </v>
      </c>
      <c r="D52" s="170" t="str">
        <f ca="1">Start.listina!L58</f>
        <v xml:space="preserve"> </v>
      </c>
      <c r="E52" s="170">
        <f ca="1">Start.listina!M58</f>
        <v>9999</v>
      </c>
      <c r="F52" s="170">
        <f ca="1">Start.listina!N58</f>
        <v>0</v>
      </c>
      <c r="G52" s="161"/>
    </row>
    <row r="53" spans="1:7">
      <c r="A53" s="170" t="str">
        <f ca="1">Start.listina!I59</f>
        <v/>
      </c>
      <c r="B53" s="171" t="str">
        <f ca="1">Start.listina!J59</f>
        <v xml:space="preserve"> </v>
      </c>
      <c r="C53" s="170" t="str">
        <f ca="1">Start.listina!K59</f>
        <v xml:space="preserve"> </v>
      </c>
      <c r="D53" s="170" t="str">
        <f ca="1">Start.listina!L59</f>
        <v xml:space="preserve"> </v>
      </c>
      <c r="E53" s="170">
        <f ca="1">Start.listina!M59</f>
        <v>9999</v>
      </c>
      <c r="F53" s="170">
        <f ca="1">Start.listina!N59</f>
        <v>0</v>
      </c>
      <c r="G53" s="161"/>
    </row>
    <row r="54" spans="1:7">
      <c r="A54" s="170" t="str">
        <f ca="1">Start.listina!I60</f>
        <v/>
      </c>
      <c r="B54" s="171" t="str">
        <f ca="1">Start.listina!J60</f>
        <v xml:space="preserve"> </v>
      </c>
      <c r="C54" s="170" t="str">
        <f ca="1">Start.listina!K60</f>
        <v xml:space="preserve"> </v>
      </c>
      <c r="D54" s="170" t="str">
        <f ca="1">Start.listina!L60</f>
        <v xml:space="preserve"> </v>
      </c>
      <c r="E54" s="170">
        <f ca="1">Start.listina!M60</f>
        <v>9999</v>
      </c>
      <c r="F54" s="170">
        <f ca="1">Start.listina!N60</f>
        <v>0</v>
      </c>
      <c r="G54" s="161"/>
    </row>
    <row r="55" spans="1:7">
      <c r="A55" s="170" t="str">
        <f ca="1">Start.listina!I61</f>
        <v/>
      </c>
      <c r="B55" s="171" t="str">
        <f ca="1">Start.listina!J61</f>
        <v xml:space="preserve"> </v>
      </c>
      <c r="C55" s="170" t="str">
        <f ca="1">Start.listina!K61</f>
        <v xml:space="preserve"> </v>
      </c>
      <c r="D55" s="170" t="str">
        <f ca="1">Start.listina!L61</f>
        <v xml:space="preserve"> </v>
      </c>
      <c r="E55" s="170">
        <f ca="1">Start.listina!M61</f>
        <v>9999</v>
      </c>
      <c r="F55" s="170">
        <f ca="1">Start.listina!N61</f>
        <v>0</v>
      </c>
      <c r="G55" s="161"/>
    </row>
    <row r="56" spans="1:7">
      <c r="A56" s="170" t="str">
        <f ca="1">Start.listina!I62</f>
        <v/>
      </c>
      <c r="B56" s="171" t="str">
        <f ca="1">Start.listina!J62</f>
        <v xml:space="preserve"> </v>
      </c>
      <c r="C56" s="170" t="str">
        <f ca="1">Start.listina!K62</f>
        <v xml:space="preserve"> </v>
      </c>
      <c r="D56" s="170" t="str">
        <f ca="1">Start.listina!L62</f>
        <v xml:space="preserve"> </v>
      </c>
      <c r="E56" s="170">
        <f ca="1">Start.listina!M62</f>
        <v>9999</v>
      </c>
      <c r="F56" s="170">
        <f ca="1">Start.listina!N62</f>
        <v>0</v>
      </c>
      <c r="G56" s="161"/>
    </row>
    <row r="57" spans="1:7">
      <c r="A57" s="170" t="str">
        <f ca="1">Start.listina!I63</f>
        <v/>
      </c>
      <c r="B57" s="171" t="str">
        <f ca="1">Start.listina!J63</f>
        <v xml:space="preserve"> </v>
      </c>
      <c r="C57" s="170" t="str">
        <f ca="1">Start.listina!K63</f>
        <v xml:space="preserve"> </v>
      </c>
      <c r="D57" s="170" t="str">
        <f ca="1">Start.listina!L63</f>
        <v xml:space="preserve"> </v>
      </c>
      <c r="E57" s="170">
        <f ca="1">Start.listina!M63</f>
        <v>9999</v>
      </c>
      <c r="F57" s="170">
        <f ca="1">Start.listina!N63</f>
        <v>0</v>
      </c>
      <c r="G57" s="161"/>
    </row>
    <row r="58" spans="1:7">
      <c r="A58" s="170" t="str">
        <f ca="1">Start.listina!I64</f>
        <v/>
      </c>
      <c r="B58" s="171" t="str">
        <f ca="1">Start.listina!J64</f>
        <v xml:space="preserve"> </v>
      </c>
      <c r="C58" s="170" t="str">
        <f ca="1">Start.listina!K64</f>
        <v xml:space="preserve"> </v>
      </c>
      <c r="D58" s="170" t="str">
        <f ca="1">Start.listina!L64</f>
        <v xml:space="preserve"> </v>
      </c>
      <c r="E58" s="170">
        <f ca="1">Start.listina!M64</f>
        <v>9999</v>
      </c>
      <c r="F58" s="170">
        <f ca="1">Start.listina!N64</f>
        <v>0</v>
      </c>
      <c r="G58" s="161"/>
    </row>
    <row r="59" spans="1:7">
      <c r="A59" s="170" t="str">
        <f ca="1">Start.listina!I65</f>
        <v/>
      </c>
      <c r="B59" s="171" t="str">
        <f ca="1">Start.listina!J65</f>
        <v xml:space="preserve"> </v>
      </c>
      <c r="C59" s="170" t="str">
        <f ca="1">Start.listina!K65</f>
        <v xml:space="preserve"> </v>
      </c>
      <c r="D59" s="170" t="str">
        <f ca="1">Start.listina!L65</f>
        <v xml:space="preserve"> </v>
      </c>
      <c r="E59" s="170">
        <f ca="1">Start.listina!M65</f>
        <v>9999</v>
      </c>
      <c r="F59" s="170">
        <f ca="1">Start.listina!N65</f>
        <v>0</v>
      </c>
      <c r="G59" s="161"/>
    </row>
    <row r="60" spans="1:7">
      <c r="A60" s="170" t="str">
        <f ca="1">Start.listina!I66</f>
        <v/>
      </c>
      <c r="B60" s="171" t="str">
        <f ca="1">Start.listina!J66</f>
        <v xml:space="preserve"> </v>
      </c>
      <c r="C60" s="170" t="str">
        <f ca="1">Start.listina!K66</f>
        <v xml:space="preserve"> </v>
      </c>
      <c r="D60" s="170" t="str">
        <f ca="1">Start.listina!L66</f>
        <v xml:space="preserve"> </v>
      </c>
      <c r="E60" s="170">
        <f ca="1">Start.listina!M66</f>
        <v>9999</v>
      </c>
      <c r="F60" s="170">
        <f ca="1">Start.listina!N66</f>
        <v>0</v>
      </c>
      <c r="G60" s="161"/>
    </row>
    <row r="61" spans="1:7">
      <c r="A61" s="170" t="str">
        <f ca="1">Start.listina!I67</f>
        <v/>
      </c>
      <c r="B61" s="171" t="str">
        <f ca="1">Start.listina!J67</f>
        <v xml:space="preserve"> </v>
      </c>
      <c r="C61" s="170" t="str">
        <f ca="1">Start.listina!K67</f>
        <v xml:space="preserve"> </v>
      </c>
      <c r="D61" s="170" t="str">
        <f ca="1">Start.listina!L67</f>
        <v xml:space="preserve"> </v>
      </c>
      <c r="E61" s="170">
        <f ca="1">Start.listina!M67</f>
        <v>9999</v>
      </c>
      <c r="F61" s="170">
        <f ca="1">Start.listina!N67</f>
        <v>0</v>
      </c>
      <c r="G61" s="161"/>
    </row>
    <row r="62" spans="1:7">
      <c r="A62" s="170" t="str">
        <f ca="1">Start.listina!I68</f>
        <v/>
      </c>
      <c r="B62" s="171" t="str">
        <f ca="1">Start.listina!J68</f>
        <v xml:space="preserve"> </v>
      </c>
      <c r="C62" s="170" t="str">
        <f ca="1">Start.listina!K68</f>
        <v xml:space="preserve"> </v>
      </c>
      <c r="D62" s="170" t="str">
        <f ca="1">Start.listina!L68</f>
        <v xml:space="preserve"> </v>
      </c>
      <c r="E62" s="170">
        <f ca="1">Start.listina!M68</f>
        <v>9999</v>
      </c>
      <c r="F62" s="170">
        <f ca="1">Start.listina!N68</f>
        <v>0</v>
      </c>
      <c r="G62" s="161"/>
    </row>
    <row r="63" spans="1:7">
      <c r="A63" s="170" t="str">
        <f ca="1">Start.listina!I69</f>
        <v/>
      </c>
      <c r="B63" s="171" t="str">
        <f ca="1">Start.listina!J69</f>
        <v xml:space="preserve"> </v>
      </c>
      <c r="C63" s="170" t="str">
        <f ca="1">Start.listina!K69</f>
        <v xml:space="preserve"> </v>
      </c>
      <c r="D63" s="170" t="str">
        <f ca="1">Start.listina!L69</f>
        <v xml:space="preserve"> </v>
      </c>
      <c r="E63" s="170">
        <f ca="1">Start.listina!M69</f>
        <v>9999</v>
      </c>
      <c r="F63" s="170">
        <f ca="1">Start.listina!N69</f>
        <v>0</v>
      </c>
      <c r="G63" s="161"/>
    </row>
    <row r="64" spans="1:7">
      <c r="A64" s="170" t="str">
        <f ca="1">Start.listina!I70</f>
        <v/>
      </c>
      <c r="B64" s="171" t="str">
        <f ca="1">Start.listina!J70</f>
        <v xml:space="preserve"> </v>
      </c>
      <c r="C64" s="170" t="str">
        <f ca="1">Start.listina!K70</f>
        <v xml:space="preserve"> </v>
      </c>
      <c r="D64" s="170" t="str">
        <f ca="1">Start.listina!L70</f>
        <v xml:space="preserve"> </v>
      </c>
      <c r="E64" s="170">
        <f ca="1">Start.listina!M70</f>
        <v>9999</v>
      </c>
      <c r="F64" s="170">
        <f ca="1">Start.listina!N70</f>
        <v>0</v>
      </c>
      <c r="G64" s="161"/>
    </row>
    <row r="65" spans="1:7">
      <c r="A65" s="170" t="str">
        <f ca="1">Start.listina!I71</f>
        <v/>
      </c>
      <c r="B65" s="171" t="str">
        <f ca="1">Start.listina!J71</f>
        <v xml:space="preserve"> </v>
      </c>
      <c r="C65" s="170" t="str">
        <f ca="1">Start.listina!K71</f>
        <v xml:space="preserve"> </v>
      </c>
      <c r="D65" s="170" t="str">
        <f ca="1">Start.listina!L71</f>
        <v xml:space="preserve"> </v>
      </c>
      <c r="E65" s="170">
        <f ca="1">Start.listina!M71</f>
        <v>9999</v>
      </c>
      <c r="F65" s="170">
        <f ca="1">Start.listina!N71</f>
        <v>0</v>
      </c>
      <c r="G65" s="161"/>
    </row>
    <row r="66" spans="1:7">
      <c r="A66" s="170" t="str">
        <f ca="1">Start.listina!I72</f>
        <v/>
      </c>
      <c r="B66" s="171" t="str">
        <f ca="1">Start.listina!J72</f>
        <v xml:space="preserve"> </v>
      </c>
      <c r="C66" s="170" t="str">
        <f ca="1">Start.listina!K72</f>
        <v xml:space="preserve"> </v>
      </c>
      <c r="D66" s="170" t="str">
        <f ca="1">Start.listina!L72</f>
        <v xml:space="preserve"> </v>
      </c>
      <c r="E66" s="170">
        <f ca="1">Start.listina!M72</f>
        <v>9999</v>
      </c>
      <c r="F66" s="170">
        <f ca="1">Start.listina!N72</f>
        <v>0</v>
      </c>
      <c r="G66" s="161"/>
    </row>
    <row r="67" spans="1:7">
      <c r="A67" s="170" t="str">
        <f ca="1">Start.listina!I73</f>
        <v/>
      </c>
      <c r="B67" s="171" t="str">
        <f ca="1">Start.listina!J73</f>
        <v xml:space="preserve"> </v>
      </c>
      <c r="C67" s="170" t="str">
        <f ca="1">Start.listina!K73</f>
        <v xml:space="preserve"> </v>
      </c>
      <c r="D67" s="170" t="str">
        <f ca="1">Start.listina!L73</f>
        <v xml:space="preserve"> </v>
      </c>
      <c r="E67" s="170">
        <f ca="1">Start.listina!M73</f>
        <v>9999</v>
      </c>
      <c r="F67" s="170">
        <f ca="1">Start.listina!N73</f>
        <v>0</v>
      </c>
      <c r="G67" s="161"/>
    </row>
    <row r="68" spans="1:7">
      <c r="A68" s="170" t="str">
        <f ca="1">Start.listina!I74</f>
        <v/>
      </c>
      <c r="B68" s="171" t="str">
        <f ca="1">Start.listina!J74</f>
        <v xml:space="preserve"> </v>
      </c>
      <c r="C68" s="170" t="str">
        <f ca="1">Start.listina!K74</f>
        <v xml:space="preserve"> </v>
      </c>
      <c r="D68" s="170" t="str">
        <f ca="1">Start.listina!L74</f>
        <v xml:space="preserve"> </v>
      </c>
      <c r="E68" s="170">
        <f ca="1">Start.listina!M74</f>
        <v>9999</v>
      </c>
      <c r="F68" s="170">
        <f ca="1">Start.listina!N74</f>
        <v>0</v>
      </c>
      <c r="G68" s="161"/>
    </row>
    <row r="69" spans="1:7">
      <c r="A69" s="170" t="str">
        <f ca="1">Start.listina!I75</f>
        <v/>
      </c>
      <c r="B69" s="171" t="str">
        <f ca="1">Start.listina!J75</f>
        <v xml:space="preserve"> </v>
      </c>
      <c r="C69" s="170" t="str">
        <f ca="1">Start.listina!K75</f>
        <v xml:space="preserve"> </v>
      </c>
      <c r="D69" s="170" t="str">
        <f ca="1">Start.listina!L75</f>
        <v xml:space="preserve"> </v>
      </c>
      <c r="E69" s="170">
        <f ca="1">Start.listina!M75</f>
        <v>9999</v>
      </c>
      <c r="F69" s="170">
        <f ca="1">Start.listina!N75</f>
        <v>0</v>
      </c>
      <c r="G69" s="161"/>
    </row>
    <row r="70" spans="1:7">
      <c r="A70" s="170" t="str">
        <f ca="1">Start.listina!I76</f>
        <v/>
      </c>
      <c r="B70" s="171" t="str">
        <f ca="1">Start.listina!J76</f>
        <v xml:space="preserve"> </v>
      </c>
      <c r="C70" s="170" t="str">
        <f ca="1">Start.listina!K76</f>
        <v xml:space="preserve"> </v>
      </c>
      <c r="D70" s="170" t="str">
        <f ca="1">Start.listina!L76</f>
        <v xml:space="preserve"> </v>
      </c>
      <c r="E70" s="170">
        <f ca="1">Start.listina!M76</f>
        <v>9999</v>
      </c>
      <c r="F70" s="170">
        <f ca="1">Start.listina!N76</f>
        <v>0</v>
      </c>
      <c r="G70" s="161"/>
    </row>
    <row r="71" spans="1:7">
      <c r="A71" s="170" t="str">
        <f ca="1">Start.listina!I77</f>
        <v/>
      </c>
      <c r="B71" s="171" t="str">
        <f ca="1">Start.listina!J77</f>
        <v xml:space="preserve"> </v>
      </c>
      <c r="C71" s="170" t="str">
        <f ca="1">Start.listina!K77</f>
        <v xml:space="preserve"> </v>
      </c>
      <c r="D71" s="170" t="str">
        <f ca="1">Start.listina!L77</f>
        <v xml:space="preserve"> </v>
      </c>
      <c r="E71" s="170">
        <f ca="1">Start.listina!M77</f>
        <v>9999</v>
      </c>
      <c r="F71" s="170">
        <f ca="1">Start.listina!N77</f>
        <v>0</v>
      </c>
      <c r="G71" s="161"/>
    </row>
    <row r="72" spans="1:7">
      <c r="A72" s="170" t="str">
        <f ca="1">Start.listina!I78</f>
        <v/>
      </c>
      <c r="B72" s="171" t="str">
        <f ca="1">Start.listina!J78</f>
        <v xml:space="preserve"> </v>
      </c>
      <c r="C72" s="170" t="str">
        <f ca="1">Start.listina!K78</f>
        <v xml:space="preserve"> </v>
      </c>
      <c r="D72" s="170" t="str">
        <f ca="1">Start.listina!L78</f>
        <v xml:space="preserve"> </v>
      </c>
      <c r="E72" s="170">
        <f ca="1">Start.listina!M78</f>
        <v>9999</v>
      </c>
      <c r="F72" s="170">
        <f ca="1">Start.listina!N78</f>
        <v>0</v>
      </c>
      <c r="G72" s="161"/>
    </row>
    <row r="73" spans="1:7">
      <c r="A73" s="170" t="str">
        <f ca="1">Start.listina!I79</f>
        <v/>
      </c>
      <c r="B73" s="171" t="str">
        <f ca="1">Start.listina!J79</f>
        <v xml:space="preserve"> </v>
      </c>
      <c r="C73" s="170" t="str">
        <f ca="1">Start.listina!K79</f>
        <v xml:space="preserve"> </v>
      </c>
      <c r="D73" s="170" t="str">
        <f ca="1">Start.listina!L79</f>
        <v xml:space="preserve"> </v>
      </c>
      <c r="E73" s="170">
        <f ca="1">Start.listina!M79</f>
        <v>9999</v>
      </c>
      <c r="F73" s="170">
        <f ca="1">Start.listina!N79</f>
        <v>0</v>
      </c>
      <c r="G73" s="161"/>
    </row>
    <row r="74" spans="1:7">
      <c r="A74" s="170" t="str">
        <f ca="1">Start.listina!I80</f>
        <v/>
      </c>
      <c r="B74" s="171" t="str">
        <f ca="1">Start.listina!J80</f>
        <v xml:space="preserve"> </v>
      </c>
      <c r="C74" s="170" t="str">
        <f ca="1">Start.listina!K80</f>
        <v xml:space="preserve"> </v>
      </c>
      <c r="D74" s="170" t="str">
        <f ca="1">Start.listina!L80</f>
        <v xml:space="preserve"> </v>
      </c>
      <c r="E74" s="170">
        <f ca="1">Start.listina!M80</f>
        <v>9999</v>
      </c>
      <c r="F74" s="170">
        <f ca="1">Start.listina!N80</f>
        <v>0</v>
      </c>
      <c r="G74" s="161"/>
    </row>
    <row r="75" spans="1:7">
      <c r="A75" s="170" t="str">
        <f ca="1">Start.listina!I81</f>
        <v/>
      </c>
      <c r="B75" s="171" t="str">
        <f ca="1">Start.listina!J81</f>
        <v xml:space="preserve"> </v>
      </c>
      <c r="C75" s="170" t="str">
        <f ca="1">Start.listina!K81</f>
        <v xml:space="preserve"> </v>
      </c>
      <c r="D75" s="170" t="str">
        <f ca="1">Start.listina!L81</f>
        <v xml:space="preserve"> </v>
      </c>
      <c r="E75" s="170">
        <f ca="1">Start.listina!M81</f>
        <v>9999</v>
      </c>
      <c r="F75" s="170">
        <f ca="1">Start.listina!N81</f>
        <v>0</v>
      </c>
      <c r="G75" s="161"/>
    </row>
    <row r="76" spans="1:7">
      <c r="A76" s="170" t="str">
        <f ca="1">Start.listina!I82</f>
        <v/>
      </c>
      <c r="B76" s="171" t="str">
        <f ca="1">Start.listina!J82</f>
        <v xml:space="preserve"> </v>
      </c>
      <c r="C76" s="170" t="str">
        <f ca="1">Start.listina!K82</f>
        <v xml:space="preserve"> </v>
      </c>
      <c r="D76" s="170" t="str">
        <f ca="1">Start.listina!L82</f>
        <v xml:space="preserve"> </v>
      </c>
      <c r="E76" s="170">
        <f ca="1">Start.listina!M82</f>
        <v>9999</v>
      </c>
      <c r="F76" s="170">
        <f ca="1">Start.listina!N82</f>
        <v>0</v>
      </c>
      <c r="G76" s="161"/>
    </row>
    <row r="77" spans="1:7">
      <c r="A77" s="170" t="str">
        <f ca="1">Start.listina!I83</f>
        <v/>
      </c>
      <c r="B77" s="171" t="str">
        <f ca="1">Start.listina!J83</f>
        <v xml:space="preserve"> </v>
      </c>
      <c r="C77" s="170" t="str">
        <f ca="1">Start.listina!K83</f>
        <v xml:space="preserve"> </v>
      </c>
      <c r="D77" s="170" t="str">
        <f ca="1">Start.listina!L83</f>
        <v xml:space="preserve"> </v>
      </c>
      <c r="E77" s="170">
        <f ca="1">Start.listina!M83</f>
        <v>9999</v>
      </c>
      <c r="F77" s="170">
        <f ca="1">Start.listina!N83</f>
        <v>0</v>
      </c>
      <c r="G77" s="161"/>
    </row>
    <row r="78" spans="1:7">
      <c r="A78" s="170" t="str">
        <f ca="1">Start.listina!I84</f>
        <v/>
      </c>
      <c r="B78" s="171" t="str">
        <f ca="1">Start.listina!J84</f>
        <v xml:space="preserve"> </v>
      </c>
      <c r="C78" s="170" t="str">
        <f ca="1">Start.listina!K84</f>
        <v xml:space="preserve"> </v>
      </c>
      <c r="D78" s="170" t="str">
        <f ca="1">Start.listina!L84</f>
        <v xml:space="preserve"> </v>
      </c>
      <c r="E78" s="170">
        <f ca="1">Start.listina!M84</f>
        <v>9999</v>
      </c>
      <c r="F78" s="170">
        <f ca="1">Start.listina!N84</f>
        <v>0</v>
      </c>
      <c r="G78" s="161"/>
    </row>
    <row r="79" spans="1:7">
      <c r="A79" s="170" t="str">
        <f ca="1">Start.listina!I85</f>
        <v/>
      </c>
      <c r="B79" s="171" t="str">
        <f ca="1">Start.listina!J85</f>
        <v xml:space="preserve"> </v>
      </c>
      <c r="C79" s="170" t="str">
        <f ca="1">Start.listina!K85</f>
        <v xml:space="preserve"> </v>
      </c>
      <c r="D79" s="170" t="str">
        <f ca="1">Start.listina!L85</f>
        <v xml:space="preserve"> </v>
      </c>
      <c r="E79" s="170">
        <f ca="1">Start.listina!M85</f>
        <v>9999</v>
      </c>
      <c r="F79" s="170">
        <f ca="1">Start.listina!N85</f>
        <v>0</v>
      </c>
      <c r="G79" s="161"/>
    </row>
    <row r="80" spans="1:7">
      <c r="A80" s="170" t="str">
        <f ca="1">Start.listina!I86</f>
        <v/>
      </c>
      <c r="B80" s="171" t="str">
        <f ca="1">Start.listina!J86</f>
        <v xml:space="preserve"> </v>
      </c>
      <c r="C80" s="170" t="str">
        <f ca="1">Start.listina!K86</f>
        <v xml:space="preserve"> </v>
      </c>
      <c r="D80" s="170" t="str">
        <f ca="1">Start.listina!L86</f>
        <v xml:space="preserve"> </v>
      </c>
      <c r="E80" s="170">
        <f ca="1">Start.listina!M86</f>
        <v>9999</v>
      </c>
      <c r="F80" s="170">
        <f ca="1">Start.listina!N86</f>
        <v>0</v>
      </c>
      <c r="G80" s="161"/>
    </row>
    <row r="81" spans="1:7">
      <c r="A81" s="170" t="str">
        <f ca="1">Start.listina!I87</f>
        <v/>
      </c>
      <c r="B81" s="171" t="str">
        <f ca="1">Start.listina!J87</f>
        <v xml:space="preserve"> </v>
      </c>
      <c r="C81" s="170" t="str">
        <f ca="1">Start.listina!K87</f>
        <v xml:space="preserve"> </v>
      </c>
      <c r="D81" s="170" t="str">
        <f ca="1">Start.listina!L87</f>
        <v xml:space="preserve"> </v>
      </c>
      <c r="E81" s="170">
        <f ca="1">Start.listina!M87</f>
        <v>9999</v>
      </c>
      <c r="F81" s="170">
        <f ca="1">Start.listina!N87</f>
        <v>0</v>
      </c>
      <c r="G81" s="161"/>
    </row>
    <row r="82" spans="1:7">
      <c r="A82" s="170" t="str">
        <f ca="1">Start.listina!I88</f>
        <v/>
      </c>
      <c r="B82" s="171" t="str">
        <f ca="1">Start.listina!J88</f>
        <v xml:space="preserve"> </v>
      </c>
      <c r="C82" s="170" t="str">
        <f ca="1">Start.listina!K88</f>
        <v xml:space="preserve"> </v>
      </c>
      <c r="D82" s="170" t="str">
        <f ca="1">Start.listina!L88</f>
        <v xml:space="preserve"> </v>
      </c>
      <c r="E82" s="170">
        <f ca="1">Start.listina!M88</f>
        <v>9999</v>
      </c>
      <c r="F82" s="170">
        <f ca="1">Start.listina!N88</f>
        <v>0</v>
      </c>
      <c r="G82" s="161"/>
    </row>
    <row r="83" spans="1:7">
      <c r="A83" s="170" t="str">
        <f ca="1">Start.listina!I89</f>
        <v/>
      </c>
      <c r="B83" s="171" t="str">
        <f ca="1">Start.listina!J89</f>
        <v xml:space="preserve"> </v>
      </c>
      <c r="C83" s="170" t="str">
        <f ca="1">Start.listina!K89</f>
        <v xml:space="preserve"> </v>
      </c>
      <c r="D83" s="170" t="str">
        <f ca="1">Start.listina!L89</f>
        <v xml:space="preserve"> </v>
      </c>
      <c r="E83" s="170">
        <f ca="1">Start.listina!M89</f>
        <v>9999</v>
      </c>
      <c r="F83" s="170">
        <f ca="1">Start.listina!N89</f>
        <v>0</v>
      </c>
      <c r="G83" s="161"/>
    </row>
    <row r="84" spans="1:7">
      <c r="A84" s="170" t="str">
        <f ca="1">Start.listina!I90</f>
        <v/>
      </c>
      <c r="B84" s="171" t="str">
        <f ca="1">Start.listina!J90</f>
        <v xml:space="preserve"> </v>
      </c>
      <c r="C84" s="170" t="str">
        <f ca="1">Start.listina!K90</f>
        <v xml:space="preserve"> </v>
      </c>
      <c r="D84" s="170" t="str">
        <f ca="1">Start.listina!L90</f>
        <v xml:space="preserve"> </v>
      </c>
      <c r="E84" s="170">
        <f ca="1">Start.listina!M90</f>
        <v>9999</v>
      </c>
      <c r="F84" s="170">
        <f ca="1">Start.listina!N90</f>
        <v>0</v>
      </c>
      <c r="G84" s="161"/>
    </row>
    <row r="85" spans="1:7">
      <c r="A85" s="170" t="str">
        <f ca="1">Start.listina!I91</f>
        <v/>
      </c>
      <c r="B85" s="171" t="str">
        <f ca="1">Start.listina!J91</f>
        <v xml:space="preserve"> </v>
      </c>
      <c r="C85" s="170" t="str">
        <f ca="1">Start.listina!K91</f>
        <v xml:space="preserve"> </v>
      </c>
      <c r="D85" s="170" t="str">
        <f ca="1">Start.listina!L91</f>
        <v xml:space="preserve"> </v>
      </c>
      <c r="E85" s="170">
        <f ca="1">Start.listina!M91</f>
        <v>9999</v>
      </c>
      <c r="F85" s="170">
        <f ca="1">Start.listina!N91</f>
        <v>0</v>
      </c>
      <c r="G85" s="161"/>
    </row>
    <row r="86" spans="1:7">
      <c r="A86" s="170" t="str">
        <f ca="1">Start.listina!I92</f>
        <v/>
      </c>
      <c r="B86" s="171" t="str">
        <f ca="1">Start.listina!J92</f>
        <v xml:space="preserve"> </v>
      </c>
      <c r="C86" s="170" t="str">
        <f ca="1">Start.listina!K92</f>
        <v xml:space="preserve"> </v>
      </c>
      <c r="D86" s="170" t="str">
        <f ca="1">Start.listina!L92</f>
        <v xml:space="preserve"> </v>
      </c>
      <c r="E86" s="170">
        <f ca="1">Start.listina!M92</f>
        <v>9999</v>
      </c>
      <c r="F86" s="170">
        <f ca="1">Start.listina!N92</f>
        <v>0</v>
      </c>
      <c r="G86" s="161"/>
    </row>
    <row r="87" spans="1:7">
      <c r="A87" s="170" t="str">
        <f ca="1">Start.listina!I93</f>
        <v/>
      </c>
      <c r="B87" s="171" t="str">
        <f ca="1">Start.listina!J93</f>
        <v xml:space="preserve"> </v>
      </c>
      <c r="C87" s="170" t="str">
        <f ca="1">Start.listina!K93</f>
        <v xml:space="preserve"> </v>
      </c>
      <c r="D87" s="170" t="str">
        <f ca="1">Start.listina!L93</f>
        <v xml:space="preserve"> </v>
      </c>
      <c r="E87" s="170">
        <f ca="1">Start.listina!M93</f>
        <v>9999</v>
      </c>
      <c r="F87" s="170">
        <f ca="1">Start.listina!N93</f>
        <v>0</v>
      </c>
      <c r="G87" s="161"/>
    </row>
    <row r="88" spans="1:7">
      <c r="A88" s="170" t="str">
        <f ca="1">Start.listina!I94</f>
        <v/>
      </c>
      <c r="B88" s="171" t="str">
        <f ca="1">Start.listina!J94</f>
        <v xml:space="preserve"> </v>
      </c>
      <c r="C88" s="170" t="str">
        <f ca="1">Start.listina!K94</f>
        <v xml:space="preserve"> </v>
      </c>
      <c r="D88" s="170" t="str">
        <f ca="1">Start.listina!L94</f>
        <v xml:space="preserve"> </v>
      </c>
      <c r="E88" s="170">
        <f ca="1">Start.listina!M94</f>
        <v>9999</v>
      </c>
      <c r="F88" s="170">
        <f ca="1">Start.listina!N94</f>
        <v>0</v>
      </c>
      <c r="G88" s="161"/>
    </row>
    <row r="89" spans="1:7">
      <c r="A89" s="170" t="str">
        <f ca="1">Start.listina!I95</f>
        <v/>
      </c>
      <c r="B89" s="171" t="str">
        <f ca="1">Start.listina!J95</f>
        <v xml:space="preserve"> </v>
      </c>
      <c r="C89" s="170" t="str">
        <f ca="1">Start.listina!K95</f>
        <v xml:space="preserve"> </v>
      </c>
      <c r="D89" s="170" t="str">
        <f ca="1">Start.listina!L95</f>
        <v xml:space="preserve"> </v>
      </c>
      <c r="E89" s="170">
        <f ca="1">Start.listina!M95</f>
        <v>9999</v>
      </c>
      <c r="F89" s="170">
        <f ca="1">Start.listina!N95</f>
        <v>0</v>
      </c>
      <c r="G89" s="161"/>
    </row>
    <row r="90" spans="1:7">
      <c r="A90" s="170" t="str">
        <f ca="1">Start.listina!I96</f>
        <v/>
      </c>
      <c r="B90" s="171" t="str">
        <f ca="1">Start.listina!J96</f>
        <v xml:space="preserve"> </v>
      </c>
      <c r="C90" s="170" t="str">
        <f ca="1">Start.listina!K96</f>
        <v xml:space="preserve"> </v>
      </c>
      <c r="D90" s="170" t="str">
        <f ca="1">Start.listina!L96</f>
        <v xml:space="preserve"> </v>
      </c>
      <c r="E90" s="170">
        <f ca="1">Start.listina!M96</f>
        <v>9999</v>
      </c>
      <c r="F90" s="170">
        <f ca="1">Start.listina!N96</f>
        <v>0</v>
      </c>
      <c r="G90" s="161"/>
    </row>
    <row r="91" spans="1:7">
      <c r="A91" s="170" t="str">
        <f ca="1">Start.listina!I97</f>
        <v/>
      </c>
      <c r="B91" s="171" t="str">
        <f ca="1">Start.listina!J97</f>
        <v xml:space="preserve"> </v>
      </c>
      <c r="C91" s="170" t="str">
        <f ca="1">Start.listina!K97</f>
        <v xml:space="preserve"> </v>
      </c>
      <c r="D91" s="170" t="str">
        <f ca="1">Start.listina!L97</f>
        <v xml:space="preserve"> </v>
      </c>
      <c r="E91" s="170">
        <f ca="1">Start.listina!M97</f>
        <v>9999</v>
      </c>
      <c r="F91" s="170">
        <f ca="1">Start.listina!N97</f>
        <v>0</v>
      </c>
      <c r="G91" s="161"/>
    </row>
    <row r="92" spans="1:7">
      <c r="A92" s="170" t="str">
        <f ca="1">Start.listina!I98</f>
        <v/>
      </c>
      <c r="B92" s="171" t="str">
        <f ca="1">Start.listina!J98</f>
        <v xml:space="preserve"> </v>
      </c>
      <c r="C92" s="170" t="str">
        <f ca="1">Start.listina!K98</f>
        <v xml:space="preserve"> </v>
      </c>
      <c r="D92" s="170" t="str">
        <f ca="1">Start.listina!L98</f>
        <v xml:space="preserve"> </v>
      </c>
      <c r="E92" s="170">
        <f ca="1">Start.listina!M98</f>
        <v>9999</v>
      </c>
      <c r="F92" s="170">
        <f ca="1">Start.listina!N98</f>
        <v>0</v>
      </c>
      <c r="G92" s="161"/>
    </row>
    <row r="93" spans="1:7">
      <c r="A93" s="170" t="str">
        <f ca="1">Start.listina!I99</f>
        <v/>
      </c>
      <c r="B93" s="171" t="str">
        <f ca="1">Start.listina!J99</f>
        <v xml:space="preserve"> </v>
      </c>
      <c r="C93" s="170" t="str">
        <f ca="1">Start.listina!K99</f>
        <v xml:space="preserve"> </v>
      </c>
      <c r="D93" s="170" t="str">
        <f ca="1">Start.listina!L99</f>
        <v xml:space="preserve"> </v>
      </c>
      <c r="E93" s="170">
        <f ca="1">Start.listina!M99</f>
        <v>9999</v>
      </c>
      <c r="F93" s="170">
        <f ca="1">Start.listina!N99</f>
        <v>0</v>
      </c>
      <c r="G93" s="161"/>
    </row>
    <row r="94" spans="1:7">
      <c r="A94" s="170" t="str">
        <f ca="1">Start.listina!I100</f>
        <v/>
      </c>
      <c r="B94" s="171" t="str">
        <f ca="1">Start.listina!J100</f>
        <v xml:space="preserve"> </v>
      </c>
      <c r="C94" s="170" t="str">
        <f ca="1">Start.listina!K100</f>
        <v xml:space="preserve"> </v>
      </c>
      <c r="D94" s="170" t="str">
        <f ca="1">Start.listina!L100</f>
        <v xml:space="preserve"> </v>
      </c>
      <c r="E94" s="170">
        <f ca="1">Start.listina!M100</f>
        <v>9999</v>
      </c>
      <c r="F94" s="170">
        <f ca="1">Start.listina!N100</f>
        <v>0</v>
      </c>
      <c r="G94" s="161"/>
    </row>
    <row r="95" spans="1:7">
      <c r="A95" s="170" t="str">
        <f ca="1">Start.listina!I101</f>
        <v/>
      </c>
      <c r="B95" s="171" t="str">
        <f ca="1">Start.listina!J101</f>
        <v xml:space="preserve"> </v>
      </c>
      <c r="C95" s="170" t="str">
        <f ca="1">Start.listina!K101</f>
        <v xml:space="preserve"> </v>
      </c>
      <c r="D95" s="170" t="str">
        <f ca="1">Start.listina!L101</f>
        <v xml:space="preserve"> </v>
      </c>
      <c r="E95" s="170">
        <f ca="1">Start.listina!M101</f>
        <v>9999</v>
      </c>
      <c r="F95" s="170">
        <f ca="1">Start.listina!N101</f>
        <v>0</v>
      </c>
      <c r="G95" s="161"/>
    </row>
    <row r="96" spans="1:7">
      <c r="A96" s="170" t="str">
        <f ca="1">Start.listina!I102</f>
        <v/>
      </c>
      <c r="B96" s="171" t="str">
        <f ca="1">Start.listina!J102</f>
        <v xml:space="preserve"> </v>
      </c>
      <c r="C96" s="170" t="str">
        <f ca="1">Start.listina!K102</f>
        <v xml:space="preserve"> </v>
      </c>
      <c r="D96" s="170" t="str">
        <f ca="1">Start.listina!L102</f>
        <v xml:space="preserve"> </v>
      </c>
      <c r="E96" s="170">
        <f ca="1">Start.listina!M102</f>
        <v>9999</v>
      </c>
      <c r="F96" s="170">
        <f ca="1">Start.listina!N102</f>
        <v>0</v>
      </c>
      <c r="G96" s="161"/>
    </row>
    <row r="97" spans="1:7">
      <c r="A97" s="170" t="str">
        <f ca="1">Start.listina!I103</f>
        <v/>
      </c>
      <c r="B97" s="171" t="str">
        <f ca="1">Start.listina!J103</f>
        <v xml:space="preserve"> </v>
      </c>
      <c r="C97" s="170" t="str">
        <f ca="1">Start.listina!K103</f>
        <v xml:space="preserve"> </v>
      </c>
      <c r="D97" s="170" t="str">
        <f ca="1">Start.listina!L103</f>
        <v xml:space="preserve"> </v>
      </c>
      <c r="E97" s="170">
        <f ca="1">Start.listina!M103</f>
        <v>9999</v>
      </c>
      <c r="F97" s="170">
        <f ca="1">Start.listina!N103</f>
        <v>0</v>
      </c>
      <c r="G97" s="161"/>
    </row>
    <row r="98" spans="1:7">
      <c r="A98" s="170" t="str">
        <f ca="1">Start.listina!I104</f>
        <v/>
      </c>
      <c r="B98" s="171" t="str">
        <f ca="1">Start.listina!J104</f>
        <v xml:space="preserve"> </v>
      </c>
      <c r="C98" s="170" t="str">
        <f ca="1">Start.listina!K104</f>
        <v xml:space="preserve"> </v>
      </c>
      <c r="D98" s="170" t="str">
        <f ca="1">Start.listina!L104</f>
        <v xml:space="preserve"> </v>
      </c>
      <c r="E98" s="170">
        <f ca="1">Start.listina!M104</f>
        <v>9999</v>
      </c>
      <c r="F98" s="170">
        <f ca="1">Start.listina!N104</f>
        <v>0</v>
      </c>
      <c r="G98" s="161"/>
    </row>
    <row r="99" spans="1:7">
      <c r="A99" s="170" t="str">
        <f ca="1">Start.listina!I105</f>
        <v/>
      </c>
      <c r="B99" s="171" t="str">
        <f ca="1">Start.listina!J105</f>
        <v xml:space="preserve"> </v>
      </c>
      <c r="C99" s="170" t="str">
        <f ca="1">Start.listina!K105</f>
        <v xml:space="preserve"> </v>
      </c>
      <c r="D99" s="170" t="str">
        <f ca="1">Start.listina!L105</f>
        <v xml:space="preserve"> </v>
      </c>
      <c r="E99" s="170">
        <f ca="1">Start.listina!M105</f>
        <v>9999</v>
      </c>
      <c r="F99" s="170">
        <f ca="1">Start.listina!N105</f>
        <v>0</v>
      </c>
      <c r="G99" s="161"/>
    </row>
    <row r="100" spans="1:7">
      <c r="A100" s="170" t="str">
        <f ca="1">Start.listina!I106</f>
        <v/>
      </c>
      <c r="B100" s="171" t="str">
        <f ca="1">Start.listina!J106</f>
        <v xml:space="preserve"> </v>
      </c>
      <c r="C100" s="170" t="str">
        <f ca="1">Start.listina!K106</f>
        <v xml:space="preserve"> </v>
      </c>
      <c r="D100" s="170" t="str">
        <f ca="1">Start.listina!L106</f>
        <v xml:space="preserve"> </v>
      </c>
      <c r="E100" s="170">
        <f ca="1">Start.listina!M106</f>
        <v>9999</v>
      </c>
      <c r="F100" s="170">
        <f ca="1">Start.listina!N106</f>
        <v>0</v>
      </c>
      <c r="G100" s="161"/>
    </row>
    <row r="101" spans="1:7">
      <c r="A101" s="170" t="str">
        <f ca="1">Start.listina!I107</f>
        <v/>
      </c>
      <c r="B101" s="171" t="str">
        <f ca="1">Start.listina!J107</f>
        <v xml:space="preserve"> </v>
      </c>
      <c r="C101" s="170" t="str">
        <f ca="1">Start.listina!K107</f>
        <v xml:space="preserve"> </v>
      </c>
      <c r="D101" s="170" t="str">
        <f ca="1">Start.listina!L107</f>
        <v xml:space="preserve"> </v>
      </c>
      <c r="E101" s="170">
        <f ca="1">Start.listina!M107</f>
        <v>9999</v>
      </c>
      <c r="F101" s="170">
        <f ca="1">Start.listina!N107</f>
        <v>0</v>
      </c>
      <c r="G101" s="161"/>
    </row>
    <row r="102" spans="1:7">
      <c r="A102" s="170" t="str">
        <f ca="1">Start.listina!I108</f>
        <v/>
      </c>
      <c r="B102" s="171" t="str">
        <f ca="1">Start.listina!J108</f>
        <v xml:space="preserve"> </v>
      </c>
      <c r="C102" s="170" t="str">
        <f ca="1">Start.listina!K108</f>
        <v xml:space="preserve"> </v>
      </c>
      <c r="D102" s="170" t="str">
        <f ca="1">Start.listina!L108</f>
        <v xml:space="preserve"> </v>
      </c>
      <c r="E102" s="170">
        <f ca="1">Start.listina!M108</f>
        <v>9999</v>
      </c>
      <c r="F102" s="170">
        <f ca="1">Start.listina!N108</f>
        <v>0</v>
      </c>
      <c r="G102" s="161"/>
    </row>
    <row r="103" spans="1:7">
      <c r="A103" s="170" t="str">
        <f ca="1">Start.listina!I109</f>
        <v/>
      </c>
      <c r="B103" s="171" t="str">
        <f ca="1">Start.listina!J109</f>
        <v xml:space="preserve"> </v>
      </c>
      <c r="C103" s="170" t="str">
        <f ca="1">Start.listina!K109</f>
        <v xml:space="preserve"> </v>
      </c>
      <c r="D103" s="170" t="str">
        <f ca="1">Start.listina!L109</f>
        <v xml:space="preserve"> </v>
      </c>
      <c r="E103" s="170">
        <f ca="1">Start.listina!M109</f>
        <v>9999</v>
      </c>
      <c r="F103" s="170">
        <f ca="1">Start.listina!N109</f>
        <v>0</v>
      </c>
      <c r="G103" s="161"/>
    </row>
    <row r="104" spans="1:7">
      <c r="A104" s="170" t="str">
        <f ca="1">Start.listina!I110</f>
        <v/>
      </c>
      <c r="B104" s="171" t="str">
        <f ca="1">Start.listina!J110</f>
        <v xml:space="preserve"> </v>
      </c>
      <c r="C104" s="170" t="str">
        <f ca="1">Start.listina!K110</f>
        <v xml:space="preserve"> </v>
      </c>
      <c r="D104" s="170" t="str">
        <f ca="1">Start.listina!L110</f>
        <v xml:space="preserve"> </v>
      </c>
      <c r="E104" s="170">
        <f ca="1">Start.listina!M110</f>
        <v>9999</v>
      </c>
      <c r="F104" s="170">
        <f ca="1">Start.listina!N110</f>
        <v>0</v>
      </c>
      <c r="G104" s="161"/>
    </row>
    <row r="105" spans="1:7">
      <c r="A105" s="170" t="str">
        <f ca="1">Start.listina!I111</f>
        <v/>
      </c>
      <c r="B105" s="171" t="str">
        <f ca="1">Start.listina!J111</f>
        <v xml:space="preserve"> </v>
      </c>
      <c r="C105" s="170" t="str">
        <f ca="1">Start.listina!K111</f>
        <v xml:space="preserve"> </v>
      </c>
      <c r="D105" s="170" t="str">
        <f ca="1">Start.listina!L111</f>
        <v xml:space="preserve"> </v>
      </c>
      <c r="E105" s="170">
        <f ca="1">Start.listina!M111</f>
        <v>9999</v>
      </c>
      <c r="F105" s="170">
        <f ca="1">Start.listina!N111</f>
        <v>0</v>
      </c>
      <c r="G105" s="161"/>
    </row>
    <row r="106" spans="1:7">
      <c r="A106" s="170" t="str">
        <f ca="1">Start.listina!I112</f>
        <v/>
      </c>
      <c r="B106" s="171" t="str">
        <f ca="1">Start.listina!J112</f>
        <v xml:space="preserve"> </v>
      </c>
      <c r="C106" s="170" t="str">
        <f ca="1">Start.listina!K112</f>
        <v xml:space="preserve"> </v>
      </c>
      <c r="D106" s="170" t="str">
        <f ca="1">Start.listina!L112</f>
        <v xml:space="preserve"> </v>
      </c>
      <c r="E106" s="170">
        <f ca="1">Start.listina!M112</f>
        <v>9999</v>
      </c>
      <c r="F106" s="170">
        <f ca="1">Start.listina!N112</f>
        <v>0</v>
      </c>
      <c r="G106" s="161"/>
    </row>
    <row r="107" spans="1:7">
      <c r="A107" s="170" t="str">
        <f ca="1">Start.listina!I113</f>
        <v/>
      </c>
      <c r="B107" s="171" t="str">
        <f ca="1">Start.listina!J113</f>
        <v xml:space="preserve"> </v>
      </c>
      <c r="C107" s="170" t="str">
        <f ca="1">Start.listina!K113</f>
        <v xml:space="preserve"> </v>
      </c>
      <c r="D107" s="170" t="str">
        <f ca="1">Start.listina!L113</f>
        <v xml:space="preserve"> </v>
      </c>
      <c r="E107" s="170">
        <f ca="1">Start.listina!M113</f>
        <v>9999</v>
      </c>
      <c r="F107" s="170">
        <f ca="1">Start.listina!N113</f>
        <v>0</v>
      </c>
      <c r="G107" s="161"/>
    </row>
    <row r="108" spans="1:7">
      <c r="A108" s="170" t="str">
        <f ca="1">Start.listina!I114</f>
        <v/>
      </c>
      <c r="B108" s="171" t="str">
        <f ca="1">Start.listina!J114</f>
        <v xml:space="preserve"> </v>
      </c>
      <c r="C108" s="170" t="str">
        <f ca="1">Start.listina!K114</f>
        <v xml:space="preserve"> </v>
      </c>
      <c r="D108" s="170" t="str">
        <f ca="1">Start.listina!L114</f>
        <v xml:space="preserve"> </v>
      </c>
      <c r="E108" s="170">
        <f ca="1">Start.listina!M114</f>
        <v>9999</v>
      </c>
      <c r="F108" s="170">
        <f ca="1">Start.listina!N114</f>
        <v>0</v>
      </c>
      <c r="G108" s="161"/>
    </row>
    <row r="109" spans="1:7">
      <c r="A109" s="170" t="str">
        <f ca="1">Start.listina!I115</f>
        <v/>
      </c>
      <c r="B109" s="171" t="str">
        <f ca="1">Start.listina!J115</f>
        <v xml:space="preserve"> </v>
      </c>
      <c r="C109" s="170" t="str">
        <f ca="1">Start.listina!K115</f>
        <v xml:space="preserve"> </v>
      </c>
      <c r="D109" s="170" t="str">
        <f ca="1">Start.listina!L115</f>
        <v xml:space="preserve"> </v>
      </c>
      <c r="E109" s="170">
        <f ca="1">Start.listina!M115</f>
        <v>9999</v>
      </c>
      <c r="F109" s="170">
        <f ca="1">Start.listina!N115</f>
        <v>0</v>
      </c>
      <c r="G109" s="161"/>
    </row>
    <row r="110" spans="1:7">
      <c r="A110" s="170" t="str">
        <f ca="1">Start.listina!I116</f>
        <v/>
      </c>
      <c r="B110" s="171" t="str">
        <f ca="1">Start.listina!J116</f>
        <v xml:space="preserve"> </v>
      </c>
      <c r="C110" s="170" t="str">
        <f ca="1">Start.listina!K116</f>
        <v xml:space="preserve"> </v>
      </c>
      <c r="D110" s="170" t="str">
        <f ca="1">Start.listina!L116</f>
        <v xml:space="preserve"> </v>
      </c>
      <c r="E110" s="170">
        <f ca="1">Start.listina!M116</f>
        <v>9999</v>
      </c>
      <c r="F110" s="170">
        <f ca="1">Start.listina!N116</f>
        <v>0</v>
      </c>
      <c r="G110" s="161"/>
    </row>
    <row r="111" spans="1:7">
      <c r="A111" s="170" t="str">
        <f ca="1">Start.listina!I117</f>
        <v/>
      </c>
      <c r="B111" s="171" t="str">
        <f ca="1">Start.listina!J117</f>
        <v xml:space="preserve"> </v>
      </c>
      <c r="C111" s="170" t="str">
        <f ca="1">Start.listina!K117</f>
        <v xml:space="preserve"> </v>
      </c>
      <c r="D111" s="170" t="str">
        <f ca="1">Start.listina!L117</f>
        <v xml:space="preserve"> </v>
      </c>
      <c r="E111" s="170">
        <f ca="1">Start.listina!M117</f>
        <v>9999</v>
      </c>
      <c r="F111" s="170">
        <f ca="1">Start.listina!N117</f>
        <v>0</v>
      </c>
      <c r="G111" s="161"/>
    </row>
    <row r="112" spans="1:7">
      <c r="A112" s="170" t="str">
        <f ca="1">Start.listina!I118</f>
        <v/>
      </c>
      <c r="B112" s="171" t="str">
        <f ca="1">Start.listina!J118</f>
        <v xml:space="preserve"> </v>
      </c>
      <c r="C112" s="170" t="str">
        <f ca="1">Start.listina!K118</f>
        <v xml:space="preserve"> </v>
      </c>
      <c r="D112" s="170" t="str">
        <f ca="1">Start.listina!L118</f>
        <v xml:space="preserve"> </v>
      </c>
      <c r="E112" s="170">
        <f ca="1">Start.listina!M118</f>
        <v>9999</v>
      </c>
      <c r="F112" s="170">
        <f ca="1">Start.listina!N118</f>
        <v>0</v>
      </c>
      <c r="G112" s="161"/>
    </row>
    <row r="113" spans="1:7">
      <c r="A113" s="170" t="str">
        <f ca="1">Start.listina!I119</f>
        <v/>
      </c>
      <c r="B113" s="171" t="str">
        <f ca="1">Start.listina!J119</f>
        <v xml:space="preserve"> </v>
      </c>
      <c r="C113" s="170" t="str">
        <f ca="1">Start.listina!K119</f>
        <v xml:space="preserve"> </v>
      </c>
      <c r="D113" s="170" t="str">
        <f ca="1">Start.listina!L119</f>
        <v xml:space="preserve"> </v>
      </c>
      <c r="E113" s="170">
        <f ca="1">Start.listina!M119</f>
        <v>9999</v>
      </c>
      <c r="F113" s="170">
        <f ca="1">Start.listina!N119</f>
        <v>0</v>
      </c>
      <c r="G113" s="161"/>
    </row>
    <row r="114" spans="1:7">
      <c r="A114" s="170" t="str">
        <f ca="1">Start.listina!I120</f>
        <v/>
      </c>
      <c r="B114" s="171" t="str">
        <f ca="1">Start.listina!J120</f>
        <v xml:space="preserve"> </v>
      </c>
      <c r="C114" s="170" t="str">
        <f ca="1">Start.listina!K120</f>
        <v xml:space="preserve"> </v>
      </c>
      <c r="D114" s="170" t="str">
        <f ca="1">Start.listina!L120</f>
        <v xml:space="preserve"> </v>
      </c>
      <c r="E114" s="170">
        <f ca="1">Start.listina!M120</f>
        <v>9999</v>
      </c>
      <c r="F114" s="170">
        <f ca="1">Start.listina!N120</f>
        <v>0</v>
      </c>
      <c r="G114" s="161"/>
    </row>
    <row r="115" spans="1:7">
      <c r="A115" s="170" t="str">
        <f ca="1">Start.listina!I121</f>
        <v/>
      </c>
      <c r="B115" s="171" t="str">
        <f ca="1">Start.listina!J121</f>
        <v xml:space="preserve"> </v>
      </c>
      <c r="C115" s="170" t="str">
        <f ca="1">Start.listina!K121</f>
        <v xml:space="preserve"> </v>
      </c>
      <c r="D115" s="170" t="str">
        <f ca="1">Start.listina!L121</f>
        <v xml:space="preserve"> </v>
      </c>
      <c r="E115" s="170">
        <f ca="1">Start.listina!M121</f>
        <v>9999</v>
      </c>
      <c r="F115" s="170">
        <f ca="1">Start.listina!N121</f>
        <v>0</v>
      </c>
      <c r="G115" s="161"/>
    </row>
    <row r="116" spans="1:7">
      <c r="A116" s="170" t="str">
        <f ca="1">Start.listina!I122</f>
        <v/>
      </c>
      <c r="B116" s="171" t="str">
        <f ca="1">Start.listina!J122</f>
        <v xml:space="preserve"> </v>
      </c>
      <c r="C116" s="170" t="str">
        <f ca="1">Start.listina!K122</f>
        <v xml:space="preserve"> </v>
      </c>
      <c r="D116" s="170" t="str">
        <f ca="1">Start.listina!L122</f>
        <v xml:space="preserve"> </v>
      </c>
      <c r="E116" s="170">
        <f ca="1">Start.listina!M122</f>
        <v>9999</v>
      </c>
      <c r="F116" s="170">
        <f ca="1">Start.listina!N122</f>
        <v>0</v>
      </c>
      <c r="G116" s="161"/>
    </row>
    <row r="117" spans="1:7">
      <c r="A117" s="170" t="str">
        <f ca="1">Start.listina!I123</f>
        <v/>
      </c>
      <c r="B117" s="171" t="str">
        <f ca="1">Start.listina!J123</f>
        <v xml:space="preserve"> </v>
      </c>
      <c r="C117" s="170" t="str">
        <f ca="1">Start.listina!K123</f>
        <v xml:space="preserve"> </v>
      </c>
      <c r="D117" s="170" t="str">
        <f ca="1">Start.listina!L123</f>
        <v xml:space="preserve"> </v>
      </c>
      <c r="E117" s="170">
        <f ca="1">Start.listina!M123</f>
        <v>9999</v>
      </c>
      <c r="F117" s="170">
        <f ca="1">Start.listina!N123</f>
        <v>0</v>
      </c>
      <c r="G117" s="161"/>
    </row>
    <row r="118" spans="1:7">
      <c r="A118" s="170" t="str">
        <f ca="1">Start.listina!I124</f>
        <v/>
      </c>
      <c r="B118" s="171" t="str">
        <f ca="1">Start.listina!J124</f>
        <v xml:space="preserve"> </v>
      </c>
      <c r="C118" s="170" t="str">
        <f ca="1">Start.listina!K124</f>
        <v xml:space="preserve"> </v>
      </c>
      <c r="D118" s="170" t="str">
        <f ca="1">Start.listina!L124</f>
        <v xml:space="preserve"> </v>
      </c>
      <c r="E118" s="170">
        <f ca="1">Start.listina!M124</f>
        <v>9999</v>
      </c>
      <c r="F118" s="170">
        <f ca="1">Start.listina!N124</f>
        <v>0</v>
      </c>
      <c r="G118" s="161"/>
    </row>
    <row r="119" spans="1:7">
      <c r="A119" s="170" t="str">
        <f ca="1">Start.listina!I125</f>
        <v/>
      </c>
      <c r="B119" s="171" t="str">
        <f ca="1">Start.listina!J125</f>
        <v xml:space="preserve"> </v>
      </c>
      <c r="C119" s="170" t="str">
        <f ca="1">Start.listina!K125</f>
        <v xml:space="preserve"> </v>
      </c>
      <c r="D119" s="170" t="str">
        <f ca="1">Start.listina!L125</f>
        <v xml:space="preserve"> </v>
      </c>
      <c r="E119" s="170">
        <f ca="1">Start.listina!M125</f>
        <v>9999</v>
      </c>
      <c r="F119" s="170">
        <f ca="1">Start.listina!N125</f>
        <v>0</v>
      </c>
      <c r="G119" s="161"/>
    </row>
    <row r="120" spans="1:7">
      <c r="A120" s="170" t="str">
        <f ca="1">Start.listina!I126</f>
        <v/>
      </c>
      <c r="B120" s="171" t="str">
        <f ca="1">Start.listina!J126</f>
        <v xml:space="preserve"> </v>
      </c>
      <c r="C120" s="170" t="str">
        <f ca="1">Start.listina!K126</f>
        <v xml:space="preserve"> </v>
      </c>
      <c r="D120" s="170" t="str">
        <f ca="1">Start.listina!L126</f>
        <v xml:space="preserve"> </v>
      </c>
      <c r="E120" s="170">
        <f ca="1">Start.listina!M126</f>
        <v>9999</v>
      </c>
      <c r="F120" s="170">
        <f ca="1">Start.listina!N126</f>
        <v>0</v>
      </c>
      <c r="G120" s="161"/>
    </row>
    <row r="121" spans="1:7">
      <c r="A121" s="170" t="str">
        <f ca="1">Start.listina!I127</f>
        <v/>
      </c>
      <c r="B121" s="171" t="str">
        <f ca="1">Start.listina!J127</f>
        <v xml:space="preserve"> </v>
      </c>
      <c r="C121" s="170" t="str">
        <f ca="1">Start.listina!K127</f>
        <v xml:space="preserve"> </v>
      </c>
      <c r="D121" s="170" t="str">
        <f ca="1">Start.listina!L127</f>
        <v xml:space="preserve"> </v>
      </c>
      <c r="E121" s="170">
        <f ca="1">Start.listina!M127</f>
        <v>9999</v>
      </c>
      <c r="F121" s="170">
        <f ca="1">Start.listina!N127</f>
        <v>0</v>
      </c>
      <c r="G121" s="161"/>
    </row>
    <row r="122" spans="1:7">
      <c r="A122" s="170" t="str">
        <f ca="1">Start.listina!I128</f>
        <v/>
      </c>
      <c r="B122" s="171" t="str">
        <f ca="1">Start.listina!J128</f>
        <v xml:space="preserve"> </v>
      </c>
      <c r="C122" s="170" t="str">
        <f ca="1">Start.listina!K128</f>
        <v xml:space="preserve"> </v>
      </c>
      <c r="D122" s="170" t="str">
        <f ca="1">Start.listina!L128</f>
        <v xml:space="preserve"> </v>
      </c>
      <c r="E122" s="170">
        <f ca="1">Start.listina!M128</f>
        <v>9999</v>
      </c>
      <c r="F122" s="170">
        <f ca="1">Start.listina!N128</f>
        <v>0</v>
      </c>
      <c r="G122" s="161"/>
    </row>
    <row r="123" spans="1:7">
      <c r="A123" s="170" t="str">
        <f ca="1">Start.listina!I129</f>
        <v/>
      </c>
      <c r="B123" s="171" t="str">
        <f ca="1">Start.listina!J129</f>
        <v xml:space="preserve"> </v>
      </c>
      <c r="C123" s="170" t="str">
        <f ca="1">Start.listina!K129</f>
        <v xml:space="preserve"> </v>
      </c>
      <c r="D123" s="170" t="str">
        <f ca="1">Start.listina!L129</f>
        <v xml:space="preserve"> </v>
      </c>
      <c r="E123" s="170">
        <f ca="1">Start.listina!M129</f>
        <v>9999</v>
      </c>
      <c r="F123" s="170">
        <f ca="1">Start.listina!N129</f>
        <v>0</v>
      </c>
      <c r="G123" s="161"/>
    </row>
    <row r="124" spans="1:7">
      <c r="A124" s="170" t="str">
        <f ca="1">Start.listina!I130</f>
        <v/>
      </c>
      <c r="B124" s="171" t="str">
        <f ca="1">Start.listina!J130</f>
        <v xml:space="preserve"> </v>
      </c>
      <c r="C124" s="170" t="str">
        <f ca="1">Start.listina!K130</f>
        <v xml:space="preserve"> </v>
      </c>
      <c r="D124" s="170" t="str">
        <f ca="1">Start.listina!L130</f>
        <v xml:space="preserve"> </v>
      </c>
      <c r="E124" s="170">
        <f ca="1">Start.listina!M130</f>
        <v>9999</v>
      </c>
      <c r="F124" s="170">
        <f ca="1">Start.listina!N130</f>
        <v>0</v>
      </c>
      <c r="G124" s="161"/>
    </row>
    <row r="125" spans="1:7">
      <c r="A125" s="170" t="str">
        <f ca="1">Start.listina!I131</f>
        <v/>
      </c>
      <c r="B125" s="171" t="str">
        <f ca="1">Start.listina!J131</f>
        <v xml:space="preserve"> </v>
      </c>
      <c r="C125" s="170" t="str">
        <f ca="1">Start.listina!K131</f>
        <v xml:space="preserve"> </v>
      </c>
      <c r="D125" s="170" t="str">
        <f ca="1">Start.listina!L131</f>
        <v xml:space="preserve"> </v>
      </c>
      <c r="E125" s="170">
        <f ca="1">Start.listina!M131</f>
        <v>9999</v>
      </c>
      <c r="F125" s="170">
        <f ca="1">Start.listina!N131</f>
        <v>0</v>
      </c>
      <c r="G125" s="161"/>
    </row>
    <row r="126" spans="1:7">
      <c r="A126" s="170" t="str">
        <f ca="1">Start.listina!I132</f>
        <v/>
      </c>
      <c r="B126" s="171" t="str">
        <f ca="1">Start.listina!J132</f>
        <v xml:space="preserve"> </v>
      </c>
      <c r="C126" s="170" t="str">
        <f ca="1">Start.listina!K132</f>
        <v xml:space="preserve"> </v>
      </c>
      <c r="D126" s="170" t="str">
        <f ca="1">Start.listina!L132</f>
        <v xml:space="preserve"> </v>
      </c>
      <c r="E126" s="170">
        <f ca="1">Start.listina!M132</f>
        <v>9999</v>
      </c>
      <c r="F126" s="170">
        <f ca="1">Start.listina!N132</f>
        <v>0</v>
      </c>
      <c r="G126" s="161"/>
    </row>
    <row r="127" spans="1:7">
      <c r="A127" s="170" t="str">
        <f ca="1">Start.listina!I133</f>
        <v/>
      </c>
      <c r="B127" s="171" t="str">
        <f ca="1">Start.listina!J133</f>
        <v xml:space="preserve"> </v>
      </c>
      <c r="C127" s="170" t="str">
        <f ca="1">Start.listina!K133</f>
        <v xml:space="preserve"> </v>
      </c>
      <c r="D127" s="170" t="str">
        <f ca="1">Start.listina!L133</f>
        <v xml:space="preserve"> </v>
      </c>
      <c r="E127" s="170">
        <f ca="1">Start.listina!M133</f>
        <v>9999</v>
      </c>
      <c r="F127" s="170">
        <f ca="1">Start.listina!N133</f>
        <v>0</v>
      </c>
      <c r="G127" s="161"/>
    </row>
    <row r="128" spans="1:7">
      <c r="A128" s="170" t="str">
        <f ca="1">Start.listina!I134</f>
        <v/>
      </c>
      <c r="B128" s="171" t="str">
        <f ca="1">Start.listina!J134</f>
        <v xml:space="preserve"> </v>
      </c>
      <c r="C128" s="170" t="str">
        <f ca="1">Start.listina!K134</f>
        <v xml:space="preserve"> </v>
      </c>
      <c r="D128" s="170" t="str">
        <f ca="1">Start.listina!L134</f>
        <v xml:space="preserve"> </v>
      </c>
      <c r="E128" s="170">
        <f ca="1">Start.listina!M134</f>
        <v>9999</v>
      </c>
      <c r="F128" s="170">
        <f ca="1">Start.listina!N134</f>
        <v>0</v>
      </c>
      <c r="G128" s="161"/>
    </row>
    <row r="129" spans="1:7">
      <c r="A129" s="170" t="str">
        <f ca="1">Start.listina!I135</f>
        <v/>
      </c>
      <c r="B129" s="171" t="str">
        <f ca="1">Start.listina!J135</f>
        <v xml:space="preserve"> </v>
      </c>
      <c r="C129" s="170" t="str">
        <f ca="1">Start.listina!K135</f>
        <v xml:space="preserve"> </v>
      </c>
      <c r="D129" s="170" t="str">
        <f ca="1">Start.listina!L135</f>
        <v xml:space="preserve"> </v>
      </c>
      <c r="E129" s="170">
        <f ca="1">Start.listina!M135</f>
        <v>9999</v>
      </c>
      <c r="F129" s="170">
        <f ca="1">Start.listina!N135</f>
        <v>0</v>
      </c>
      <c r="G129" s="161"/>
    </row>
    <row r="130" spans="1:7">
      <c r="A130" s="170" t="str">
        <f ca="1">Start.listina!I136</f>
        <v/>
      </c>
      <c r="B130" s="171" t="str">
        <f ca="1">Start.listina!J136</f>
        <v xml:space="preserve"> </v>
      </c>
      <c r="C130" s="170" t="str">
        <f ca="1">Start.listina!K136</f>
        <v xml:space="preserve"> </v>
      </c>
      <c r="D130" s="170" t="str">
        <f ca="1">Start.listina!L136</f>
        <v xml:space="preserve"> </v>
      </c>
      <c r="E130" s="170">
        <f ca="1">Start.listina!M136</f>
        <v>9999</v>
      </c>
      <c r="F130" s="170">
        <f ca="1">Start.listina!N136</f>
        <v>0</v>
      </c>
      <c r="G130" s="161"/>
    </row>
    <row r="131" spans="1:7">
      <c r="A131" s="170" t="str">
        <f ca="1">Start.listina!I137</f>
        <v/>
      </c>
      <c r="B131" s="171" t="str">
        <f ca="1">Start.listina!J137</f>
        <v xml:space="preserve"> </v>
      </c>
      <c r="C131" s="170" t="str">
        <f ca="1">Start.listina!K137</f>
        <v xml:space="preserve"> </v>
      </c>
      <c r="D131" s="170" t="str">
        <f ca="1">Start.listina!L137</f>
        <v xml:space="preserve"> </v>
      </c>
      <c r="E131" s="170">
        <f ca="1">Start.listina!M137</f>
        <v>9999</v>
      </c>
      <c r="F131" s="170">
        <f ca="1">Start.listina!N137</f>
        <v>0</v>
      </c>
      <c r="G131" s="161"/>
    </row>
    <row r="132" spans="1:7">
      <c r="A132" s="170" t="str">
        <f ca="1">Start.listina!I138</f>
        <v/>
      </c>
      <c r="B132" s="171" t="str">
        <f ca="1">Start.listina!J138</f>
        <v xml:space="preserve"> </v>
      </c>
      <c r="C132" s="170" t="str">
        <f ca="1">Start.listina!K138</f>
        <v xml:space="preserve"> </v>
      </c>
      <c r="D132" s="170" t="str">
        <f ca="1">Start.listina!L138</f>
        <v xml:space="preserve"> </v>
      </c>
      <c r="E132" s="170">
        <f ca="1">Start.listina!M138</f>
        <v>9999</v>
      </c>
      <c r="F132" s="170">
        <f ca="1">Start.listina!N138</f>
        <v>0</v>
      </c>
      <c r="G132" s="161"/>
    </row>
    <row r="133" spans="1:7">
      <c r="A133" s="170" t="str">
        <f ca="1">Start.listina!I139</f>
        <v/>
      </c>
      <c r="B133" s="171" t="str">
        <f ca="1">Start.listina!J139</f>
        <v xml:space="preserve"> </v>
      </c>
      <c r="C133" s="170" t="str">
        <f ca="1">Start.listina!K139</f>
        <v xml:space="preserve"> </v>
      </c>
      <c r="D133" s="170" t="str">
        <f ca="1">Start.listina!L139</f>
        <v xml:space="preserve"> </v>
      </c>
      <c r="E133" s="170">
        <f ca="1">Start.listina!M139</f>
        <v>9999</v>
      </c>
      <c r="F133" s="170">
        <f ca="1">Start.listina!N139</f>
        <v>0</v>
      </c>
      <c r="G133" s="161"/>
    </row>
    <row r="134" spans="1:7">
      <c r="A134" s="170" t="str">
        <f ca="1">Start.listina!I140</f>
        <v/>
      </c>
      <c r="B134" s="171" t="str">
        <f ca="1">Start.listina!J140</f>
        <v xml:space="preserve"> </v>
      </c>
      <c r="C134" s="170" t="str">
        <f ca="1">Start.listina!K140</f>
        <v xml:space="preserve"> </v>
      </c>
      <c r="D134" s="170" t="str">
        <f ca="1">Start.listina!L140</f>
        <v xml:space="preserve"> </v>
      </c>
      <c r="E134" s="170">
        <f ca="1">Start.listina!M140</f>
        <v>9999</v>
      </c>
      <c r="F134" s="170">
        <f ca="1">Start.listina!N140</f>
        <v>0</v>
      </c>
      <c r="G134" s="161"/>
    </row>
    <row r="135" spans="1:7">
      <c r="A135" s="170" t="str">
        <f ca="1">Start.listina!I141</f>
        <v/>
      </c>
      <c r="B135" s="171" t="str">
        <f ca="1">Start.listina!J141</f>
        <v xml:space="preserve"> </v>
      </c>
      <c r="C135" s="170" t="str">
        <f ca="1">Start.listina!K141</f>
        <v xml:space="preserve"> </v>
      </c>
      <c r="D135" s="170" t="str">
        <f ca="1">Start.listina!L141</f>
        <v xml:space="preserve"> </v>
      </c>
      <c r="E135" s="170">
        <f ca="1">Start.listina!M141</f>
        <v>9999</v>
      </c>
      <c r="F135" s="170">
        <f ca="1">Start.listina!N141</f>
        <v>0</v>
      </c>
      <c r="G135" s="161"/>
    </row>
    <row r="136" spans="1:7">
      <c r="A136" s="170" t="str">
        <f ca="1">Start.listina!I142</f>
        <v/>
      </c>
      <c r="B136" s="171" t="str">
        <f ca="1">Start.listina!J142</f>
        <v xml:space="preserve"> </v>
      </c>
      <c r="C136" s="170" t="str">
        <f ca="1">Start.listina!K142</f>
        <v xml:space="preserve"> </v>
      </c>
      <c r="D136" s="170" t="str">
        <f ca="1">Start.listina!L142</f>
        <v xml:space="preserve"> </v>
      </c>
      <c r="E136" s="170">
        <f ca="1">Start.listina!M142</f>
        <v>9999</v>
      </c>
      <c r="F136" s="170">
        <f ca="1">Start.listina!N142</f>
        <v>0</v>
      </c>
      <c r="G136" s="161"/>
    </row>
    <row r="137" spans="1:7">
      <c r="A137" s="170" t="str">
        <f ca="1">Start.listina!I143</f>
        <v/>
      </c>
      <c r="B137" s="171" t="str">
        <f ca="1">Start.listina!J143</f>
        <v xml:space="preserve"> </v>
      </c>
      <c r="C137" s="170" t="str">
        <f ca="1">Start.listina!K143</f>
        <v xml:space="preserve"> </v>
      </c>
      <c r="D137" s="170" t="str">
        <f ca="1">Start.listina!L143</f>
        <v xml:space="preserve"> </v>
      </c>
      <c r="E137" s="170">
        <f ca="1">Start.listina!M143</f>
        <v>9999</v>
      </c>
      <c r="F137" s="170">
        <f ca="1">Start.listina!N143</f>
        <v>0</v>
      </c>
      <c r="G137" s="161"/>
    </row>
    <row r="138" spans="1:7">
      <c r="A138" s="170" t="str">
        <f ca="1">Start.listina!I144</f>
        <v/>
      </c>
      <c r="B138" s="171" t="str">
        <f ca="1">Start.listina!J144</f>
        <v xml:space="preserve"> </v>
      </c>
      <c r="C138" s="170" t="str">
        <f ca="1">Start.listina!K144</f>
        <v xml:space="preserve"> </v>
      </c>
      <c r="D138" s="170" t="str">
        <f ca="1">Start.listina!L144</f>
        <v xml:space="preserve"> </v>
      </c>
      <c r="E138" s="170">
        <f ca="1">Start.listina!M144</f>
        <v>9999</v>
      </c>
      <c r="F138" s="170">
        <f ca="1">Start.listina!N144</f>
        <v>0</v>
      </c>
      <c r="G138" s="161"/>
    </row>
    <row r="139" spans="1:7">
      <c r="A139" s="170" t="str">
        <f ca="1">Start.listina!I145</f>
        <v/>
      </c>
      <c r="B139" s="171" t="str">
        <f ca="1">Start.listina!J145</f>
        <v xml:space="preserve"> </v>
      </c>
      <c r="C139" s="170" t="str">
        <f ca="1">Start.listina!K145</f>
        <v xml:space="preserve"> </v>
      </c>
      <c r="D139" s="170" t="str">
        <f ca="1">Start.listina!L145</f>
        <v xml:space="preserve"> </v>
      </c>
      <c r="E139" s="170">
        <f ca="1">Start.listina!M145</f>
        <v>9999</v>
      </c>
      <c r="F139" s="170">
        <f ca="1">Start.listina!N145</f>
        <v>0</v>
      </c>
      <c r="G139" s="161"/>
    </row>
    <row r="140" spans="1:7">
      <c r="A140" s="170" t="str">
        <f ca="1">Start.listina!I146</f>
        <v/>
      </c>
      <c r="B140" s="171" t="str">
        <f ca="1">Start.listina!J146</f>
        <v xml:space="preserve"> </v>
      </c>
      <c r="C140" s="170" t="str">
        <f ca="1">Start.listina!K146</f>
        <v xml:space="preserve"> </v>
      </c>
      <c r="D140" s="170" t="str">
        <f ca="1">Start.listina!L146</f>
        <v xml:space="preserve"> </v>
      </c>
      <c r="E140" s="170">
        <f ca="1">Start.listina!M146</f>
        <v>9999</v>
      </c>
      <c r="F140" s="170">
        <f ca="1">Start.listina!N146</f>
        <v>0</v>
      </c>
      <c r="G140" s="161"/>
    </row>
    <row r="141" spans="1:7">
      <c r="A141" s="170" t="str">
        <f ca="1">Start.listina!I147</f>
        <v/>
      </c>
      <c r="B141" s="171" t="str">
        <f ca="1">Start.listina!J147</f>
        <v xml:space="preserve"> </v>
      </c>
      <c r="C141" s="170" t="str">
        <f ca="1">Start.listina!K147</f>
        <v xml:space="preserve"> </v>
      </c>
      <c r="D141" s="170" t="str">
        <f ca="1">Start.listina!L147</f>
        <v xml:space="preserve"> </v>
      </c>
      <c r="E141" s="170">
        <f ca="1">Start.listina!M147</f>
        <v>9999</v>
      </c>
      <c r="F141" s="170">
        <f ca="1">Start.listina!N147</f>
        <v>0</v>
      </c>
      <c r="G141" s="161"/>
    </row>
    <row r="142" spans="1:7">
      <c r="A142" s="170" t="str">
        <f ca="1">Start.listina!I148</f>
        <v/>
      </c>
      <c r="B142" s="171" t="str">
        <f ca="1">Start.listina!J148</f>
        <v xml:space="preserve"> </v>
      </c>
      <c r="C142" s="170" t="str">
        <f ca="1">Start.listina!K148</f>
        <v xml:space="preserve"> </v>
      </c>
      <c r="D142" s="170" t="str">
        <f ca="1">Start.listina!L148</f>
        <v xml:space="preserve"> </v>
      </c>
      <c r="E142" s="170">
        <f ca="1">Start.listina!M148</f>
        <v>9999</v>
      </c>
      <c r="F142" s="170">
        <f ca="1">Start.listina!N148</f>
        <v>0</v>
      </c>
      <c r="G142" s="161"/>
    </row>
    <row r="143" spans="1:7">
      <c r="A143" s="170" t="str">
        <f ca="1">Start.listina!I149</f>
        <v/>
      </c>
      <c r="B143" s="171" t="str">
        <f ca="1">Start.listina!J149</f>
        <v xml:space="preserve"> </v>
      </c>
      <c r="C143" s="170" t="str">
        <f ca="1">Start.listina!K149</f>
        <v xml:space="preserve"> </v>
      </c>
      <c r="D143" s="170" t="str">
        <f ca="1">Start.listina!L149</f>
        <v xml:space="preserve"> </v>
      </c>
      <c r="E143" s="170">
        <f ca="1">Start.listina!M149</f>
        <v>9999</v>
      </c>
      <c r="F143" s="170">
        <f ca="1">Start.listina!N149</f>
        <v>0</v>
      </c>
      <c r="G143" s="161"/>
    </row>
    <row r="144" spans="1:7">
      <c r="A144" s="170" t="str">
        <f ca="1">Start.listina!I150</f>
        <v/>
      </c>
      <c r="B144" s="171" t="str">
        <f ca="1">Start.listina!J150</f>
        <v xml:space="preserve"> </v>
      </c>
      <c r="C144" s="170" t="str">
        <f ca="1">Start.listina!K150</f>
        <v xml:space="preserve"> </v>
      </c>
      <c r="D144" s="170" t="str">
        <f ca="1">Start.listina!L150</f>
        <v xml:space="preserve"> </v>
      </c>
      <c r="E144" s="170">
        <f ca="1">Start.listina!M150</f>
        <v>9999</v>
      </c>
      <c r="F144" s="170">
        <f ca="1">Start.listina!N150</f>
        <v>0</v>
      </c>
      <c r="G144" s="161"/>
    </row>
    <row r="145" spans="1:7">
      <c r="A145" s="170" t="str">
        <f ca="1">Start.listina!I151</f>
        <v/>
      </c>
      <c r="B145" s="171" t="str">
        <f ca="1">Start.listina!J151</f>
        <v xml:space="preserve"> </v>
      </c>
      <c r="C145" s="170" t="str">
        <f ca="1">Start.listina!K151</f>
        <v xml:space="preserve"> </v>
      </c>
      <c r="D145" s="170" t="str">
        <f ca="1">Start.listina!L151</f>
        <v xml:space="preserve"> </v>
      </c>
      <c r="E145" s="170">
        <f ca="1">Start.listina!M151</f>
        <v>9999</v>
      </c>
      <c r="F145" s="170">
        <f ca="1">Start.listina!N151</f>
        <v>0</v>
      </c>
      <c r="G145" s="161"/>
    </row>
    <row r="146" spans="1:7">
      <c r="A146" s="170" t="str">
        <f ca="1">Start.listina!I152</f>
        <v/>
      </c>
      <c r="B146" s="171" t="str">
        <f ca="1">Start.listina!J152</f>
        <v xml:space="preserve"> </v>
      </c>
      <c r="C146" s="170" t="str">
        <f ca="1">Start.listina!K152</f>
        <v xml:space="preserve"> </v>
      </c>
      <c r="D146" s="170" t="str">
        <f ca="1">Start.listina!L152</f>
        <v xml:space="preserve"> </v>
      </c>
      <c r="E146" s="170">
        <f ca="1">Start.listina!M152</f>
        <v>9999</v>
      </c>
      <c r="F146" s="170">
        <f ca="1">Start.listina!N152</f>
        <v>0</v>
      </c>
      <c r="G146" s="161"/>
    </row>
    <row r="147" spans="1:7">
      <c r="A147" s="170" t="str">
        <f ca="1">Start.listina!I153</f>
        <v/>
      </c>
      <c r="B147" s="171" t="str">
        <f ca="1">Start.listina!J153</f>
        <v xml:space="preserve"> </v>
      </c>
      <c r="C147" s="170" t="str">
        <f ca="1">Start.listina!K153</f>
        <v xml:space="preserve"> </v>
      </c>
      <c r="D147" s="170" t="str">
        <f ca="1">Start.listina!L153</f>
        <v xml:space="preserve"> </v>
      </c>
      <c r="E147" s="170">
        <f ca="1">Start.listina!M153</f>
        <v>9999</v>
      </c>
      <c r="F147" s="170">
        <f ca="1">Start.listina!N153</f>
        <v>0</v>
      </c>
      <c r="G147" s="161"/>
    </row>
    <row r="148" spans="1:7">
      <c r="A148" s="170" t="str">
        <f ca="1">Start.listina!I154</f>
        <v/>
      </c>
      <c r="B148" s="171" t="str">
        <f ca="1">Start.listina!J154</f>
        <v xml:space="preserve"> </v>
      </c>
      <c r="C148" s="170" t="str">
        <f ca="1">Start.listina!K154</f>
        <v xml:space="preserve"> </v>
      </c>
      <c r="D148" s="170" t="str">
        <f ca="1">Start.listina!L154</f>
        <v xml:space="preserve"> </v>
      </c>
      <c r="E148" s="170">
        <f ca="1">Start.listina!M154</f>
        <v>9999</v>
      </c>
      <c r="F148" s="170">
        <f ca="1">Start.listina!N154</f>
        <v>0</v>
      </c>
      <c r="G148" s="161"/>
    </row>
    <row r="149" spans="1:7">
      <c r="A149" s="170" t="str">
        <f ca="1">Start.listina!I155</f>
        <v/>
      </c>
      <c r="B149" s="171" t="str">
        <f ca="1">Start.listina!J155</f>
        <v xml:space="preserve"> </v>
      </c>
      <c r="C149" s="170" t="str">
        <f ca="1">Start.listina!K155</f>
        <v xml:space="preserve"> </v>
      </c>
      <c r="D149" s="170" t="str">
        <f ca="1">Start.listina!L155</f>
        <v xml:space="preserve"> </v>
      </c>
      <c r="E149" s="170">
        <f ca="1">Start.listina!M155</f>
        <v>9999</v>
      </c>
      <c r="F149" s="170">
        <f ca="1">Start.listina!N155</f>
        <v>0</v>
      </c>
      <c r="G149" s="161"/>
    </row>
    <row r="150" spans="1:7">
      <c r="A150" s="170" t="str">
        <f ca="1">Start.listina!I156</f>
        <v/>
      </c>
      <c r="B150" s="171" t="str">
        <f ca="1">Start.listina!J156</f>
        <v xml:space="preserve"> </v>
      </c>
      <c r="C150" s="170" t="str">
        <f ca="1">Start.listina!K156</f>
        <v xml:space="preserve"> </v>
      </c>
      <c r="D150" s="170" t="str">
        <f ca="1">Start.listina!L156</f>
        <v xml:space="preserve"> </v>
      </c>
      <c r="E150" s="170">
        <f ca="1">Start.listina!M156</f>
        <v>9999</v>
      </c>
      <c r="F150" s="170">
        <f ca="1">Start.listina!N156</f>
        <v>0</v>
      </c>
      <c r="G150" s="161"/>
    </row>
    <row r="151" spans="1:7">
      <c r="A151" s="170" t="str">
        <f ca="1">Start.listina!I157</f>
        <v/>
      </c>
      <c r="B151" s="171" t="str">
        <f ca="1">Start.listina!J157</f>
        <v xml:space="preserve"> </v>
      </c>
      <c r="C151" s="170" t="str">
        <f ca="1">Start.listina!K157</f>
        <v xml:space="preserve"> </v>
      </c>
      <c r="D151" s="170" t="str">
        <f ca="1">Start.listina!L157</f>
        <v xml:space="preserve"> </v>
      </c>
      <c r="E151" s="170">
        <f ca="1">Start.listina!M157</f>
        <v>9999</v>
      </c>
      <c r="F151" s="170">
        <f ca="1">Start.listina!N157</f>
        <v>0</v>
      </c>
      <c r="G151" s="161"/>
    </row>
    <row r="152" spans="1:7">
      <c r="A152" s="170" t="str">
        <f ca="1">Start.listina!I158</f>
        <v/>
      </c>
      <c r="B152" s="171" t="str">
        <f ca="1">Start.listina!J158</f>
        <v xml:space="preserve"> </v>
      </c>
      <c r="C152" s="170" t="str">
        <f ca="1">Start.listina!K158</f>
        <v xml:space="preserve"> </v>
      </c>
      <c r="D152" s="170" t="str">
        <f ca="1">Start.listina!L158</f>
        <v xml:space="preserve"> </v>
      </c>
      <c r="E152" s="170">
        <f ca="1">Start.listina!M158</f>
        <v>9999</v>
      </c>
      <c r="F152" s="170">
        <f ca="1">Start.listina!N158</f>
        <v>0</v>
      </c>
      <c r="G152" s="161"/>
    </row>
    <row r="153" spans="1:7">
      <c r="A153" s="170" t="str">
        <f ca="1">Start.listina!I159</f>
        <v/>
      </c>
      <c r="B153" s="171" t="str">
        <f ca="1">Start.listina!J159</f>
        <v xml:space="preserve"> </v>
      </c>
      <c r="C153" s="170" t="str">
        <f ca="1">Start.listina!K159</f>
        <v xml:space="preserve"> </v>
      </c>
      <c r="D153" s="170" t="str">
        <f ca="1">Start.listina!L159</f>
        <v xml:space="preserve"> </v>
      </c>
      <c r="E153" s="170">
        <f ca="1">Start.listina!M159</f>
        <v>9999</v>
      </c>
      <c r="F153" s="170">
        <f ca="1">Start.listina!N159</f>
        <v>0</v>
      </c>
      <c r="G153" s="161"/>
    </row>
    <row r="154" spans="1:7">
      <c r="A154" s="170" t="str">
        <f ca="1">Start.listina!I160</f>
        <v/>
      </c>
      <c r="B154" s="171" t="str">
        <f ca="1">Start.listina!J160</f>
        <v xml:space="preserve"> </v>
      </c>
      <c r="C154" s="170" t="str">
        <f ca="1">Start.listina!K160</f>
        <v xml:space="preserve"> </v>
      </c>
      <c r="D154" s="170" t="str">
        <f ca="1">Start.listina!L160</f>
        <v xml:space="preserve"> </v>
      </c>
      <c r="E154" s="170">
        <f ca="1">Start.listina!M160</f>
        <v>9999</v>
      </c>
      <c r="F154" s="170">
        <f ca="1">Start.listina!N160</f>
        <v>0</v>
      </c>
      <c r="G154" s="161"/>
    </row>
    <row r="155" spans="1:7">
      <c r="A155" s="170" t="str">
        <f ca="1">Start.listina!I161</f>
        <v/>
      </c>
      <c r="B155" s="171" t="str">
        <f ca="1">Start.listina!J161</f>
        <v xml:space="preserve"> </v>
      </c>
      <c r="C155" s="170" t="str">
        <f ca="1">Start.listina!K161</f>
        <v xml:space="preserve"> </v>
      </c>
      <c r="D155" s="170" t="str">
        <f ca="1">Start.listina!L161</f>
        <v xml:space="preserve"> </v>
      </c>
      <c r="E155" s="170">
        <f ca="1">Start.listina!M161</f>
        <v>9999</v>
      </c>
      <c r="F155" s="170">
        <f ca="1">Start.listina!N161</f>
        <v>0</v>
      </c>
      <c r="G155" s="161"/>
    </row>
    <row r="156" spans="1:7">
      <c r="A156" s="170" t="str">
        <f ca="1">Start.listina!I162</f>
        <v/>
      </c>
      <c r="B156" s="171" t="str">
        <f ca="1">Start.listina!J162</f>
        <v xml:space="preserve"> </v>
      </c>
      <c r="C156" s="170" t="str">
        <f ca="1">Start.listina!K162</f>
        <v xml:space="preserve"> </v>
      </c>
      <c r="D156" s="170" t="str">
        <f ca="1">Start.listina!L162</f>
        <v xml:space="preserve"> </v>
      </c>
      <c r="E156" s="170">
        <f ca="1">Start.listina!M162</f>
        <v>9999</v>
      </c>
      <c r="F156" s="170">
        <f ca="1">Start.listina!N162</f>
        <v>0</v>
      </c>
      <c r="G156" s="161"/>
    </row>
    <row r="157" spans="1:7">
      <c r="A157" s="170" t="str">
        <f ca="1">Start.listina!I163</f>
        <v/>
      </c>
      <c r="B157" s="171" t="str">
        <f ca="1">Start.listina!J163</f>
        <v xml:space="preserve"> </v>
      </c>
      <c r="C157" s="170" t="str">
        <f ca="1">Start.listina!K163</f>
        <v xml:space="preserve"> </v>
      </c>
      <c r="D157" s="170" t="str">
        <f ca="1">Start.listina!L163</f>
        <v xml:space="preserve"> </v>
      </c>
      <c r="E157" s="170">
        <f ca="1">Start.listina!M163</f>
        <v>9999</v>
      </c>
      <c r="F157" s="170">
        <f ca="1">Start.listina!N163</f>
        <v>0</v>
      </c>
      <c r="G157" s="161"/>
    </row>
    <row r="158" spans="1:7">
      <c r="A158" s="170" t="str">
        <f ca="1">Start.listina!I164</f>
        <v/>
      </c>
      <c r="B158" s="171" t="str">
        <f ca="1">Start.listina!J164</f>
        <v xml:space="preserve"> </v>
      </c>
      <c r="C158" s="170" t="str">
        <f ca="1">Start.listina!K164</f>
        <v xml:space="preserve"> </v>
      </c>
      <c r="D158" s="170" t="str">
        <f ca="1">Start.listina!L164</f>
        <v xml:space="preserve"> </v>
      </c>
      <c r="E158" s="170">
        <f ca="1">Start.listina!M164</f>
        <v>9999</v>
      </c>
      <c r="F158" s="170">
        <f ca="1">Start.listina!N164</f>
        <v>0</v>
      </c>
      <c r="G158" s="161"/>
    </row>
    <row r="159" spans="1:7">
      <c r="A159" s="170" t="str">
        <f ca="1">Start.listina!I165</f>
        <v/>
      </c>
      <c r="B159" s="171" t="str">
        <f ca="1">Start.listina!J165</f>
        <v xml:space="preserve"> </v>
      </c>
      <c r="C159" s="170" t="str">
        <f ca="1">Start.listina!K165</f>
        <v xml:space="preserve"> </v>
      </c>
      <c r="D159" s="170" t="str">
        <f ca="1">Start.listina!L165</f>
        <v xml:space="preserve"> </v>
      </c>
      <c r="E159" s="170">
        <f ca="1">Start.listina!M165</f>
        <v>9999</v>
      </c>
      <c r="F159" s="170">
        <f ca="1">Start.listina!N165</f>
        <v>0</v>
      </c>
      <c r="G159" s="161"/>
    </row>
    <row r="160" spans="1:7">
      <c r="A160" s="170" t="str">
        <f ca="1">Start.listina!I166</f>
        <v/>
      </c>
      <c r="B160" s="171" t="str">
        <f ca="1">Start.listina!J166</f>
        <v xml:space="preserve"> </v>
      </c>
      <c r="C160" s="170" t="str">
        <f ca="1">Start.listina!K166</f>
        <v xml:space="preserve"> </v>
      </c>
      <c r="D160" s="170" t="str">
        <f ca="1">Start.listina!L166</f>
        <v xml:space="preserve"> </v>
      </c>
      <c r="E160" s="170">
        <f ca="1">Start.listina!M166</f>
        <v>9999</v>
      </c>
      <c r="F160" s="170">
        <f ca="1">Start.listina!N166</f>
        <v>0</v>
      </c>
      <c r="G160" s="161"/>
    </row>
    <row r="161" spans="1:7">
      <c r="A161" s="170" t="str">
        <f ca="1">Start.listina!I167</f>
        <v/>
      </c>
      <c r="B161" s="171" t="str">
        <f ca="1">Start.listina!J167</f>
        <v xml:space="preserve"> </v>
      </c>
      <c r="C161" s="170" t="str">
        <f ca="1">Start.listina!K167</f>
        <v xml:space="preserve"> </v>
      </c>
      <c r="D161" s="170" t="str">
        <f ca="1">Start.listina!L167</f>
        <v xml:space="preserve"> </v>
      </c>
      <c r="E161" s="170">
        <f ca="1">Start.listina!M167</f>
        <v>9999</v>
      </c>
      <c r="F161" s="170">
        <f ca="1">Start.listina!N167</f>
        <v>0</v>
      </c>
      <c r="G161" s="161"/>
    </row>
    <row r="162" spans="1:7">
      <c r="A162" s="170" t="str">
        <f ca="1">Start.listina!I168</f>
        <v/>
      </c>
      <c r="B162" s="171" t="str">
        <f ca="1">Start.listina!J168</f>
        <v xml:space="preserve"> </v>
      </c>
      <c r="C162" s="170" t="str">
        <f ca="1">Start.listina!K168</f>
        <v xml:space="preserve"> </v>
      </c>
      <c r="D162" s="170" t="str">
        <f ca="1">Start.listina!L168</f>
        <v xml:space="preserve"> </v>
      </c>
      <c r="E162" s="170">
        <f ca="1">Start.listina!M168</f>
        <v>9999</v>
      </c>
      <c r="F162" s="170">
        <f ca="1">Start.listina!N168</f>
        <v>0</v>
      </c>
      <c r="G162" s="161"/>
    </row>
    <row r="163" spans="1:7">
      <c r="A163" s="170" t="str">
        <f ca="1">Start.listina!I169</f>
        <v/>
      </c>
      <c r="B163" s="171" t="str">
        <f ca="1">Start.listina!J169</f>
        <v xml:space="preserve"> </v>
      </c>
      <c r="C163" s="170" t="str">
        <f ca="1">Start.listina!K169</f>
        <v xml:space="preserve"> </v>
      </c>
      <c r="D163" s="170" t="str">
        <f ca="1">Start.listina!L169</f>
        <v xml:space="preserve"> </v>
      </c>
      <c r="E163" s="170">
        <f ca="1">Start.listina!M169</f>
        <v>9999</v>
      </c>
      <c r="F163" s="170">
        <f ca="1">Start.listina!N169</f>
        <v>0</v>
      </c>
      <c r="G163" s="161"/>
    </row>
    <row r="164" spans="1:7">
      <c r="A164" s="170" t="str">
        <f ca="1">Start.listina!I170</f>
        <v/>
      </c>
      <c r="B164" s="171" t="str">
        <f ca="1">Start.listina!J170</f>
        <v xml:space="preserve"> </v>
      </c>
      <c r="C164" s="170" t="str">
        <f ca="1">Start.listina!K170</f>
        <v xml:space="preserve"> </v>
      </c>
      <c r="D164" s="170" t="str">
        <f ca="1">Start.listina!L170</f>
        <v xml:space="preserve"> </v>
      </c>
      <c r="E164" s="170">
        <f ca="1">Start.listina!M170</f>
        <v>9999</v>
      </c>
      <c r="F164" s="170">
        <f ca="1">Start.listina!N170</f>
        <v>0</v>
      </c>
      <c r="G164" s="161"/>
    </row>
    <row r="165" spans="1:7">
      <c r="A165" s="170" t="str">
        <f ca="1">Start.listina!I171</f>
        <v/>
      </c>
      <c r="B165" s="171" t="str">
        <f ca="1">Start.listina!J171</f>
        <v xml:space="preserve"> </v>
      </c>
      <c r="C165" s="170" t="str">
        <f ca="1">Start.listina!K171</f>
        <v xml:space="preserve"> </v>
      </c>
      <c r="D165" s="170" t="str">
        <f ca="1">Start.listina!L171</f>
        <v xml:space="preserve"> </v>
      </c>
      <c r="E165" s="170">
        <f ca="1">Start.listina!M171</f>
        <v>9999</v>
      </c>
      <c r="F165" s="170">
        <f ca="1">Start.listina!N171</f>
        <v>0</v>
      </c>
      <c r="G165" s="161"/>
    </row>
    <row r="166" spans="1:7">
      <c r="A166" s="170" t="str">
        <f ca="1">Start.listina!I172</f>
        <v/>
      </c>
      <c r="B166" s="171" t="str">
        <f ca="1">Start.listina!J172</f>
        <v xml:space="preserve"> </v>
      </c>
      <c r="C166" s="170" t="str">
        <f ca="1">Start.listina!K172</f>
        <v xml:space="preserve"> </v>
      </c>
      <c r="D166" s="170" t="str">
        <f ca="1">Start.listina!L172</f>
        <v xml:space="preserve"> </v>
      </c>
      <c r="E166" s="170">
        <f ca="1">Start.listina!M172</f>
        <v>9999</v>
      </c>
      <c r="F166" s="170">
        <f ca="1">Start.listina!N172</f>
        <v>0</v>
      </c>
      <c r="G166" s="161"/>
    </row>
    <row r="167" spans="1:7">
      <c r="A167" s="170" t="str">
        <f ca="1">Start.listina!I173</f>
        <v/>
      </c>
      <c r="B167" s="171" t="str">
        <f ca="1">Start.listina!J173</f>
        <v xml:space="preserve"> </v>
      </c>
      <c r="C167" s="170" t="str">
        <f ca="1">Start.listina!K173</f>
        <v xml:space="preserve"> </v>
      </c>
      <c r="D167" s="170" t="str">
        <f ca="1">Start.listina!L173</f>
        <v xml:space="preserve"> </v>
      </c>
      <c r="E167" s="170">
        <f ca="1">Start.listina!M173</f>
        <v>9999</v>
      </c>
      <c r="F167" s="170">
        <f ca="1">Start.listina!N173</f>
        <v>0</v>
      </c>
      <c r="G167" s="161"/>
    </row>
    <row r="168" spans="1:7">
      <c r="A168" s="170" t="str">
        <f ca="1">Start.listina!I174</f>
        <v/>
      </c>
      <c r="B168" s="171" t="str">
        <f ca="1">Start.listina!J174</f>
        <v xml:space="preserve"> </v>
      </c>
      <c r="C168" s="170" t="str">
        <f ca="1">Start.listina!K174</f>
        <v xml:space="preserve"> </v>
      </c>
      <c r="D168" s="170" t="str">
        <f ca="1">Start.listina!L174</f>
        <v xml:space="preserve"> </v>
      </c>
      <c r="E168" s="170">
        <f ca="1">Start.listina!M174</f>
        <v>9999</v>
      </c>
      <c r="F168" s="170">
        <f ca="1">Start.listina!N174</f>
        <v>0</v>
      </c>
      <c r="G168" s="161"/>
    </row>
    <row r="169" spans="1:7">
      <c r="A169" s="170" t="str">
        <f ca="1">Start.listina!I175</f>
        <v/>
      </c>
      <c r="B169" s="171" t="str">
        <f ca="1">Start.listina!J175</f>
        <v xml:space="preserve"> </v>
      </c>
      <c r="C169" s="170" t="str">
        <f ca="1">Start.listina!K175</f>
        <v xml:space="preserve"> </v>
      </c>
      <c r="D169" s="170" t="str">
        <f ca="1">Start.listina!L175</f>
        <v xml:space="preserve"> </v>
      </c>
      <c r="E169" s="170">
        <f ca="1">Start.listina!M175</f>
        <v>9999</v>
      </c>
      <c r="F169" s="170">
        <f ca="1">Start.listina!N175</f>
        <v>0</v>
      </c>
      <c r="G169" s="161"/>
    </row>
    <row r="170" spans="1:7">
      <c r="A170" s="170" t="str">
        <f ca="1">Start.listina!I176</f>
        <v/>
      </c>
      <c r="B170" s="171" t="str">
        <f ca="1">Start.listina!J176</f>
        <v xml:space="preserve"> </v>
      </c>
      <c r="C170" s="170" t="str">
        <f ca="1">Start.listina!K176</f>
        <v xml:space="preserve"> </v>
      </c>
      <c r="D170" s="170" t="str">
        <f ca="1">Start.listina!L176</f>
        <v xml:space="preserve"> </v>
      </c>
      <c r="E170" s="170">
        <f ca="1">Start.listina!M176</f>
        <v>9999</v>
      </c>
      <c r="F170" s="170">
        <f ca="1">Start.listina!N176</f>
        <v>0</v>
      </c>
      <c r="G170" s="161"/>
    </row>
    <row r="171" spans="1:7">
      <c r="A171" s="170" t="str">
        <f ca="1">Start.listina!I177</f>
        <v/>
      </c>
      <c r="B171" s="171" t="str">
        <f ca="1">Start.listina!J177</f>
        <v xml:space="preserve"> </v>
      </c>
      <c r="C171" s="170" t="str">
        <f ca="1">Start.listina!K177</f>
        <v xml:space="preserve"> </v>
      </c>
      <c r="D171" s="170" t="str">
        <f ca="1">Start.listina!L177</f>
        <v xml:space="preserve"> </v>
      </c>
      <c r="E171" s="170">
        <f ca="1">Start.listina!M177</f>
        <v>9999</v>
      </c>
      <c r="F171" s="170">
        <f ca="1">Start.listina!N177</f>
        <v>0</v>
      </c>
      <c r="G171" s="161"/>
    </row>
    <row r="172" spans="1:7">
      <c r="A172" s="170" t="str">
        <f ca="1">Start.listina!I178</f>
        <v/>
      </c>
      <c r="B172" s="171" t="str">
        <f ca="1">Start.listina!J178</f>
        <v xml:space="preserve"> </v>
      </c>
      <c r="C172" s="170" t="str">
        <f ca="1">Start.listina!K178</f>
        <v xml:space="preserve"> </v>
      </c>
      <c r="D172" s="170" t="str">
        <f ca="1">Start.listina!L178</f>
        <v xml:space="preserve"> </v>
      </c>
      <c r="E172" s="170">
        <f ca="1">Start.listina!M178</f>
        <v>9999</v>
      </c>
      <c r="F172" s="170">
        <f ca="1">Start.listina!N178</f>
        <v>0</v>
      </c>
      <c r="G172" s="161"/>
    </row>
    <row r="173" spans="1:7">
      <c r="A173" s="170" t="str">
        <f ca="1">Start.listina!I179</f>
        <v/>
      </c>
      <c r="B173" s="171" t="str">
        <f ca="1">Start.listina!J179</f>
        <v xml:space="preserve"> </v>
      </c>
      <c r="C173" s="170" t="str">
        <f ca="1">Start.listina!K179</f>
        <v xml:space="preserve"> </v>
      </c>
      <c r="D173" s="170" t="str">
        <f ca="1">Start.listina!L179</f>
        <v xml:space="preserve"> </v>
      </c>
      <c r="E173" s="170">
        <f ca="1">Start.listina!M179</f>
        <v>9999</v>
      </c>
      <c r="F173" s="170">
        <f ca="1">Start.listina!N179</f>
        <v>0</v>
      </c>
      <c r="G173" s="161"/>
    </row>
    <row r="174" spans="1:7">
      <c r="A174" s="170" t="str">
        <f ca="1">Start.listina!I180</f>
        <v/>
      </c>
      <c r="B174" s="171" t="str">
        <f ca="1">Start.listina!J180</f>
        <v xml:space="preserve"> </v>
      </c>
      <c r="C174" s="170" t="str">
        <f ca="1">Start.listina!K180</f>
        <v xml:space="preserve"> </v>
      </c>
      <c r="D174" s="170" t="str">
        <f ca="1">Start.listina!L180</f>
        <v xml:space="preserve"> </v>
      </c>
      <c r="E174" s="170">
        <f ca="1">Start.listina!M180</f>
        <v>9999</v>
      </c>
      <c r="F174" s="170">
        <f ca="1">Start.listina!N180</f>
        <v>0</v>
      </c>
      <c r="G174" s="161"/>
    </row>
    <row r="175" spans="1:7">
      <c r="A175" s="170" t="str">
        <f ca="1">Start.listina!I181</f>
        <v/>
      </c>
      <c r="B175" s="171" t="str">
        <f ca="1">Start.listina!J181</f>
        <v xml:space="preserve"> </v>
      </c>
      <c r="C175" s="170" t="str">
        <f ca="1">Start.listina!K181</f>
        <v xml:space="preserve"> </v>
      </c>
      <c r="D175" s="170" t="str">
        <f ca="1">Start.listina!L181</f>
        <v xml:space="preserve"> </v>
      </c>
      <c r="E175" s="170">
        <f ca="1">Start.listina!M181</f>
        <v>9999</v>
      </c>
      <c r="F175" s="170">
        <f ca="1">Start.listina!N181</f>
        <v>0</v>
      </c>
      <c r="G175" s="161"/>
    </row>
    <row r="176" spans="1:7">
      <c r="A176" s="170" t="str">
        <f ca="1">Start.listina!I182</f>
        <v/>
      </c>
      <c r="B176" s="171" t="str">
        <f ca="1">Start.listina!J182</f>
        <v xml:space="preserve"> </v>
      </c>
      <c r="C176" s="170" t="str">
        <f ca="1">Start.listina!K182</f>
        <v xml:space="preserve"> </v>
      </c>
      <c r="D176" s="170" t="str">
        <f ca="1">Start.listina!L182</f>
        <v xml:space="preserve"> </v>
      </c>
      <c r="E176" s="170">
        <f ca="1">Start.listina!M182</f>
        <v>9999</v>
      </c>
      <c r="F176" s="170">
        <f ca="1">Start.listina!N182</f>
        <v>0</v>
      </c>
      <c r="G176" s="161"/>
    </row>
    <row r="177" spans="1:7">
      <c r="A177" s="170" t="str">
        <f ca="1">Start.listina!I183</f>
        <v/>
      </c>
      <c r="B177" s="171" t="str">
        <f ca="1">Start.listina!J183</f>
        <v xml:space="preserve"> </v>
      </c>
      <c r="C177" s="170" t="str">
        <f ca="1">Start.listina!K183</f>
        <v xml:space="preserve"> </v>
      </c>
      <c r="D177" s="170" t="str">
        <f ca="1">Start.listina!L183</f>
        <v xml:space="preserve"> </v>
      </c>
      <c r="E177" s="170">
        <f ca="1">Start.listina!M183</f>
        <v>9999</v>
      </c>
      <c r="F177" s="170">
        <f ca="1">Start.listina!N183</f>
        <v>0</v>
      </c>
      <c r="G177" s="161"/>
    </row>
    <row r="178" spans="1:7">
      <c r="A178" s="170" t="str">
        <f ca="1">Start.listina!I184</f>
        <v/>
      </c>
      <c r="B178" s="171" t="str">
        <f ca="1">Start.listina!J184</f>
        <v xml:space="preserve"> </v>
      </c>
      <c r="C178" s="170" t="str">
        <f ca="1">Start.listina!K184</f>
        <v xml:space="preserve"> </v>
      </c>
      <c r="D178" s="170" t="str">
        <f ca="1">Start.listina!L184</f>
        <v xml:space="preserve"> </v>
      </c>
      <c r="E178" s="170">
        <f ca="1">Start.listina!M184</f>
        <v>9999</v>
      </c>
      <c r="F178" s="170">
        <f ca="1">Start.listina!N184</f>
        <v>0</v>
      </c>
      <c r="G178" s="161"/>
    </row>
    <row r="179" spans="1:7">
      <c r="A179" s="170" t="str">
        <f ca="1">Start.listina!I185</f>
        <v/>
      </c>
      <c r="B179" s="171" t="str">
        <f ca="1">Start.listina!J185</f>
        <v xml:space="preserve"> </v>
      </c>
      <c r="C179" s="170" t="str">
        <f ca="1">Start.listina!K185</f>
        <v xml:space="preserve"> </v>
      </c>
      <c r="D179" s="170" t="str">
        <f ca="1">Start.listina!L185</f>
        <v xml:space="preserve"> </v>
      </c>
      <c r="E179" s="170">
        <f ca="1">Start.listina!M185</f>
        <v>9999</v>
      </c>
      <c r="F179" s="170">
        <f ca="1">Start.listina!N185</f>
        <v>0</v>
      </c>
      <c r="G179" s="161"/>
    </row>
    <row r="180" spans="1:7">
      <c r="A180" s="170" t="str">
        <f ca="1">Start.listina!I186</f>
        <v/>
      </c>
      <c r="B180" s="171" t="str">
        <f ca="1">Start.listina!J186</f>
        <v xml:space="preserve"> </v>
      </c>
      <c r="C180" s="170" t="str">
        <f ca="1">Start.listina!K186</f>
        <v xml:space="preserve"> </v>
      </c>
      <c r="D180" s="170" t="str">
        <f ca="1">Start.listina!L186</f>
        <v xml:space="preserve"> </v>
      </c>
      <c r="E180" s="170">
        <f ca="1">Start.listina!M186</f>
        <v>9999</v>
      </c>
      <c r="F180" s="170">
        <f ca="1">Start.listina!N186</f>
        <v>0</v>
      </c>
      <c r="G180" s="161"/>
    </row>
    <row r="181" spans="1:7">
      <c r="A181" s="170" t="str">
        <f ca="1">Start.listina!I187</f>
        <v/>
      </c>
      <c r="B181" s="171" t="str">
        <f ca="1">Start.listina!J187</f>
        <v xml:space="preserve"> </v>
      </c>
      <c r="C181" s="170" t="str">
        <f ca="1">Start.listina!K187</f>
        <v xml:space="preserve"> </v>
      </c>
      <c r="D181" s="170" t="str">
        <f ca="1">Start.listina!L187</f>
        <v xml:space="preserve"> </v>
      </c>
      <c r="E181" s="170">
        <f ca="1">Start.listina!M187</f>
        <v>9999</v>
      </c>
      <c r="F181" s="170">
        <f ca="1">Start.listina!N187</f>
        <v>0</v>
      </c>
      <c r="G181" s="161"/>
    </row>
    <row r="182" spans="1:7">
      <c r="A182" s="170" t="str">
        <f ca="1">Start.listina!I188</f>
        <v/>
      </c>
      <c r="B182" s="171" t="str">
        <f ca="1">Start.listina!J188</f>
        <v xml:space="preserve"> </v>
      </c>
      <c r="C182" s="170" t="str">
        <f ca="1">Start.listina!K188</f>
        <v xml:space="preserve"> </v>
      </c>
      <c r="D182" s="170" t="str">
        <f ca="1">Start.listina!L188</f>
        <v xml:space="preserve"> </v>
      </c>
      <c r="E182" s="170">
        <f ca="1">Start.listina!M188</f>
        <v>9999</v>
      </c>
      <c r="F182" s="170">
        <f ca="1">Start.listina!N188</f>
        <v>0</v>
      </c>
      <c r="G182" s="161"/>
    </row>
    <row r="183" spans="1:7">
      <c r="A183" s="170" t="str">
        <f ca="1">Start.listina!I189</f>
        <v/>
      </c>
      <c r="B183" s="171" t="str">
        <f ca="1">Start.listina!J189</f>
        <v xml:space="preserve"> </v>
      </c>
      <c r="C183" s="170" t="str">
        <f ca="1">Start.listina!K189</f>
        <v xml:space="preserve"> </v>
      </c>
      <c r="D183" s="170" t="str">
        <f ca="1">Start.listina!L189</f>
        <v xml:space="preserve"> </v>
      </c>
      <c r="E183" s="170">
        <f ca="1">Start.listina!M189</f>
        <v>9999</v>
      </c>
      <c r="F183" s="170">
        <f ca="1">Start.listina!N189</f>
        <v>0</v>
      </c>
      <c r="G183" s="161"/>
    </row>
    <row r="184" spans="1:7">
      <c r="A184" s="170" t="str">
        <f ca="1">Start.listina!I190</f>
        <v/>
      </c>
      <c r="B184" s="171" t="str">
        <f ca="1">Start.listina!J190</f>
        <v xml:space="preserve"> </v>
      </c>
      <c r="C184" s="170" t="str">
        <f ca="1">Start.listina!K190</f>
        <v xml:space="preserve"> </v>
      </c>
      <c r="D184" s="170" t="str">
        <f ca="1">Start.listina!L190</f>
        <v xml:space="preserve"> </v>
      </c>
      <c r="E184" s="170">
        <f ca="1">Start.listina!M190</f>
        <v>9999</v>
      </c>
      <c r="F184" s="170">
        <f ca="1">Start.listina!N190</f>
        <v>0</v>
      </c>
      <c r="G184" s="161"/>
    </row>
    <row r="185" spans="1:7">
      <c r="A185" s="170" t="str">
        <f ca="1">Start.listina!I191</f>
        <v/>
      </c>
      <c r="B185" s="171" t="str">
        <f ca="1">Start.listina!J191</f>
        <v xml:space="preserve"> </v>
      </c>
      <c r="C185" s="170" t="str">
        <f ca="1">Start.listina!K191</f>
        <v xml:space="preserve"> </v>
      </c>
      <c r="D185" s="170" t="str">
        <f ca="1">Start.listina!L191</f>
        <v xml:space="preserve"> </v>
      </c>
      <c r="E185" s="170">
        <f ca="1">Start.listina!M191</f>
        <v>9999</v>
      </c>
      <c r="F185" s="170">
        <f ca="1">Start.listina!N191</f>
        <v>0</v>
      </c>
      <c r="G185" s="161"/>
    </row>
    <row r="186" spans="1:7">
      <c r="A186" s="170" t="str">
        <f ca="1">Start.listina!I192</f>
        <v/>
      </c>
      <c r="B186" s="171" t="str">
        <f ca="1">Start.listina!J192</f>
        <v xml:space="preserve"> </v>
      </c>
      <c r="C186" s="170" t="str">
        <f ca="1">Start.listina!K192</f>
        <v xml:space="preserve"> </v>
      </c>
      <c r="D186" s="170" t="str">
        <f ca="1">Start.listina!L192</f>
        <v xml:space="preserve"> </v>
      </c>
      <c r="E186" s="170">
        <f ca="1">Start.listina!M192</f>
        <v>9999</v>
      </c>
      <c r="F186" s="170">
        <f ca="1">Start.listina!N192</f>
        <v>0</v>
      </c>
      <c r="G186" s="161"/>
    </row>
    <row r="187" spans="1:7">
      <c r="A187" s="170" t="str">
        <f ca="1">Start.listina!I193</f>
        <v/>
      </c>
      <c r="B187" s="171" t="str">
        <f ca="1">Start.listina!J193</f>
        <v xml:space="preserve"> </v>
      </c>
      <c r="C187" s="170" t="str">
        <f ca="1">Start.listina!K193</f>
        <v xml:space="preserve"> </v>
      </c>
      <c r="D187" s="170" t="str">
        <f ca="1">Start.listina!L193</f>
        <v xml:space="preserve"> </v>
      </c>
      <c r="E187" s="170">
        <f ca="1">Start.listina!M193</f>
        <v>9999</v>
      </c>
      <c r="F187" s="170">
        <f ca="1">Start.listina!N193</f>
        <v>0</v>
      </c>
      <c r="G187" s="161"/>
    </row>
    <row r="188" spans="1:7">
      <c r="A188" s="170" t="str">
        <f ca="1">Start.listina!I194</f>
        <v/>
      </c>
      <c r="B188" s="171" t="str">
        <f ca="1">Start.listina!J194</f>
        <v xml:space="preserve"> </v>
      </c>
      <c r="C188" s="170" t="str">
        <f ca="1">Start.listina!K194</f>
        <v xml:space="preserve"> </v>
      </c>
      <c r="D188" s="170" t="str">
        <f ca="1">Start.listina!L194</f>
        <v xml:space="preserve"> </v>
      </c>
      <c r="E188" s="170">
        <f ca="1">Start.listina!M194</f>
        <v>9999</v>
      </c>
      <c r="F188" s="170">
        <f ca="1">Start.listina!N194</f>
        <v>0</v>
      </c>
      <c r="G188" s="161"/>
    </row>
    <row r="189" spans="1:7">
      <c r="A189" s="170" t="str">
        <f ca="1">Start.listina!I195</f>
        <v/>
      </c>
      <c r="B189" s="171" t="str">
        <f ca="1">Start.listina!J195</f>
        <v xml:space="preserve"> </v>
      </c>
      <c r="C189" s="170" t="str">
        <f ca="1">Start.listina!K195</f>
        <v xml:space="preserve"> </v>
      </c>
      <c r="D189" s="170" t="str">
        <f ca="1">Start.listina!L195</f>
        <v xml:space="preserve"> </v>
      </c>
      <c r="E189" s="170">
        <f ca="1">Start.listina!M195</f>
        <v>9999</v>
      </c>
      <c r="F189" s="170">
        <f ca="1">Start.listina!N195</f>
        <v>0</v>
      </c>
      <c r="G189" s="161"/>
    </row>
    <row r="190" spans="1:7">
      <c r="A190" s="170" t="str">
        <f ca="1">Start.listina!I196</f>
        <v/>
      </c>
      <c r="B190" s="171" t="str">
        <f ca="1">Start.listina!J196</f>
        <v xml:space="preserve"> </v>
      </c>
      <c r="C190" s="170" t="str">
        <f ca="1">Start.listina!K196</f>
        <v xml:space="preserve"> </v>
      </c>
      <c r="D190" s="170" t="str">
        <f ca="1">Start.listina!L196</f>
        <v xml:space="preserve"> </v>
      </c>
      <c r="E190" s="170">
        <f ca="1">Start.listina!M196</f>
        <v>9999</v>
      </c>
      <c r="F190" s="170">
        <f ca="1">Start.listina!N196</f>
        <v>0</v>
      </c>
      <c r="G190" s="161"/>
    </row>
    <row r="191" spans="1:7">
      <c r="A191" s="170" t="str">
        <f ca="1">Start.listina!I197</f>
        <v/>
      </c>
      <c r="B191" s="171" t="str">
        <f ca="1">Start.listina!J197</f>
        <v xml:space="preserve"> </v>
      </c>
      <c r="C191" s="170" t="str">
        <f ca="1">Start.listina!K197</f>
        <v xml:space="preserve"> </v>
      </c>
      <c r="D191" s="170" t="str">
        <f ca="1">Start.listina!L197</f>
        <v xml:space="preserve"> </v>
      </c>
      <c r="E191" s="170">
        <f ca="1">Start.listina!M197</f>
        <v>9999</v>
      </c>
      <c r="F191" s="170">
        <f ca="1">Start.listina!N197</f>
        <v>0</v>
      </c>
      <c r="G191" s="161"/>
    </row>
    <row r="192" spans="1:7">
      <c r="A192" s="170" t="str">
        <f ca="1">Start.listina!I198</f>
        <v/>
      </c>
      <c r="B192" s="171" t="str">
        <f ca="1">Start.listina!J198</f>
        <v xml:space="preserve"> </v>
      </c>
      <c r="C192" s="170" t="str">
        <f ca="1">Start.listina!K198</f>
        <v xml:space="preserve"> </v>
      </c>
      <c r="D192" s="170" t="str">
        <f ca="1">Start.listina!L198</f>
        <v xml:space="preserve"> </v>
      </c>
      <c r="E192" s="170">
        <f ca="1">Start.listina!M198</f>
        <v>9999</v>
      </c>
      <c r="F192" s="170">
        <f ca="1">Start.listina!N198</f>
        <v>0</v>
      </c>
      <c r="G192" s="161"/>
    </row>
    <row r="193" spans="1:7">
      <c r="A193" s="170" t="str">
        <f ca="1">Start.listina!I199</f>
        <v/>
      </c>
      <c r="B193" s="171" t="str">
        <f ca="1">Start.listina!J199</f>
        <v xml:space="preserve"> </v>
      </c>
      <c r="C193" s="170" t="str">
        <f ca="1">Start.listina!K199</f>
        <v xml:space="preserve"> </v>
      </c>
      <c r="D193" s="170" t="str">
        <f ca="1">Start.listina!L199</f>
        <v xml:space="preserve"> </v>
      </c>
      <c r="E193" s="170">
        <f ca="1">Start.listina!M199</f>
        <v>9999</v>
      </c>
      <c r="F193" s="170">
        <f ca="1">Start.listina!N199</f>
        <v>0</v>
      </c>
      <c r="G193" s="161"/>
    </row>
    <row r="194" spans="1:7">
      <c r="A194" s="170" t="str">
        <f ca="1">Start.listina!I200</f>
        <v/>
      </c>
      <c r="B194" s="171" t="str">
        <f ca="1">Start.listina!J200</f>
        <v xml:space="preserve"> </v>
      </c>
      <c r="C194" s="170" t="str">
        <f ca="1">Start.listina!K200</f>
        <v xml:space="preserve"> </v>
      </c>
      <c r="D194" s="170" t="str">
        <f ca="1">Start.listina!L200</f>
        <v xml:space="preserve"> </v>
      </c>
      <c r="E194" s="170">
        <f ca="1">Start.listina!M200</f>
        <v>9999</v>
      </c>
      <c r="F194" s="170">
        <f ca="1">Start.listina!N200</f>
        <v>0</v>
      </c>
      <c r="G194" s="161"/>
    </row>
    <row r="195" spans="1:7">
      <c r="A195" s="170" t="str">
        <f ca="1">Start.listina!I201</f>
        <v/>
      </c>
      <c r="B195" s="171" t="str">
        <f ca="1">Start.listina!J201</f>
        <v xml:space="preserve"> </v>
      </c>
      <c r="C195" s="170" t="str">
        <f ca="1">Start.listina!K201</f>
        <v xml:space="preserve"> </v>
      </c>
      <c r="D195" s="170" t="str">
        <f ca="1">Start.listina!L201</f>
        <v xml:space="preserve"> </v>
      </c>
      <c r="E195" s="170">
        <f ca="1">Start.listina!M201</f>
        <v>9999</v>
      </c>
      <c r="F195" s="170">
        <f ca="1">Start.listina!N201</f>
        <v>0</v>
      </c>
      <c r="G195" s="161"/>
    </row>
    <row r="196" spans="1:7">
      <c r="A196" s="170" t="str">
        <f ca="1">Start.listina!I202</f>
        <v/>
      </c>
      <c r="B196" s="171" t="str">
        <f ca="1">Start.listina!J202</f>
        <v xml:space="preserve"> </v>
      </c>
      <c r="C196" s="170" t="str">
        <f ca="1">Start.listina!K202</f>
        <v xml:space="preserve"> </v>
      </c>
      <c r="D196" s="170" t="str">
        <f ca="1">Start.listina!L202</f>
        <v xml:space="preserve"> </v>
      </c>
      <c r="E196" s="170">
        <f ca="1">Start.listina!M202</f>
        <v>9999</v>
      </c>
      <c r="F196" s="170">
        <f ca="1">Start.listina!N202</f>
        <v>0</v>
      </c>
      <c r="G196" s="161"/>
    </row>
    <row r="197" spans="1:7">
      <c r="A197" s="170">
        <f ca="1">Start.listina!O11</f>
        <v>15010</v>
      </c>
      <c r="B197" s="171" t="str">
        <f ca="1">Start.listina!P11</f>
        <v>Chmelařová</v>
      </c>
      <c r="C197" s="170" t="str">
        <f ca="1">Start.listina!Q11</f>
        <v>Yvetta</v>
      </c>
      <c r="D197" s="170" t="str">
        <f ca="1">Start.listina!R11</f>
        <v>SKP Kulová osma</v>
      </c>
      <c r="E197" s="170">
        <f ca="1">Start.listina!S11</f>
        <v>39</v>
      </c>
      <c r="F197" s="170">
        <f ca="1">Start.listina!T11</f>
        <v>28.125</v>
      </c>
      <c r="G197" s="161"/>
    </row>
    <row r="198" spans="1:7">
      <c r="A198" s="170">
        <f ca="1">Start.listina!O12</f>
        <v>28055</v>
      </c>
      <c r="B198" s="171" t="str">
        <f ca="1">Start.listina!P12</f>
        <v>Svobodová</v>
      </c>
      <c r="C198" s="170" t="str">
        <f ca="1">Start.listina!Q12</f>
        <v>Lenka</v>
      </c>
      <c r="D198" s="170" t="str">
        <f ca="1">Start.listina!R12</f>
        <v>SKP Hranice VI-Valšovice</v>
      </c>
      <c r="E198" s="170">
        <f ca="1">Start.listina!S12</f>
        <v>69</v>
      </c>
      <c r="F198" s="170">
        <f ca="1">Start.listina!T12</f>
        <v>25.314</v>
      </c>
      <c r="G198" s="161"/>
    </row>
    <row r="199" spans="1:7">
      <c r="A199" s="170">
        <f ca="1">Start.listina!O13</f>
        <v>10058</v>
      </c>
      <c r="B199" s="171" t="str">
        <f ca="1">Start.listina!P13</f>
        <v>Olšár</v>
      </c>
      <c r="C199" s="170" t="str">
        <f ca="1">Start.listina!Q13</f>
        <v>Marek</v>
      </c>
      <c r="D199" s="170" t="str">
        <f ca="1">Start.listina!R13</f>
        <v>TOP - ORLOVÁ</v>
      </c>
      <c r="E199" s="170">
        <f ca="1">Start.listina!S13</f>
        <v>186</v>
      </c>
      <c r="F199" s="170">
        <f ca="1">Start.listina!T13</f>
        <v>18.844000000000001</v>
      </c>
      <c r="G199" s="161"/>
    </row>
    <row r="200" spans="1:7">
      <c r="A200" s="170">
        <f ca="1">Start.listina!O14</f>
        <v>16106</v>
      </c>
      <c r="B200" s="171" t="str">
        <f ca="1">Start.listina!P14</f>
        <v>Konšel</v>
      </c>
      <c r="C200" s="170" t="str">
        <f ca="1">Start.listina!Q14</f>
        <v>Robin</v>
      </c>
      <c r="D200" s="170" t="str">
        <f ca="1">Start.listina!R14</f>
        <v>HRODE KRUMSÍN</v>
      </c>
      <c r="E200" s="170">
        <f ca="1">Start.listina!S14</f>
        <v>100</v>
      </c>
      <c r="F200" s="170">
        <f ca="1">Start.listina!T14</f>
        <v>31.312999999999999</v>
      </c>
      <c r="G200" s="161"/>
    </row>
    <row r="201" spans="1:7">
      <c r="A201" s="170">
        <f ca="1">Start.listina!O15</f>
        <v>12047</v>
      </c>
      <c r="B201" s="171" t="str">
        <f ca="1">Start.listina!P15</f>
        <v>Karásková</v>
      </c>
      <c r="C201" s="170" t="str">
        <f ca="1">Start.listina!Q15</f>
        <v>Františka</v>
      </c>
      <c r="D201" s="170" t="str">
        <f ca="1">Start.listina!R15</f>
        <v>HRODE KRUMSÍN</v>
      </c>
      <c r="E201" s="170">
        <f ca="1">Start.listina!S15</f>
        <v>213</v>
      </c>
      <c r="F201" s="170">
        <f ca="1">Start.listina!T15</f>
        <v>18.876000000000001</v>
      </c>
      <c r="G201" s="161"/>
    </row>
    <row r="202" spans="1:7">
      <c r="A202" s="170">
        <f ca="1">Start.listina!O16</f>
        <v>27063</v>
      </c>
      <c r="B202" s="171" t="str">
        <f ca="1">Start.listina!P16</f>
        <v>Mrlinová</v>
      </c>
      <c r="C202" s="170" t="str">
        <f ca="1">Start.listina!Q16</f>
        <v>Jana</v>
      </c>
      <c r="D202" s="170" t="str">
        <f ca="1">Start.listina!R16</f>
        <v>FENYX Adamov</v>
      </c>
      <c r="E202" s="170">
        <f ca="1">Start.listina!S16</f>
        <v>314</v>
      </c>
      <c r="F202" s="170">
        <f ca="1">Start.listina!T16</f>
        <v>11.343999999999999</v>
      </c>
      <c r="G202" s="161"/>
    </row>
    <row r="203" spans="1:7">
      <c r="A203" s="170">
        <f ca="1">Start.listina!O17</f>
        <v>13078</v>
      </c>
      <c r="B203" s="171" t="str">
        <f ca="1">Start.listina!P17</f>
        <v>Kotová</v>
      </c>
      <c r="C203" s="170" t="str">
        <f ca="1">Start.listina!Q17</f>
        <v>Jiřina</v>
      </c>
      <c r="D203" s="170" t="str">
        <f ca="1">Start.listina!R17</f>
        <v>UBU Únětice</v>
      </c>
      <c r="E203" s="170">
        <f ca="1">Start.listina!S17</f>
        <v>152</v>
      </c>
      <c r="F203" s="170">
        <f ca="1">Start.listina!T17</f>
        <v>16.594000000000001</v>
      </c>
      <c r="G203" s="161"/>
    </row>
    <row r="204" spans="1:7">
      <c r="A204" s="170">
        <f ca="1">Start.listina!O18</f>
        <v>23060</v>
      </c>
      <c r="B204" s="171" t="str">
        <f ca="1">Start.listina!P18</f>
        <v>Ševčík</v>
      </c>
      <c r="C204" s="170" t="str">
        <f ca="1">Start.listina!Q18</f>
        <v>Jaroslav</v>
      </c>
      <c r="D204" s="170" t="str">
        <f ca="1">Start.listina!R18</f>
        <v>PAK Albrechtice</v>
      </c>
      <c r="E204" s="170">
        <f ca="1">Start.listina!S18</f>
        <v>141</v>
      </c>
      <c r="F204" s="170">
        <f ca="1">Start.listina!T18</f>
        <v>17.689</v>
      </c>
      <c r="G204" s="161"/>
    </row>
    <row r="205" spans="1:7">
      <c r="A205" s="170">
        <f ca="1">Start.listina!O19</f>
        <v>16033</v>
      </c>
      <c r="B205" s="171" t="str">
        <f ca="1">Start.listina!P19</f>
        <v>Buchta</v>
      </c>
      <c r="C205" s="170" t="str">
        <f ca="1">Start.listina!Q19</f>
        <v>Jan</v>
      </c>
      <c r="D205" s="170" t="str">
        <f ca="1">Start.listina!R19</f>
        <v>PEPEK</v>
      </c>
      <c r="E205" s="170">
        <f ca="1">Start.listina!S19</f>
        <v>317</v>
      </c>
      <c r="F205" s="170">
        <f ca="1">Start.listina!T19</f>
        <v>10.75</v>
      </c>
      <c r="G205" s="161"/>
    </row>
    <row r="206" spans="1:7">
      <c r="A206" s="170">
        <f ca="1">Start.listina!O20</f>
        <v>28005</v>
      </c>
      <c r="B206" s="171" t="str">
        <f ca="1">Start.listina!P20</f>
        <v>Blažej</v>
      </c>
      <c r="C206" s="170" t="str">
        <f ca="1">Start.listina!Q20</f>
        <v>Petr</v>
      </c>
      <c r="D206" s="170" t="str">
        <f ca="1">Start.listina!R20</f>
        <v>1. Starobrněnský PK</v>
      </c>
      <c r="E206" s="170">
        <f ca="1">Start.listina!S20</f>
        <v>160</v>
      </c>
      <c r="F206" s="170">
        <f ca="1">Start.listina!T20</f>
        <v>16.876999999999999</v>
      </c>
      <c r="G206" s="161"/>
    </row>
    <row r="207" spans="1:7">
      <c r="A207" s="170">
        <f ca="1">Start.listina!O21</f>
        <v>18070</v>
      </c>
      <c r="B207" s="171" t="str">
        <f ca="1">Start.listina!P21</f>
        <v>Koudelková</v>
      </c>
      <c r="C207" s="170" t="str">
        <f ca="1">Start.listina!Q21</f>
        <v>Magdaléna</v>
      </c>
      <c r="D207" s="170" t="str">
        <f ca="1">Start.listina!R21</f>
        <v>PK Polouvsí</v>
      </c>
      <c r="E207" s="170">
        <f ca="1">Start.listina!S21</f>
        <v>264</v>
      </c>
      <c r="F207" s="170">
        <f ca="1">Start.listina!T21</f>
        <v>10.125999999999999</v>
      </c>
      <c r="G207" s="161"/>
    </row>
    <row r="208" spans="1:7">
      <c r="A208" s="170">
        <f ca="1">Start.listina!O22</f>
        <v>18072</v>
      </c>
      <c r="B208" s="171" t="str">
        <f ca="1">Start.listina!P22</f>
        <v>Ondryhal</v>
      </c>
      <c r="C208" s="170" t="str">
        <f ca="1">Start.listina!Q22</f>
        <v>Lukáš</v>
      </c>
      <c r="D208" s="170" t="str">
        <f ca="1">Start.listina!R22</f>
        <v>PK Polouvsí</v>
      </c>
      <c r="E208" s="170">
        <f ca="1">Start.listina!S22</f>
        <v>187</v>
      </c>
      <c r="F208" s="170">
        <f ca="1">Start.listina!T22</f>
        <v>14.813000000000001</v>
      </c>
      <c r="G208" s="161"/>
    </row>
    <row r="209" spans="1:7">
      <c r="A209" s="170">
        <f ca="1">Start.listina!O23</f>
        <v>20554</v>
      </c>
      <c r="B209" s="171" t="str">
        <f ca="1">Start.listina!P23</f>
        <v>Ptáček</v>
      </c>
      <c r="C209" s="170" t="str">
        <f ca="1">Start.listina!Q23</f>
        <v>Luboš</v>
      </c>
      <c r="D209" s="170" t="str">
        <f ca="1">Start.listina!R23</f>
        <v>HRODE KRUMSÍN</v>
      </c>
      <c r="E209" s="170">
        <f ca="1">Start.listina!S23</f>
        <v>868</v>
      </c>
      <c r="F209" s="170">
        <f ca="1">Start.listina!T23</f>
        <v>0</v>
      </c>
      <c r="G209" s="161"/>
    </row>
    <row r="210" spans="1:7">
      <c r="A210" s="170">
        <f ca="1">Start.listina!O24</f>
        <v>13066</v>
      </c>
      <c r="B210" s="171" t="str">
        <f ca="1">Start.listina!P24</f>
        <v>Ondruška</v>
      </c>
      <c r="C210" s="170" t="str">
        <f ca="1">Start.listina!Q24</f>
        <v>Pavel</v>
      </c>
      <c r="D210" s="170" t="str">
        <f ca="1">Start.listina!R24</f>
        <v>SKP Hranice VI-Valšovice</v>
      </c>
      <c r="E210" s="170">
        <f ca="1">Start.listina!S24</f>
        <v>469</v>
      </c>
      <c r="F210" s="170">
        <f ca="1">Start.listina!T24</f>
        <v>2.875</v>
      </c>
      <c r="G210" s="161"/>
    </row>
    <row r="211" spans="1:7">
      <c r="A211" s="170">
        <f ca="1">Start.listina!O25</f>
        <v>11014</v>
      </c>
      <c r="B211" s="171" t="str">
        <f ca="1">Start.listina!P25</f>
        <v>Ježíšková</v>
      </c>
      <c r="C211" s="170" t="str">
        <f ca="1">Start.listina!Q25</f>
        <v>Božena</v>
      </c>
      <c r="D211" s="170" t="str">
        <f ca="1">Start.listina!R25</f>
        <v>SKP Hranice VI-Valšovice</v>
      </c>
      <c r="E211" s="170">
        <f ca="1">Start.listina!S25</f>
        <v>527</v>
      </c>
      <c r="F211" s="170">
        <f ca="1">Start.listina!T25</f>
        <v>2.1259999999999999</v>
      </c>
      <c r="G211" s="161"/>
    </row>
    <row r="212" spans="1:7">
      <c r="A212" s="170">
        <f ca="1">Start.listina!O26</f>
        <v>18069</v>
      </c>
      <c r="B212" s="171" t="str">
        <f ca="1">Start.listina!P26</f>
        <v>Gráfik</v>
      </c>
      <c r="C212" s="170" t="str">
        <f ca="1">Start.listina!Q26</f>
        <v>Jiří</v>
      </c>
      <c r="D212" s="170" t="str">
        <f ca="1">Start.listina!R26</f>
        <v>PK Polouvsí</v>
      </c>
      <c r="E212" s="170">
        <f ca="1">Start.listina!S26</f>
        <v>706</v>
      </c>
      <c r="F212" s="170">
        <f ca="1">Start.listina!T26</f>
        <v>0</v>
      </c>
      <c r="G212" s="161"/>
    </row>
    <row r="213" spans="1:7">
      <c r="A213" s="170" t="str">
        <f ca="1">Start.listina!O27</f>
        <v/>
      </c>
      <c r="B213" s="171" t="str">
        <f ca="1">Start.listina!P27</f>
        <v xml:space="preserve"> </v>
      </c>
      <c r="C213" s="170" t="str">
        <f ca="1">Start.listina!Q27</f>
        <v xml:space="preserve"> </v>
      </c>
      <c r="D213" s="170" t="str">
        <f ca="1">Start.listina!R27</f>
        <v xml:space="preserve"> </v>
      </c>
      <c r="E213" s="170">
        <f ca="1">Start.listina!S27</f>
        <v>9999</v>
      </c>
      <c r="F213" s="170">
        <f ca="1">Start.listina!T27</f>
        <v>0</v>
      </c>
      <c r="G213" s="161"/>
    </row>
    <row r="214" spans="1:7">
      <c r="A214" s="170" t="str">
        <f ca="1">Start.listina!O28</f>
        <v/>
      </c>
      <c r="B214" s="171" t="str">
        <f ca="1">Start.listina!P28</f>
        <v xml:space="preserve"> </v>
      </c>
      <c r="C214" s="170" t="str">
        <f ca="1">Start.listina!Q28</f>
        <v xml:space="preserve"> </v>
      </c>
      <c r="D214" s="170" t="str">
        <f ca="1">Start.listina!R28</f>
        <v xml:space="preserve"> </v>
      </c>
      <c r="E214" s="170">
        <f ca="1">Start.listina!S28</f>
        <v>9999</v>
      </c>
      <c r="F214" s="170">
        <f ca="1">Start.listina!T28</f>
        <v>0</v>
      </c>
      <c r="G214" s="161"/>
    </row>
    <row r="215" spans="1:7">
      <c r="A215" s="170" t="str">
        <f ca="1">Start.listina!O29</f>
        <v/>
      </c>
      <c r="B215" s="171" t="str">
        <f ca="1">Start.listina!P29</f>
        <v xml:space="preserve"> </v>
      </c>
      <c r="C215" s="170" t="str">
        <f ca="1">Start.listina!Q29</f>
        <v xml:space="preserve"> </v>
      </c>
      <c r="D215" s="170" t="str">
        <f ca="1">Start.listina!R29</f>
        <v xml:space="preserve"> </v>
      </c>
      <c r="E215" s="170">
        <f ca="1">Start.listina!S29</f>
        <v>9999</v>
      </c>
      <c r="F215" s="170">
        <f ca="1">Start.listina!T29</f>
        <v>0</v>
      </c>
      <c r="G215" s="161"/>
    </row>
    <row r="216" spans="1:7">
      <c r="A216" s="170" t="str">
        <f ca="1">Start.listina!O30</f>
        <v/>
      </c>
      <c r="B216" s="171" t="str">
        <f ca="1">Start.listina!P30</f>
        <v xml:space="preserve"> </v>
      </c>
      <c r="C216" s="170" t="str">
        <f ca="1">Start.listina!Q30</f>
        <v xml:space="preserve"> </v>
      </c>
      <c r="D216" s="170" t="str">
        <f ca="1">Start.listina!R30</f>
        <v xml:space="preserve"> </v>
      </c>
      <c r="E216" s="170">
        <f ca="1">Start.listina!S30</f>
        <v>9999</v>
      </c>
      <c r="F216" s="170">
        <f ca="1">Start.listina!T30</f>
        <v>0</v>
      </c>
      <c r="G216" s="161"/>
    </row>
    <row r="217" spans="1:7">
      <c r="A217" s="170" t="str">
        <f ca="1">Start.listina!O31</f>
        <v/>
      </c>
      <c r="B217" s="171" t="str">
        <f ca="1">Start.listina!P31</f>
        <v xml:space="preserve"> </v>
      </c>
      <c r="C217" s="170" t="str">
        <f ca="1">Start.listina!Q31</f>
        <v xml:space="preserve"> </v>
      </c>
      <c r="D217" s="170" t="str">
        <f ca="1">Start.listina!R31</f>
        <v xml:space="preserve"> </v>
      </c>
      <c r="E217" s="170">
        <f ca="1">Start.listina!S31</f>
        <v>9999</v>
      </c>
      <c r="F217" s="170">
        <f ca="1">Start.listina!T31</f>
        <v>0</v>
      </c>
      <c r="G217" s="161"/>
    </row>
    <row r="218" spans="1:7">
      <c r="A218" s="170" t="str">
        <f ca="1">Start.listina!O32</f>
        <v/>
      </c>
      <c r="B218" s="171" t="str">
        <f ca="1">Start.listina!P32</f>
        <v xml:space="preserve"> </v>
      </c>
      <c r="C218" s="170" t="str">
        <f ca="1">Start.listina!Q32</f>
        <v xml:space="preserve"> </v>
      </c>
      <c r="D218" s="170" t="str">
        <f ca="1">Start.listina!R32</f>
        <v xml:space="preserve"> </v>
      </c>
      <c r="E218" s="170">
        <f ca="1">Start.listina!S32</f>
        <v>9999</v>
      </c>
      <c r="F218" s="170">
        <f ca="1">Start.listina!T32</f>
        <v>0</v>
      </c>
      <c r="G218" s="161"/>
    </row>
    <row r="219" spans="1:7">
      <c r="A219" s="170" t="str">
        <f ca="1">Start.listina!O33</f>
        <v/>
      </c>
      <c r="B219" s="171" t="str">
        <f ca="1">Start.listina!P33</f>
        <v xml:space="preserve"> </v>
      </c>
      <c r="C219" s="170" t="str">
        <f ca="1">Start.listina!Q33</f>
        <v xml:space="preserve"> </v>
      </c>
      <c r="D219" s="170" t="str">
        <f ca="1">Start.listina!R33</f>
        <v xml:space="preserve"> </v>
      </c>
      <c r="E219" s="170">
        <f ca="1">Start.listina!S33</f>
        <v>9999</v>
      </c>
      <c r="F219" s="170">
        <f ca="1">Start.listina!T33</f>
        <v>0</v>
      </c>
      <c r="G219" s="161"/>
    </row>
    <row r="220" spans="1:7">
      <c r="A220" s="170" t="str">
        <f ca="1">Start.listina!O34</f>
        <v/>
      </c>
      <c r="B220" s="171" t="str">
        <f ca="1">Start.listina!P34</f>
        <v xml:space="preserve"> </v>
      </c>
      <c r="C220" s="170" t="str">
        <f ca="1">Start.listina!Q34</f>
        <v xml:space="preserve"> </v>
      </c>
      <c r="D220" s="170" t="str">
        <f ca="1">Start.listina!R34</f>
        <v xml:space="preserve"> </v>
      </c>
      <c r="E220" s="170">
        <f ca="1">Start.listina!S34</f>
        <v>9999</v>
      </c>
      <c r="F220" s="170">
        <f ca="1">Start.listina!T34</f>
        <v>0</v>
      </c>
      <c r="G220" s="161"/>
    </row>
    <row r="221" spans="1:7">
      <c r="A221" s="170" t="str">
        <f ca="1">Start.listina!O35</f>
        <v/>
      </c>
      <c r="B221" s="171" t="str">
        <f ca="1">Start.listina!P35</f>
        <v xml:space="preserve"> </v>
      </c>
      <c r="C221" s="170" t="str">
        <f ca="1">Start.listina!Q35</f>
        <v xml:space="preserve"> </v>
      </c>
      <c r="D221" s="170" t="str">
        <f ca="1">Start.listina!R35</f>
        <v xml:space="preserve"> </v>
      </c>
      <c r="E221" s="170">
        <f ca="1">Start.listina!S35</f>
        <v>9999</v>
      </c>
      <c r="F221" s="170">
        <f ca="1">Start.listina!T35</f>
        <v>0</v>
      </c>
      <c r="G221" s="161"/>
    </row>
    <row r="222" spans="1:7">
      <c r="A222" s="170" t="str">
        <f ca="1">Start.listina!O36</f>
        <v/>
      </c>
      <c r="B222" s="171" t="str">
        <f ca="1">Start.listina!P36</f>
        <v xml:space="preserve"> </v>
      </c>
      <c r="C222" s="170" t="str">
        <f ca="1">Start.listina!Q36</f>
        <v xml:space="preserve"> </v>
      </c>
      <c r="D222" s="170" t="str">
        <f ca="1">Start.listina!R36</f>
        <v xml:space="preserve"> </v>
      </c>
      <c r="E222" s="170">
        <f ca="1">Start.listina!S36</f>
        <v>9999</v>
      </c>
      <c r="F222" s="170">
        <f ca="1">Start.listina!T36</f>
        <v>0</v>
      </c>
      <c r="G222" s="161"/>
    </row>
    <row r="223" spans="1:7">
      <c r="A223" s="170" t="str">
        <f ca="1">Start.listina!O37</f>
        <v/>
      </c>
      <c r="B223" s="171" t="str">
        <f ca="1">Start.listina!P37</f>
        <v xml:space="preserve"> </v>
      </c>
      <c r="C223" s="170" t="str">
        <f ca="1">Start.listina!Q37</f>
        <v xml:space="preserve"> </v>
      </c>
      <c r="D223" s="170" t="str">
        <f ca="1">Start.listina!R37</f>
        <v xml:space="preserve"> </v>
      </c>
      <c r="E223" s="170">
        <f ca="1">Start.listina!S37</f>
        <v>9999</v>
      </c>
      <c r="F223" s="170">
        <f ca="1">Start.listina!T37</f>
        <v>0</v>
      </c>
      <c r="G223" s="161"/>
    </row>
    <row r="224" spans="1:7">
      <c r="A224" s="170" t="str">
        <f ca="1">Start.listina!O38</f>
        <v/>
      </c>
      <c r="B224" s="171" t="str">
        <f ca="1">Start.listina!P38</f>
        <v xml:space="preserve"> </v>
      </c>
      <c r="C224" s="170" t="str">
        <f ca="1">Start.listina!Q38</f>
        <v xml:space="preserve"> </v>
      </c>
      <c r="D224" s="170" t="str">
        <f ca="1">Start.listina!R38</f>
        <v xml:space="preserve"> </v>
      </c>
      <c r="E224" s="170">
        <f ca="1">Start.listina!S38</f>
        <v>9999</v>
      </c>
      <c r="F224" s="170">
        <f ca="1">Start.listina!T38</f>
        <v>0</v>
      </c>
      <c r="G224" s="161"/>
    </row>
    <row r="225" spans="1:7">
      <c r="A225" s="170" t="str">
        <f ca="1">Start.listina!O39</f>
        <v/>
      </c>
      <c r="B225" s="171" t="str">
        <f ca="1">Start.listina!P39</f>
        <v xml:space="preserve"> </v>
      </c>
      <c r="C225" s="170" t="str">
        <f ca="1">Start.listina!Q39</f>
        <v xml:space="preserve"> </v>
      </c>
      <c r="D225" s="170" t="str">
        <f ca="1">Start.listina!R39</f>
        <v xml:space="preserve"> </v>
      </c>
      <c r="E225" s="170">
        <f ca="1">Start.listina!S39</f>
        <v>9999</v>
      </c>
      <c r="F225" s="170">
        <f ca="1">Start.listina!T39</f>
        <v>0</v>
      </c>
      <c r="G225" s="161"/>
    </row>
    <row r="226" spans="1:7">
      <c r="A226" s="170" t="str">
        <f ca="1">Start.listina!O40</f>
        <v/>
      </c>
      <c r="B226" s="171" t="str">
        <f ca="1">Start.listina!P40</f>
        <v xml:space="preserve"> </v>
      </c>
      <c r="C226" s="170" t="str">
        <f ca="1">Start.listina!Q40</f>
        <v xml:space="preserve"> </v>
      </c>
      <c r="D226" s="170" t="str">
        <f ca="1">Start.listina!R40</f>
        <v xml:space="preserve"> </v>
      </c>
      <c r="E226" s="170">
        <f ca="1">Start.listina!S40</f>
        <v>9999</v>
      </c>
      <c r="F226" s="170">
        <f ca="1">Start.listina!T40</f>
        <v>0</v>
      </c>
      <c r="G226" s="161"/>
    </row>
    <row r="227" spans="1:7">
      <c r="A227" s="170" t="str">
        <f ca="1">Start.listina!O41</f>
        <v/>
      </c>
      <c r="B227" s="171" t="str">
        <f ca="1">Start.listina!P41</f>
        <v xml:space="preserve"> </v>
      </c>
      <c r="C227" s="170" t="str">
        <f ca="1">Start.listina!Q41</f>
        <v xml:space="preserve"> </v>
      </c>
      <c r="D227" s="170" t="str">
        <f ca="1">Start.listina!R41</f>
        <v xml:space="preserve"> </v>
      </c>
      <c r="E227" s="170">
        <f ca="1">Start.listina!S41</f>
        <v>9999</v>
      </c>
      <c r="F227" s="170">
        <f ca="1">Start.listina!T41</f>
        <v>0</v>
      </c>
      <c r="G227" s="161"/>
    </row>
    <row r="228" spans="1:7">
      <c r="A228" s="170" t="str">
        <f ca="1">Start.listina!O42</f>
        <v/>
      </c>
      <c r="B228" s="171" t="str">
        <f ca="1">Start.listina!P42</f>
        <v xml:space="preserve"> </v>
      </c>
      <c r="C228" s="170" t="str">
        <f ca="1">Start.listina!Q42</f>
        <v xml:space="preserve"> </v>
      </c>
      <c r="D228" s="170" t="str">
        <f ca="1">Start.listina!R42</f>
        <v xml:space="preserve"> </v>
      </c>
      <c r="E228" s="170">
        <f ca="1">Start.listina!S42</f>
        <v>9999</v>
      </c>
      <c r="F228" s="170">
        <f ca="1">Start.listina!T42</f>
        <v>0</v>
      </c>
      <c r="G228" s="161"/>
    </row>
    <row r="229" spans="1:7">
      <c r="A229" s="170" t="str">
        <f ca="1">Start.listina!O43</f>
        <v/>
      </c>
      <c r="B229" s="171" t="str">
        <f ca="1">Start.listina!P43</f>
        <v xml:space="preserve"> </v>
      </c>
      <c r="C229" s="170" t="str">
        <f ca="1">Start.listina!Q43</f>
        <v xml:space="preserve"> </v>
      </c>
      <c r="D229" s="170" t="str">
        <f ca="1">Start.listina!R43</f>
        <v xml:space="preserve"> </v>
      </c>
      <c r="E229" s="170">
        <f ca="1">Start.listina!S43</f>
        <v>9999</v>
      </c>
      <c r="F229" s="170">
        <f ca="1">Start.listina!T43</f>
        <v>0</v>
      </c>
      <c r="G229" s="161"/>
    </row>
    <row r="230" spans="1:7">
      <c r="A230" s="170" t="str">
        <f ca="1">Start.listina!O44</f>
        <v/>
      </c>
      <c r="B230" s="171" t="str">
        <f ca="1">Start.listina!P44</f>
        <v xml:space="preserve"> </v>
      </c>
      <c r="C230" s="170" t="str">
        <f ca="1">Start.listina!Q44</f>
        <v xml:space="preserve"> </v>
      </c>
      <c r="D230" s="170" t="str">
        <f ca="1">Start.listina!R44</f>
        <v xml:space="preserve"> </v>
      </c>
      <c r="E230" s="170">
        <f ca="1">Start.listina!S44</f>
        <v>9999</v>
      </c>
      <c r="F230" s="170">
        <f ca="1">Start.listina!T44</f>
        <v>0</v>
      </c>
      <c r="G230" s="161"/>
    </row>
    <row r="231" spans="1:7">
      <c r="A231" s="170" t="str">
        <f ca="1">Start.listina!O45</f>
        <v/>
      </c>
      <c r="B231" s="171" t="str">
        <f ca="1">Start.listina!P45</f>
        <v xml:space="preserve"> </v>
      </c>
      <c r="C231" s="170" t="str">
        <f ca="1">Start.listina!Q45</f>
        <v xml:space="preserve"> </v>
      </c>
      <c r="D231" s="170" t="str">
        <f ca="1">Start.listina!R45</f>
        <v xml:space="preserve"> </v>
      </c>
      <c r="E231" s="170">
        <f ca="1">Start.listina!S45</f>
        <v>9999</v>
      </c>
      <c r="F231" s="170">
        <f ca="1">Start.listina!T45</f>
        <v>0</v>
      </c>
      <c r="G231" s="161"/>
    </row>
    <row r="232" spans="1:7">
      <c r="A232" s="170" t="str">
        <f ca="1">Start.listina!O46</f>
        <v/>
      </c>
      <c r="B232" s="171" t="str">
        <f ca="1">Start.listina!P46</f>
        <v xml:space="preserve"> </v>
      </c>
      <c r="C232" s="170" t="str">
        <f ca="1">Start.listina!Q46</f>
        <v xml:space="preserve"> </v>
      </c>
      <c r="D232" s="170" t="str">
        <f ca="1">Start.listina!R46</f>
        <v xml:space="preserve"> </v>
      </c>
      <c r="E232" s="170">
        <f ca="1">Start.listina!S46</f>
        <v>9999</v>
      </c>
      <c r="F232" s="170">
        <f ca="1">Start.listina!T46</f>
        <v>0</v>
      </c>
      <c r="G232" s="161"/>
    </row>
    <row r="233" spans="1:7">
      <c r="A233" s="170" t="str">
        <f ca="1">Start.listina!O47</f>
        <v/>
      </c>
      <c r="B233" s="171" t="str">
        <f ca="1">Start.listina!P47</f>
        <v xml:space="preserve"> </v>
      </c>
      <c r="C233" s="170" t="str">
        <f ca="1">Start.listina!Q47</f>
        <v xml:space="preserve"> </v>
      </c>
      <c r="D233" s="170" t="str">
        <f ca="1">Start.listina!R47</f>
        <v xml:space="preserve"> </v>
      </c>
      <c r="E233" s="170">
        <f ca="1">Start.listina!S47</f>
        <v>9999</v>
      </c>
      <c r="F233" s="170">
        <f ca="1">Start.listina!T47</f>
        <v>0</v>
      </c>
      <c r="G233" s="161"/>
    </row>
    <row r="234" spans="1:7">
      <c r="A234" s="170" t="str">
        <f ca="1">Start.listina!O48</f>
        <v/>
      </c>
      <c r="B234" s="171" t="str">
        <f ca="1">Start.listina!P48</f>
        <v xml:space="preserve"> </v>
      </c>
      <c r="C234" s="170" t="str">
        <f ca="1">Start.listina!Q48</f>
        <v xml:space="preserve"> </v>
      </c>
      <c r="D234" s="170" t="str">
        <f ca="1">Start.listina!R48</f>
        <v xml:space="preserve"> </v>
      </c>
      <c r="E234" s="170">
        <f ca="1">Start.listina!S48</f>
        <v>9999</v>
      </c>
      <c r="F234" s="170">
        <f ca="1">Start.listina!T48</f>
        <v>0</v>
      </c>
      <c r="G234" s="161"/>
    </row>
    <row r="235" spans="1:7">
      <c r="A235" s="170" t="str">
        <f ca="1">Start.listina!O49</f>
        <v/>
      </c>
      <c r="B235" s="171" t="str">
        <f ca="1">Start.listina!P49</f>
        <v xml:space="preserve"> </v>
      </c>
      <c r="C235" s="170" t="str">
        <f ca="1">Start.listina!Q49</f>
        <v xml:space="preserve"> </v>
      </c>
      <c r="D235" s="170" t="str">
        <f ca="1">Start.listina!R49</f>
        <v xml:space="preserve"> </v>
      </c>
      <c r="E235" s="170">
        <f ca="1">Start.listina!S49</f>
        <v>9999</v>
      </c>
      <c r="F235" s="170">
        <f ca="1">Start.listina!T49</f>
        <v>0</v>
      </c>
      <c r="G235" s="161"/>
    </row>
    <row r="236" spans="1:7">
      <c r="A236" s="170" t="str">
        <f ca="1">Start.listina!O50</f>
        <v/>
      </c>
      <c r="B236" s="171" t="str">
        <f ca="1">Start.listina!P50</f>
        <v xml:space="preserve"> </v>
      </c>
      <c r="C236" s="170" t="str">
        <f ca="1">Start.listina!Q50</f>
        <v xml:space="preserve"> </v>
      </c>
      <c r="D236" s="170" t="str">
        <f ca="1">Start.listina!R50</f>
        <v xml:space="preserve"> </v>
      </c>
      <c r="E236" s="170">
        <f ca="1">Start.listina!S50</f>
        <v>9999</v>
      </c>
      <c r="F236" s="170">
        <f ca="1">Start.listina!T50</f>
        <v>0</v>
      </c>
      <c r="G236" s="161"/>
    </row>
    <row r="237" spans="1:7">
      <c r="A237" s="170" t="str">
        <f ca="1">Start.listina!O51</f>
        <v/>
      </c>
      <c r="B237" s="171" t="str">
        <f ca="1">Start.listina!P51</f>
        <v xml:space="preserve"> </v>
      </c>
      <c r="C237" s="170" t="str">
        <f ca="1">Start.listina!Q51</f>
        <v xml:space="preserve"> </v>
      </c>
      <c r="D237" s="170" t="str">
        <f ca="1">Start.listina!R51</f>
        <v xml:space="preserve"> </v>
      </c>
      <c r="E237" s="170">
        <f ca="1">Start.listina!S51</f>
        <v>9999</v>
      </c>
      <c r="F237" s="170">
        <f ca="1">Start.listina!T51</f>
        <v>0</v>
      </c>
      <c r="G237" s="161"/>
    </row>
    <row r="238" spans="1:7">
      <c r="A238" s="170" t="str">
        <f ca="1">Start.listina!O52</f>
        <v/>
      </c>
      <c r="B238" s="171" t="str">
        <f ca="1">Start.listina!P52</f>
        <v xml:space="preserve"> </v>
      </c>
      <c r="C238" s="170" t="str">
        <f ca="1">Start.listina!Q52</f>
        <v xml:space="preserve"> </v>
      </c>
      <c r="D238" s="170" t="str">
        <f ca="1">Start.listina!R52</f>
        <v xml:space="preserve"> </v>
      </c>
      <c r="E238" s="170">
        <f ca="1">Start.listina!S52</f>
        <v>9999</v>
      </c>
      <c r="F238" s="170">
        <f ca="1">Start.listina!T52</f>
        <v>0</v>
      </c>
      <c r="G238" s="161"/>
    </row>
    <row r="239" spans="1:7">
      <c r="A239" s="170" t="str">
        <f ca="1">Start.listina!O53</f>
        <v/>
      </c>
      <c r="B239" s="171" t="str">
        <f ca="1">Start.listina!P53</f>
        <v xml:space="preserve"> </v>
      </c>
      <c r="C239" s="170" t="str">
        <f ca="1">Start.listina!Q53</f>
        <v xml:space="preserve"> </v>
      </c>
      <c r="D239" s="170" t="str">
        <f ca="1">Start.listina!R53</f>
        <v xml:space="preserve"> </v>
      </c>
      <c r="E239" s="170">
        <f ca="1">Start.listina!S53</f>
        <v>9999</v>
      </c>
      <c r="F239" s="170">
        <f ca="1">Start.listina!T53</f>
        <v>0</v>
      </c>
      <c r="G239" s="161"/>
    </row>
    <row r="240" spans="1:7">
      <c r="A240" s="170" t="str">
        <f ca="1">Start.listina!O54</f>
        <v/>
      </c>
      <c r="B240" s="171" t="str">
        <f ca="1">Start.listina!P54</f>
        <v xml:space="preserve"> </v>
      </c>
      <c r="C240" s="170" t="str">
        <f ca="1">Start.listina!Q54</f>
        <v xml:space="preserve"> </v>
      </c>
      <c r="D240" s="170" t="str">
        <f ca="1">Start.listina!R54</f>
        <v xml:space="preserve"> </v>
      </c>
      <c r="E240" s="170">
        <f ca="1">Start.listina!S54</f>
        <v>9999</v>
      </c>
      <c r="F240" s="170">
        <f ca="1">Start.listina!T54</f>
        <v>0</v>
      </c>
      <c r="G240" s="161"/>
    </row>
    <row r="241" spans="1:7">
      <c r="A241" s="170" t="str">
        <f ca="1">Start.listina!O55</f>
        <v/>
      </c>
      <c r="B241" s="171" t="str">
        <f ca="1">Start.listina!P55</f>
        <v xml:space="preserve"> </v>
      </c>
      <c r="C241" s="170" t="str">
        <f ca="1">Start.listina!Q55</f>
        <v xml:space="preserve"> </v>
      </c>
      <c r="D241" s="170" t="str">
        <f ca="1">Start.listina!R55</f>
        <v xml:space="preserve"> </v>
      </c>
      <c r="E241" s="170">
        <f ca="1">Start.listina!S55</f>
        <v>9999</v>
      </c>
      <c r="F241" s="170">
        <f ca="1">Start.listina!T55</f>
        <v>0</v>
      </c>
      <c r="G241" s="161"/>
    </row>
    <row r="242" spans="1:7">
      <c r="A242" s="170" t="str">
        <f ca="1">Start.listina!O56</f>
        <v/>
      </c>
      <c r="B242" s="171" t="str">
        <f ca="1">Start.listina!P56</f>
        <v xml:space="preserve"> </v>
      </c>
      <c r="C242" s="170" t="str">
        <f ca="1">Start.listina!Q56</f>
        <v xml:space="preserve"> </v>
      </c>
      <c r="D242" s="170" t="str">
        <f ca="1">Start.listina!R56</f>
        <v xml:space="preserve"> </v>
      </c>
      <c r="E242" s="170">
        <f ca="1">Start.listina!S56</f>
        <v>9999</v>
      </c>
      <c r="F242" s="170">
        <f ca="1">Start.listina!T56</f>
        <v>0</v>
      </c>
      <c r="G242" s="161"/>
    </row>
    <row r="243" spans="1:7">
      <c r="A243" s="170" t="str">
        <f ca="1">Start.listina!O57</f>
        <v/>
      </c>
      <c r="B243" s="171" t="str">
        <f ca="1">Start.listina!P57</f>
        <v xml:space="preserve"> </v>
      </c>
      <c r="C243" s="170" t="str">
        <f ca="1">Start.listina!Q57</f>
        <v xml:space="preserve"> </v>
      </c>
      <c r="D243" s="170" t="str">
        <f ca="1">Start.listina!R57</f>
        <v xml:space="preserve"> </v>
      </c>
      <c r="E243" s="170">
        <f ca="1">Start.listina!S57</f>
        <v>9999</v>
      </c>
      <c r="F243" s="170">
        <f ca="1">Start.listina!T57</f>
        <v>0</v>
      </c>
      <c r="G243" s="161"/>
    </row>
    <row r="244" spans="1:7">
      <c r="A244" s="170" t="str">
        <f ca="1">Start.listina!O58</f>
        <v/>
      </c>
      <c r="B244" s="171" t="str">
        <f ca="1">Start.listina!P58</f>
        <v xml:space="preserve"> </v>
      </c>
      <c r="C244" s="170" t="str">
        <f ca="1">Start.listina!Q58</f>
        <v xml:space="preserve"> </v>
      </c>
      <c r="D244" s="170" t="str">
        <f ca="1">Start.listina!R58</f>
        <v xml:space="preserve"> </v>
      </c>
      <c r="E244" s="170">
        <f ca="1">Start.listina!S58</f>
        <v>9999</v>
      </c>
      <c r="F244" s="170">
        <f ca="1">Start.listina!T58</f>
        <v>0</v>
      </c>
      <c r="G244" s="161"/>
    </row>
    <row r="245" spans="1:7">
      <c r="A245" s="170" t="str">
        <f ca="1">Start.listina!O59</f>
        <v/>
      </c>
      <c r="B245" s="171" t="str">
        <f ca="1">Start.listina!P59</f>
        <v xml:space="preserve"> </v>
      </c>
      <c r="C245" s="170" t="str">
        <f ca="1">Start.listina!Q59</f>
        <v xml:space="preserve"> </v>
      </c>
      <c r="D245" s="170" t="str">
        <f ca="1">Start.listina!R59</f>
        <v xml:space="preserve"> </v>
      </c>
      <c r="E245" s="170">
        <f ca="1">Start.listina!S59</f>
        <v>9999</v>
      </c>
      <c r="F245" s="170">
        <f ca="1">Start.listina!T59</f>
        <v>0</v>
      </c>
      <c r="G245" s="161"/>
    </row>
    <row r="246" spans="1:7">
      <c r="A246" s="170" t="str">
        <f ca="1">Start.listina!O60</f>
        <v/>
      </c>
      <c r="B246" s="171" t="str">
        <f ca="1">Start.listina!P60</f>
        <v xml:space="preserve"> </v>
      </c>
      <c r="C246" s="170" t="str">
        <f ca="1">Start.listina!Q60</f>
        <v xml:space="preserve"> </v>
      </c>
      <c r="D246" s="170" t="str">
        <f ca="1">Start.listina!R60</f>
        <v xml:space="preserve"> </v>
      </c>
      <c r="E246" s="170">
        <f ca="1">Start.listina!S60</f>
        <v>9999</v>
      </c>
      <c r="F246" s="170">
        <f ca="1">Start.listina!T60</f>
        <v>0</v>
      </c>
      <c r="G246" s="161"/>
    </row>
    <row r="247" spans="1:7">
      <c r="A247" s="170" t="str">
        <f ca="1">Start.listina!O61</f>
        <v/>
      </c>
      <c r="B247" s="171" t="str">
        <f ca="1">Start.listina!P61</f>
        <v xml:space="preserve"> </v>
      </c>
      <c r="C247" s="170" t="str">
        <f ca="1">Start.listina!Q61</f>
        <v xml:space="preserve"> </v>
      </c>
      <c r="D247" s="170" t="str">
        <f ca="1">Start.listina!R61</f>
        <v xml:space="preserve"> </v>
      </c>
      <c r="E247" s="170">
        <f ca="1">Start.listina!S61</f>
        <v>9999</v>
      </c>
      <c r="F247" s="170">
        <f ca="1">Start.listina!T61</f>
        <v>0</v>
      </c>
      <c r="G247" s="161"/>
    </row>
    <row r="248" spans="1:7">
      <c r="A248" s="170" t="str">
        <f ca="1">Start.listina!O62</f>
        <v/>
      </c>
      <c r="B248" s="171" t="str">
        <f ca="1">Start.listina!P62</f>
        <v xml:space="preserve"> </v>
      </c>
      <c r="C248" s="170" t="str">
        <f ca="1">Start.listina!Q62</f>
        <v xml:space="preserve"> </v>
      </c>
      <c r="D248" s="170" t="str">
        <f ca="1">Start.listina!R62</f>
        <v xml:space="preserve"> </v>
      </c>
      <c r="E248" s="170">
        <f ca="1">Start.listina!S62</f>
        <v>9999</v>
      </c>
      <c r="F248" s="170">
        <f ca="1">Start.listina!T62</f>
        <v>0</v>
      </c>
      <c r="G248" s="161"/>
    </row>
    <row r="249" spans="1:7">
      <c r="A249" s="170" t="str">
        <f ca="1">Start.listina!O63</f>
        <v/>
      </c>
      <c r="B249" s="171" t="str">
        <f ca="1">Start.listina!P63</f>
        <v xml:space="preserve"> </v>
      </c>
      <c r="C249" s="170" t="str">
        <f ca="1">Start.listina!Q63</f>
        <v xml:space="preserve"> </v>
      </c>
      <c r="D249" s="170" t="str">
        <f ca="1">Start.listina!R63</f>
        <v xml:space="preserve"> </v>
      </c>
      <c r="E249" s="170">
        <f ca="1">Start.listina!S63</f>
        <v>9999</v>
      </c>
      <c r="F249" s="170">
        <f ca="1">Start.listina!T63</f>
        <v>0</v>
      </c>
      <c r="G249" s="161"/>
    </row>
    <row r="250" spans="1:7">
      <c r="A250" s="170" t="str">
        <f ca="1">Start.listina!O64</f>
        <v/>
      </c>
      <c r="B250" s="171" t="str">
        <f ca="1">Start.listina!P64</f>
        <v xml:space="preserve"> </v>
      </c>
      <c r="C250" s="170" t="str">
        <f ca="1">Start.listina!Q64</f>
        <v xml:space="preserve"> </v>
      </c>
      <c r="D250" s="170" t="str">
        <f ca="1">Start.listina!R64</f>
        <v xml:space="preserve"> </v>
      </c>
      <c r="E250" s="170">
        <f ca="1">Start.listina!S64</f>
        <v>9999</v>
      </c>
      <c r="F250" s="170">
        <f ca="1">Start.listina!T64</f>
        <v>0</v>
      </c>
      <c r="G250" s="161"/>
    </row>
    <row r="251" spans="1:7">
      <c r="A251" s="170" t="str">
        <f ca="1">Start.listina!O65</f>
        <v/>
      </c>
      <c r="B251" s="171" t="str">
        <f ca="1">Start.listina!P65</f>
        <v xml:space="preserve"> </v>
      </c>
      <c r="C251" s="170" t="str">
        <f ca="1">Start.listina!Q65</f>
        <v xml:space="preserve"> </v>
      </c>
      <c r="D251" s="170" t="str">
        <f ca="1">Start.listina!R65</f>
        <v xml:space="preserve"> </v>
      </c>
      <c r="E251" s="170">
        <f ca="1">Start.listina!S65</f>
        <v>9999</v>
      </c>
      <c r="F251" s="170">
        <f ca="1">Start.listina!T65</f>
        <v>0</v>
      </c>
      <c r="G251" s="161"/>
    </row>
    <row r="252" spans="1:7">
      <c r="A252" s="170" t="str">
        <f ca="1">Start.listina!O66</f>
        <v/>
      </c>
      <c r="B252" s="171" t="str">
        <f ca="1">Start.listina!P66</f>
        <v xml:space="preserve"> </v>
      </c>
      <c r="C252" s="170" t="str">
        <f ca="1">Start.listina!Q66</f>
        <v xml:space="preserve"> </v>
      </c>
      <c r="D252" s="170" t="str">
        <f ca="1">Start.listina!R66</f>
        <v xml:space="preserve"> </v>
      </c>
      <c r="E252" s="170">
        <f ca="1">Start.listina!S66</f>
        <v>9999</v>
      </c>
      <c r="F252" s="170">
        <f ca="1">Start.listina!T66</f>
        <v>0</v>
      </c>
      <c r="G252" s="161"/>
    </row>
    <row r="253" spans="1:7">
      <c r="A253" s="170" t="str">
        <f ca="1">Start.listina!O67</f>
        <v/>
      </c>
      <c r="B253" s="171" t="str">
        <f ca="1">Start.listina!P67</f>
        <v xml:space="preserve"> </v>
      </c>
      <c r="C253" s="170" t="str">
        <f ca="1">Start.listina!Q67</f>
        <v xml:space="preserve"> </v>
      </c>
      <c r="D253" s="170" t="str">
        <f ca="1">Start.listina!R67</f>
        <v xml:space="preserve"> </v>
      </c>
      <c r="E253" s="170">
        <f ca="1">Start.listina!S67</f>
        <v>9999</v>
      </c>
      <c r="F253" s="170">
        <f ca="1">Start.listina!T67</f>
        <v>0</v>
      </c>
      <c r="G253" s="161"/>
    </row>
    <row r="254" spans="1:7">
      <c r="A254" s="170" t="str">
        <f ca="1">Start.listina!O68</f>
        <v/>
      </c>
      <c r="B254" s="171" t="str">
        <f ca="1">Start.listina!P68</f>
        <v xml:space="preserve"> </v>
      </c>
      <c r="C254" s="170" t="str">
        <f ca="1">Start.listina!Q68</f>
        <v xml:space="preserve"> </v>
      </c>
      <c r="D254" s="170" t="str">
        <f ca="1">Start.listina!R68</f>
        <v xml:space="preserve"> </v>
      </c>
      <c r="E254" s="170">
        <f ca="1">Start.listina!S68</f>
        <v>9999</v>
      </c>
      <c r="F254" s="170">
        <f ca="1">Start.listina!T68</f>
        <v>0</v>
      </c>
      <c r="G254" s="161"/>
    </row>
    <row r="255" spans="1:7">
      <c r="A255" s="170" t="str">
        <f ca="1">Start.listina!O69</f>
        <v/>
      </c>
      <c r="B255" s="171" t="str">
        <f ca="1">Start.listina!P69</f>
        <v xml:space="preserve"> </v>
      </c>
      <c r="C255" s="170" t="str">
        <f ca="1">Start.listina!Q69</f>
        <v xml:space="preserve"> </v>
      </c>
      <c r="D255" s="170" t="str">
        <f ca="1">Start.listina!R69</f>
        <v xml:space="preserve"> </v>
      </c>
      <c r="E255" s="170">
        <f ca="1">Start.listina!S69</f>
        <v>9999</v>
      </c>
      <c r="F255" s="170">
        <f ca="1">Start.listina!T69</f>
        <v>0</v>
      </c>
      <c r="G255" s="161"/>
    </row>
    <row r="256" spans="1:7">
      <c r="A256" s="170" t="str">
        <f ca="1">Start.listina!O70</f>
        <v/>
      </c>
      <c r="B256" s="171" t="str">
        <f ca="1">Start.listina!P70</f>
        <v xml:space="preserve"> </v>
      </c>
      <c r="C256" s="170" t="str">
        <f ca="1">Start.listina!Q70</f>
        <v xml:space="preserve"> </v>
      </c>
      <c r="D256" s="170" t="str">
        <f ca="1">Start.listina!R70</f>
        <v xml:space="preserve"> </v>
      </c>
      <c r="E256" s="170">
        <f ca="1">Start.listina!S70</f>
        <v>9999</v>
      </c>
      <c r="F256" s="170">
        <f ca="1">Start.listina!T70</f>
        <v>0</v>
      </c>
      <c r="G256" s="161"/>
    </row>
    <row r="257" spans="1:7">
      <c r="A257" s="170" t="str">
        <f ca="1">Start.listina!O71</f>
        <v/>
      </c>
      <c r="B257" s="171" t="str">
        <f ca="1">Start.listina!P71</f>
        <v xml:space="preserve"> </v>
      </c>
      <c r="C257" s="170" t="str">
        <f ca="1">Start.listina!Q71</f>
        <v xml:space="preserve"> </v>
      </c>
      <c r="D257" s="170" t="str">
        <f ca="1">Start.listina!R71</f>
        <v xml:space="preserve"> </v>
      </c>
      <c r="E257" s="170">
        <f ca="1">Start.listina!S71</f>
        <v>9999</v>
      </c>
      <c r="F257" s="170">
        <f ca="1">Start.listina!T71</f>
        <v>0</v>
      </c>
      <c r="G257" s="161"/>
    </row>
    <row r="258" spans="1:7">
      <c r="A258" s="170" t="str">
        <f ca="1">Start.listina!O72</f>
        <v/>
      </c>
      <c r="B258" s="171" t="str">
        <f ca="1">Start.listina!P72</f>
        <v xml:space="preserve"> </v>
      </c>
      <c r="C258" s="170" t="str">
        <f ca="1">Start.listina!Q72</f>
        <v xml:space="preserve"> </v>
      </c>
      <c r="D258" s="170" t="str">
        <f ca="1">Start.listina!R72</f>
        <v xml:space="preserve"> </v>
      </c>
      <c r="E258" s="170">
        <f ca="1">Start.listina!S72</f>
        <v>9999</v>
      </c>
      <c r="F258" s="170">
        <f ca="1">Start.listina!T72</f>
        <v>0</v>
      </c>
      <c r="G258" s="161"/>
    </row>
    <row r="259" spans="1:7">
      <c r="A259" s="170" t="str">
        <f ca="1">Start.listina!O73</f>
        <v/>
      </c>
      <c r="B259" s="171" t="str">
        <f ca="1">Start.listina!P73</f>
        <v xml:space="preserve"> </v>
      </c>
      <c r="C259" s="170" t="str">
        <f ca="1">Start.listina!Q73</f>
        <v xml:space="preserve"> </v>
      </c>
      <c r="D259" s="170" t="str">
        <f ca="1">Start.listina!R73</f>
        <v xml:space="preserve"> </v>
      </c>
      <c r="E259" s="170">
        <f ca="1">Start.listina!S73</f>
        <v>9999</v>
      </c>
      <c r="F259" s="170">
        <f ca="1">Start.listina!T73</f>
        <v>0</v>
      </c>
      <c r="G259" s="161"/>
    </row>
    <row r="260" spans="1:7">
      <c r="A260" s="170" t="str">
        <f ca="1">Start.listina!O74</f>
        <v/>
      </c>
      <c r="B260" s="171" t="str">
        <f ca="1">Start.listina!P74</f>
        <v xml:space="preserve"> </v>
      </c>
      <c r="C260" s="170" t="str">
        <f ca="1">Start.listina!Q74</f>
        <v xml:space="preserve"> </v>
      </c>
      <c r="D260" s="170" t="str">
        <f ca="1">Start.listina!R74</f>
        <v xml:space="preserve"> </v>
      </c>
      <c r="E260" s="170">
        <f ca="1">Start.listina!S74</f>
        <v>9999</v>
      </c>
      <c r="F260" s="170">
        <f ca="1">Start.listina!T74</f>
        <v>0</v>
      </c>
      <c r="G260" s="161"/>
    </row>
    <row r="261" spans="1:7">
      <c r="A261" s="170" t="str">
        <f ca="1">Start.listina!O75</f>
        <v/>
      </c>
      <c r="B261" s="171" t="str">
        <f ca="1">Start.listina!P75</f>
        <v xml:space="preserve"> </v>
      </c>
      <c r="C261" s="170" t="str">
        <f ca="1">Start.listina!Q75</f>
        <v xml:space="preserve"> </v>
      </c>
      <c r="D261" s="170" t="str">
        <f ca="1">Start.listina!R75</f>
        <v xml:space="preserve"> </v>
      </c>
      <c r="E261" s="170">
        <f ca="1">Start.listina!S75</f>
        <v>9999</v>
      </c>
      <c r="F261" s="170">
        <f ca="1">Start.listina!T75</f>
        <v>0</v>
      </c>
      <c r="G261" s="161"/>
    </row>
    <row r="262" spans="1:7">
      <c r="A262" s="170" t="str">
        <f ca="1">Start.listina!O76</f>
        <v/>
      </c>
      <c r="B262" s="171" t="str">
        <f ca="1">Start.listina!P76</f>
        <v xml:space="preserve"> </v>
      </c>
      <c r="C262" s="170" t="str">
        <f ca="1">Start.listina!Q76</f>
        <v xml:space="preserve"> </v>
      </c>
      <c r="D262" s="170" t="str">
        <f ca="1">Start.listina!R76</f>
        <v xml:space="preserve"> </v>
      </c>
      <c r="E262" s="170">
        <f ca="1">Start.listina!S76</f>
        <v>9999</v>
      </c>
      <c r="F262" s="170">
        <f ca="1">Start.listina!T76</f>
        <v>0</v>
      </c>
      <c r="G262" s="161"/>
    </row>
    <row r="263" spans="1:7">
      <c r="A263" s="170" t="str">
        <f ca="1">Start.listina!O77</f>
        <v/>
      </c>
      <c r="B263" s="171" t="str">
        <f ca="1">Start.listina!P77</f>
        <v xml:space="preserve"> </v>
      </c>
      <c r="C263" s="170" t="str">
        <f ca="1">Start.listina!Q77</f>
        <v xml:space="preserve"> </v>
      </c>
      <c r="D263" s="170" t="str">
        <f ca="1">Start.listina!R77</f>
        <v xml:space="preserve"> </v>
      </c>
      <c r="E263" s="170">
        <f ca="1">Start.listina!S77</f>
        <v>9999</v>
      </c>
      <c r="F263" s="170">
        <f ca="1">Start.listina!T77</f>
        <v>0</v>
      </c>
      <c r="G263" s="161"/>
    </row>
    <row r="264" spans="1:7">
      <c r="A264" s="170" t="str">
        <f ca="1">Start.listina!O78</f>
        <v/>
      </c>
      <c r="B264" s="171" t="str">
        <f ca="1">Start.listina!P78</f>
        <v xml:space="preserve"> </v>
      </c>
      <c r="C264" s="170" t="str">
        <f ca="1">Start.listina!Q78</f>
        <v xml:space="preserve"> </v>
      </c>
      <c r="D264" s="170" t="str">
        <f ca="1">Start.listina!R78</f>
        <v xml:space="preserve"> </v>
      </c>
      <c r="E264" s="170">
        <f ca="1">Start.listina!S78</f>
        <v>9999</v>
      </c>
      <c r="F264" s="170">
        <f ca="1">Start.listina!T78</f>
        <v>0</v>
      </c>
      <c r="G264" s="161"/>
    </row>
    <row r="265" spans="1:7">
      <c r="A265" s="170" t="str">
        <f ca="1">Start.listina!O79</f>
        <v/>
      </c>
      <c r="B265" s="171" t="str">
        <f ca="1">Start.listina!P79</f>
        <v xml:space="preserve"> </v>
      </c>
      <c r="C265" s="170" t="str">
        <f ca="1">Start.listina!Q79</f>
        <v xml:space="preserve"> </v>
      </c>
      <c r="D265" s="170" t="str">
        <f ca="1">Start.listina!R79</f>
        <v xml:space="preserve"> </v>
      </c>
      <c r="E265" s="170">
        <f ca="1">Start.listina!S79</f>
        <v>9999</v>
      </c>
      <c r="F265" s="170">
        <f ca="1">Start.listina!T79</f>
        <v>0</v>
      </c>
      <c r="G265" s="161"/>
    </row>
    <row r="266" spans="1:7">
      <c r="A266" s="170" t="str">
        <f ca="1">Start.listina!O80</f>
        <v/>
      </c>
      <c r="B266" s="171" t="str">
        <f ca="1">Start.listina!P80</f>
        <v xml:space="preserve"> </v>
      </c>
      <c r="C266" s="170" t="str">
        <f ca="1">Start.listina!Q80</f>
        <v xml:space="preserve"> </v>
      </c>
      <c r="D266" s="170" t="str">
        <f ca="1">Start.listina!R80</f>
        <v xml:space="preserve"> </v>
      </c>
      <c r="E266" s="170">
        <f ca="1">Start.listina!S80</f>
        <v>9999</v>
      </c>
      <c r="F266" s="170">
        <f ca="1">Start.listina!T80</f>
        <v>0</v>
      </c>
      <c r="G266" s="161"/>
    </row>
    <row r="267" spans="1:7">
      <c r="A267" s="170" t="str">
        <f ca="1">Start.listina!O81</f>
        <v/>
      </c>
      <c r="B267" s="171" t="str">
        <f ca="1">Start.listina!P81</f>
        <v xml:space="preserve"> </v>
      </c>
      <c r="C267" s="170" t="str">
        <f ca="1">Start.listina!Q81</f>
        <v xml:space="preserve"> </v>
      </c>
      <c r="D267" s="170" t="str">
        <f ca="1">Start.listina!R81</f>
        <v xml:space="preserve"> </v>
      </c>
      <c r="E267" s="170">
        <f ca="1">Start.listina!S81</f>
        <v>9999</v>
      </c>
      <c r="F267" s="170">
        <f ca="1">Start.listina!T81</f>
        <v>0</v>
      </c>
      <c r="G267" s="161"/>
    </row>
    <row r="268" spans="1:7">
      <c r="A268" s="170" t="str">
        <f ca="1">Start.listina!O82</f>
        <v/>
      </c>
      <c r="B268" s="171" t="str">
        <f ca="1">Start.listina!P82</f>
        <v xml:space="preserve"> </v>
      </c>
      <c r="C268" s="170" t="str">
        <f ca="1">Start.listina!Q82</f>
        <v xml:space="preserve"> </v>
      </c>
      <c r="D268" s="170" t="str">
        <f ca="1">Start.listina!R82</f>
        <v xml:space="preserve"> </v>
      </c>
      <c r="E268" s="170">
        <f ca="1">Start.listina!S82</f>
        <v>9999</v>
      </c>
      <c r="F268" s="170">
        <f ca="1">Start.listina!T82</f>
        <v>0</v>
      </c>
      <c r="G268" s="161"/>
    </row>
    <row r="269" spans="1:7">
      <c r="A269" s="170" t="str">
        <f ca="1">Start.listina!O83</f>
        <v/>
      </c>
      <c r="B269" s="171" t="str">
        <f ca="1">Start.listina!P83</f>
        <v xml:space="preserve"> </v>
      </c>
      <c r="C269" s="170" t="str">
        <f ca="1">Start.listina!Q83</f>
        <v xml:space="preserve"> </v>
      </c>
      <c r="D269" s="170" t="str">
        <f ca="1">Start.listina!R83</f>
        <v xml:space="preserve"> </v>
      </c>
      <c r="E269" s="170">
        <f ca="1">Start.listina!S83</f>
        <v>9999</v>
      </c>
      <c r="F269" s="170">
        <f ca="1">Start.listina!T83</f>
        <v>0</v>
      </c>
      <c r="G269" s="161"/>
    </row>
    <row r="270" spans="1:7">
      <c r="A270" s="170" t="str">
        <f ca="1">Start.listina!O84</f>
        <v/>
      </c>
      <c r="B270" s="171" t="str">
        <f ca="1">Start.listina!P84</f>
        <v xml:space="preserve"> </v>
      </c>
      <c r="C270" s="170" t="str">
        <f ca="1">Start.listina!Q84</f>
        <v xml:space="preserve"> </v>
      </c>
      <c r="D270" s="170" t="str">
        <f ca="1">Start.listina!R84</f>
        <v xml:space="preserve"> </v>
      </c>
      <c r="E270" s="170">
        <f ca="1">Start.listina!S84</f>
        <v>9999</v>
      </c>
      <c r="F270" s="170">
        <f ca="1">Start.listina!T84</f>
        <v>0</v>
      </c>
      <c r="G270" s="161"/>
    </row>
    <row r="271" spans="1:7">
      <c r="A271" s="170" t="str">
        <f ca="1">Start.listina!O85</f>
        <v/>
      </c>
      <c r="B271" s="171" t="str">
        <f ca="1">Start.listina!P85</f>
        <v xml:space="preserve"> </v>
      </c>
      <c r="C271" s="170" t="str">
        <f ca="1">Start.listina!Q85</f>
        <v xml:space="preserve"> </v>
      </c>
      <c r="D271" s="170" t="str">
        <f ca="1">Start.listina!R85</f>
        <v xml:space="preserve"> </v>
      </c>
      <c r="E271" s="170">
        <f ca="1">Start.listina!S85</f>
        <v>9999</v>
      </c>
      <c r="F271" s="170">
        <f ca="1">Start.listina!T85</f>
        <v>0</v>
      </c>
      <c r="G271" s="161"/>
    </row>
    <row r="272" spans="1:7">
      <c r="A272" s="170" t="str">
        <f ca="1">Start.listina!O86</f>
        <v/>
      </c>
      <c r="B272" s="171" t="str">
        <f ca="1">Start.listina!P86</f>
        <v xml:space="preserve"> </v>
      </c>
      <c r="C272" s="170" t="str">
        <f ca="1">Start.listina!Q86</f>
        <v xml:space="preserve"> </v>
      </c>
      <c r="D272" s="170" t="str">
        <f ca="1">Start.listina!R86</f>
        <v xml:space="preserve"> </v>
      </c>
      <c r="E272" s="170">
        <f ca="1">Start.listina!S86</f>
        <v>9999</v>
      </c>
      <c r="F272" s="170">
        <f ca="1">Start.listina!T86</f>
        <v>0</v>
      </c>
      <c r="G272" s="161"/>
    </row>
    <row r="273" spans="1:7">
      <c r="A273" s="170" t="str">
        <f ca="1">Start.listina!O87</f>
        <v/>
      </c>
      <c r="B273" s="171" t="str">
        <f ca="1">Start.listina!P87</f>
        <v xml:space="preserve"> </v>
      </c>
      <c r="C273" s="170" t="str">
        <f ca="1">Start.listina!Q87</f>
        <v xml:space="preserve"> </v>
      </c>
      <c r="D273" s="170" t="str">
        <f ca="1">Start.listina!R87</f>
        <v xml:space="preserve"> </v>
      </c>
      <c r="E273" s="170">
        <f ca="1">Start.listina!S87</f>
        <v>9999</v>
      </c>
      <c r="F273" s="170">
        <f ca="1">Start.listina!T87</f>
        <v>0</v>
      </c>
      <c r="G273" s="161"/>
    </row>
    <row r="274" spans="1:7">
      <c r="A274" s="170" t="str">
        <f ca="1">Start.listina!O88</f>
        <v/>
      </c>
      <c r="B274" s="171" t="str">
        <f ca="1">Start.listina!P88</f>
        <v xml:space="preserve"> </v>
      </c>
      <c r="C274" s="170" t="str">
        <f ca="1">Start.listina!Q88</f>
        <v xml:space="preserve"> </v>
      </c>
      <c r="D274" s="170" t="str">
        <f ca="1">Start.listina!R88</f>
        <v xml:space="preserve"> </v>
      </c>
      <c r="E274" s="170">
        <f ca="1">Start.listina!S88</f>
        <v>9999</v>
      </c>
      <c r="F274" s="170">
        <f ca="1">Start.listina!T88</f>
        <v>0</v>
      </c>
      <c r="G274" s="161"/>
    </row>
    <row r="275" spans="1:7">
      <c r="A275" s="170" t="str">
        <f ca="1">Start.listina!O89</f>
        <v/>
      </c>
      <c r="B275" s="171" t="str">
        <f ca="1">Start.listina!P89</f>
        <v xml:space="preserve"> </v>
      </c>
      <c r="C275" s="170" t="str">
        <f ca="1">Start.listina!Q89</f>
        <v xml:space="preserve"> </v>
      </c>
      <c r="D275" s="170" t="str">
        <f ca="1">Start.listina!R89</f>
        <v xml:space="preserve"> </v>
      </c>
      <c r="E275" s="170">
        <f ca="1">Start.listina!S89</f>
        <v>9999</v>
      </c>
      <c r="F275" s="170">
        <f ca="1">Start.listina!T89</f>
        <v>0</v>
      </c>
      <c r="G275" s="161"/>
    </row>
    <row r="276" spans="1:7">
      <c r="A276" s="170" t="str">
        <f ca="1">Start.listina!O90</f>
        <v/>
      </c>
      <c r="B276" s="171" t="str">
        <f ca="1">Start.listina!P90</f>
        <v xml:space="preserve"> </v>
      </c>
      <c r="C276" s="170" t="str">
        <f ca="1">Start.listina!Q90</f>
        <v xml:space="preserve"> </v>
      </c>
      <c r="D276" s="170" t="str">
        <f ca="1">Start.listina!R90</f>
        <v xml:space="preserve"> </v>
      </c>
      <c r="E276" s="170">
        <f ca="1">Start.listina!S90</f>
        <v>9999</v>
      </c>
      <c r="F276" s="170">
        <f ca="1">Start.listina!T90</f>
        <v>0</v>
      </c>
      <c r="G276" s="161"/>
    </row>
    <row r="277" spans="1:7">
      <c r="A277" s="170" t="str">
        <f ca="1">Start.listina!O91</f>
        <v/>
      </c>
      <c r="B277" s="171" t="str">
        <f ca="1">Start.listina!P91</f>
        <v xml:space="preserve"> </v>
      </c>
      <c r="C277" s="170" t="str">
        <f ca="1">Start.listina!Q91</f>
        <v xml:space="preserve"> </v>
      </c>
      <c r="D277" s="170" t="str">
        <f ca="1">Start.listina!R91</f>
        <v xml:space="preserve"> </v>
      </c>
      <c r="E277" s="170">
        <f ca="1">Start.listina!S91</f>
        <v>9999</v>
      </c>
      <c r="F277" s="170">
        <f ca="1">Start.listina!T91</f>
        <v>0</v>
      </c>
      <c r="G277" s="161"/>
    </row>
    <row r="278" spans="1:7">
      <c r="A278" s="170" t="str">
        <f ca="1">Start.listina!O92</f>
        <v/>
      </c>
      <c r="B278" s="171" t="str">
        <f ca="1">Start.listina!P92</f>
        <v xml:space="preserve"> </v>
      </c>
      <c r="C278" s="170" t="str">
        <f ca="1">Start.listina!Q92</f>
        <v xml:space="preserve"> </v>
      </c>
      <c r="D278" s="170" t="str">
        <f ca="1">Start.listina!R92</f>
        <v xml:space="preserve"> </v>
      </c>
      <c r="E278" s="170">
        <f ca="1">Start.listina!S92</f>
        <v>9999</v>
      </c>
      <c r="F278" s="170">
        <f ca="1">Start.listina!T92</f>
        <v>0</v>
      </c>
      <c r="G278" s="161"/>
    </row>
    <row r="279" spans="1:7">
      <c r="A279" s="170" t="str">
        <f ca="1">Start.listina!O93</f>
        <v/>
      </c>
      <c r="B279" s="171" t="str">
        <f ca="1">Start.listina!P93</f>
        <v xml:space="preserve"> </v>
      </c>
      <c r="C279" s="170" t="str">
        <f ca="1">Start.listina!Q93</f>
        <v xml:space="preserve"> </v>
      </c>
      <c r="D279" s="170" t="str">
        <f ca="1">Start.listina!R93</f>
        <v xml:space="preserve"> </v>
      </c>
      <c r="E279" s="170">
        <f ca="1">Start.listina!S93</f>
        <v>9999</v>
      </c>
      <c r="F279" s="170">
        <f ca="1">Start.listina!T93</f>
        <v>0</v>
      </c>
      <c r="G279" s="161"/>
    </row>
    <row r="280" spans="1:7">
      <c r="A280" s="170" t="str">
        <f ca="1">Start.listina!O94</f>
        <v/>
      </c>
      <c r="B280" s="171" t="str">
        <f ca="1">Start.listina!P94</f>
        <v xml:space="preserve"> </v>
      </c>
      <c r="C280" s="170" t="str">
        <f ca="1">Start.listina!Q94</f>
        <v xml:space="preserve"> </v>
      </c>
      <c r="D280" s="170" t="str">
        <f ca="1">Start.listina!R94</f>
        <v xml:space="preserve"> </v>
      </c>
      <c r="E280" s="170">
        <f ca="1">Start.listina!S94</f>
        <v>9999</v>
      </c>
      <c r="F280" s="170">
        <f ca="1">Start.listina!T94</f>
        <v>0</v>
      </c>
      <c r="G280" s="161"/>
    </row>
    <row r="281" spans="1:7">
      <c r="A281" s="170" t="str">
        <f ca="1">Start.listina!O95</f>
        <v/>
      </c>
      <c r="B281" s="171" t="str">
        <f ca="1">Start.listina!P95</f>
        <v xml:space="preserve"> </v>
      </c>
      <c r="C281" s="170" t="str">
        <f ca="1">Start.listina!Q95</f>
        <v xml:space="preserve"> </v>
      </c>
      <c r="D281" s="170" t="str">
        <f ca="1">Start.listina!R95</f>
        <v xml:space="preserve"> </v>
      </c>
      <c r="E281" s="170">
        <f ca="1">Start.listina!S95</f>
        <v>9999</v>
      </c>
      <c r="F281" s="170">
        <f ca="1">Start.listina!T95</f>
        <v>0</v>
      </c>
      <c r="G281" s="161"/>
    </row>
    <row r="282" spans="1:7">
      <c r="A282" s="170" t="str">
        <f ca="1">Start.listina!O96</f>
        <v/>
      </c>
      <c r="B282" s="171" t="str">
        <f ca="1">Start.listina!P96</f>
        <v xml:space="preserve"> </v>
      </c>
      <c r="C282" s="170" t="str">
        <f ca="1">Start.listina!Q96</f>
        <v xml:space="preserve"> </v>
      </c>
      <c r="D282" s="170" t="str">
        <f ca="1">Start.listina!R96</f>
        <v xml:space="preserve"> </v>
      </c>
      <c r="E282" s="170">
        <f ca="1">Start.listina!S96</f>
        <v>9999</v>
      </c>
      <c r="F282" s="170">
        <f ca="1">Start.listina!T96</f>
        <v>0</v>
      </c>
      <c r="G282" s="161"/>
    </row>
    <row r="283" spans="1:7">
      <c r="A283" s="170" t="str">
        <f ca="1">Start.listina!O97</f>
        <v/>
      </c>
      <c r="B283" s="171" t="str">
        <f ca="1">Start.listina!P97</f>
        <v xml:space="preserve"> </v>
      </c>
      <c r="C283" s="170" t="str">
        <f ca="1">Start.listina!Q97</f>
        <v xml:space="preserve"> </v>
      </c>
      <c r="D283" s="170" t="str">
        <f ca="1">Start.listina!R97</f>
        <v xml:space="preserve"> </v>
      </c>
      <c r="E283" s="170">
        <f ca="1">Start.listina!S97</f>
        <v>9999</v>
      </c>
      <c r="F283" s="170">
        <f ca="1">Start.listina!T97</f>
        <v>0</v>
      </c>
      <c r="G283" s="161"/>
    </row>
    <row r="284" spans="1:7">
      <c r="A284" s="170" t="str">
        <f ca="1">Start.listina!O98</f>
        <v/>
      </c>
      <c r="B284" s="171" t="str">
        <f ca="1">Start.listina!P98</f>
        <v xml:space="preserve"> </v>
      </c>
      <c r="C284" s="170" t="str">
        <f ca="1">Start.listina!Q98</f>
        <v xml:space="preserve"> </v>
      </c>
      <c r="D284" s="170" t="str">
        <f ca="1">Start.listina!R98</f>
        <v xml:space="preserve"> </v>
      </c>
      <c r="E284" s="170">
        <f ca="1">Start.listina!S98</f>
        <v>9999</v>
      </c>
      <c r="F284" s="170">
        <f ca="1">Start.listina!T98</f>
        <v>0</v>
      </c>
      <c r="G284" s="161"/>
    </row>
    <row r="285" spans="1:7">
      <c r="A285" s="170" t="str">
        <f ca="1">Start.listina!O99</f>
        <v/>
      </c>
      <c r="B285" s="171" t="str">
        <f ca="1">Start.listina!P99</f>
        <v xml:space="preserve"> </v>
      </c>
      <c r="C285" s="170" t="str">
        <f ca="1">Start.listina!Q99</f>
        <v xml:space="preserve"> </v>
      </c>
      <c r="D285" s="170" t="str">
        <f ca="1">Start.listina!R99</f>
        <v xml:space="preserve"> </v>
      </c>
      <c r="E285" s="170">
        <f ca="1">Start.listina!S99</f>
        <v>9999</v>
      </c>
      <c r="F285" s="170">
        <f ca="1">Start.listina!T99</f>
        <v>0</v>
      </c>
      <c r="G285" s="161"/>
    </row>
    <row r="286" spans="1:7">
      <c r="A286" s="170" t="str">
        <f ca="1">Start.listina!O100</f>
        <v/>
      </c>
      <c r="B286" s="171" t="str">
        <f ca="1">Start.listina!P100</f>
        <v xml:space="preserve"> </v>
      </c>
      <c r="C286" s="170" t="str">
        <f ca="1">Start.listina!Q100</f>
        <v xml:space="preserve"> </v>
      </c>
      <c r="D286" s="170" t="str">
        <f ca="1">Start.listina!R100</f>
        <v xml:space="preserve"> </v>
      </c>
      <c r="E286" s="170">
        <f ca="1">Start.listina!S100</f>
        <v>9999</v>
      </c>
      <c r="F286" s="170">
        <f ca="1">Start.listina!T100</f>
        <v>0</v>
      </c>
      <c r="G286" s="161"/>
    </row>
    <row r="287" spans="1:7">
      <c r="A287" s="170" t="str">
        <f ca="1">Start.listina!O101</f>
        <v/>
      </c>
      <c r="B287" s="171" t="str">
        <f ca="1">Start.listina!P101</f>
        <v xml:space="preserve"> </v>
      </c>
      <c r="C287" s="170" t="str">
        <f ca="1">Start.listina!Q101</f>
        <v xml:space="preserve"> </v>
      </c>
      <c r="D287" s="170" t="str">
        <f ca="1">Start.listina!R101</f>
        <v xml:space="preserve"> </v>
      </c>
      <c r="E287" s="170">
        <f ca="1">Start.listina!S101</f>
        <v>9999</v>
      </c>
      <c r="F287" s="170">
        <f ca="1">Start.listina!T101</f>
        <v>0</v>
      </c>
      <c r="G287" s="161"/>
    </row>
    <row r="288" spans="1:7">
      <c r="A288" s="170" t="str">
        <f ca="1">Start.listina!O102</f>
        <v/>
      </c>
      <c r="B288" s="171" t="str">
        <f ca="1">Start.listina!P102</f>
        <v xml:space="preserve"> </v>
      </c>
      <c r="C288" s="170" t="str">
        <f ca="1">Start.listina!Q102</f>
        <v xml:space="preserve"> </v>
      </c>
      <c r="D288" s="170" t="str">
        <f ca="1">Start.listina!R102</f>
        <v xml:space="preserve"> </v>
      </c>
      <c r="E288" s="170">
        <f ca="1">Start.listina!S102</f>
        <v>9999</v>
      </c>
      <c r="F288" s="170">
        <f ca="1">Start.listina!T102</f>
        <v>0</v>
      </c>
      <c r="G288" s="161"/>
    </row>
    <row r="289" spans="1:7">
      <c r="A289" s="170" t="str">
        <f ca="1">Start.listina!O103</f>
        <v/>
      </c>
      <c r="B289" s="171" t="str">
        <f ca="1">Start.listina!P103</f>
        <v xml:space="preserve"> </v>
      </c>
      <c r="C289" s="170" t="str">
        <f ca="1">Start.listina!Q103</f>
        <v xml:space="preserve"> </v>
      </c>
      <c r="D289" s="170" t="str">
        <f ca="1">Start.listina!R103</f>
        <v xml:space="preserve"> </v>
      </c>
      <c r="E289" s="170">
        <f ca="1">Start.listina!S103</f>
        <v>9999</v>
      </c>
      <c r="F289" s="170">
        <f ca="1">Start.listina!T103</f>
        <v>0</v>
      </c>
      <c r="G289" s="161"/>
    </row>
    <row r="290" spans="1:7">
      <c r="A290" s="170" t="str">
        <f ca="1">Start.listina!O104</f>
        <v/>
      </c>
      <c r="B290" s="171" t="str">
        <f ca="1">Start.listina!P104</f>
        <v xml:space="preserve"> </v>
      </c>
      <c r="C290" s="170" t="str">
        <f ca="1">Start.listina!Q104</f>
        <v xml:space="preserve"> </v>
      </c>
      <c r="D290" s="170" t="str">
        <f ca="1">Start.listina!R104</f>
        <v xml:space="preserve"> </v>
      </c>
      <c r="E290" s="170">
        <f ca="1">Start.listina!S104</f>
        <v>9999</v>
      </c>
      <c r="F290" s="170">
        <f ca="1">Start.listina!T104</f>
        <v>0</v>
      </c>
      <c r="G290" s="161"/>
    </row>
    <row r="291" spans="1:7">
      <c r="A291" s="170" t="str">
        <f ca="1">Start.listina!O105</f>
        <v/>
      </c>
      <c r="B291" s="171" t="str">
        <f ca="1">Start.listina!P105</f>
        <v xml:space="preserve"> </v>
      </c>
      <c r="C291" s="170" t="str">
        <f ca="1">Start.listina!Q105</f>
        <v xml:space="preserve"> </v>
      </c>
      <c r="D291" s="170" t="str">
        <f ca="1">Start.listina!R105</f>
        <v xml:space="preserve"> </v>
      </c>
      <c r="E291" s="170">
        <f ca="1">Start.listina!S105</f>
        <v>9999</v>
      </c>
      <c r="F291" s="170">
        <f ca="1">Start.listina!T105</f>
        <v>0</v>
      </c>
      <c r="G291" s="161"/>
    </row>
    <row r="292" spans="1:7">
      <c r="A292" s="170" t="str">
        <f ca="1">Start.listina!O106</f>
        <v/>
      </c>
      <c r="B292" s="171" t="str">
        <f ca="1">Start.listina!P106</f>
        <v xml:space="preserve"> </v>
      </c>
      <c r="C292" s="170" t="str">
        <f ca="1">Start.listina!Q106</f>
        <v xml:space="preserve"> </v>
      </c>
      <c r="D292" s="170" t="str">
        <f ca="1">Start.listina!R106</f>
        <v xml:space="preserve"> </v>
      </c>
      <c r="E292" s="170">
        <f ca="1">Start.listina!S106</f>
        <v>9999</v>
      </c>
      <c r="F292" s="170">
        <f ca="1">Start.listina!T106</f>
        <v>0</v>
      </c>
      <c r="G292" s="161"/>
    </row>
    <row r="293" spans="1:7">
      <c r="A293" s="170" t="str">
        <f ca="1">Start.listina!O107</f>
        <v/>
      </c>
      <c r="B293" s="171" t="str">
        <f ca="1">Start.listina!P107</f>
        <v xml:space="preserve"> </v>
      </c>
      <c r="C293" s="170" t="str">
        <f ca="1">Start.listina!Q107</f>
        <v xml:space="preserve"> </v>
      </c>
      <c r="D293" s="170" t="str">
        <f ca="1">Start.listina!R107</f>
        <v xml:space="preserve"> </v>
      </c>
      <c r="E293" s="170">
        <f ca="1">Start.listina!S107</f>
        <v>9999</v>
      </c>
      <c r="F293" s="170">
        <f ca="1">Start.listina!T107</f>
        <v>0</v>
      </c>
      <c r="G293" s="161"/>
    </row>
    <row r="294" spans="1:7">
      <c r="A294" s="170" t="str">
        <f ca="1">Start.listina!O108</f>
        <v/>
      </c>
      <c r="B294" s="171" t="str">
        <f ca="1">Start.listina!P108</f>
        <v xml:space="preserve"> </v>
      </c>
      <c r="C294" s="170" t="str">
        <f ca="1">Start.listina!Q108</f>
        <v xml:space="preserve"> </v>
      </c>
      <c r="D294" s="170" t="str">
        <f ca="1">Start.listina!R108</f>
        <v xml:space="preserve"> </v>
      </c>
      <c r="E294" s="170">
        <f ca="1">Start.listina!S108</f>
        <v>9999</v>
      </c>
      <c r="F294" s="170">
        <f ca="1">Start.listina!T108</f>
        <v>0</v>
      </c>
      <c r="G294" s="161"/>
    </row>
    <row r="295" spans="1:7">
      <c r="A295" s="170" t="str">
        <f ca="1">Start.listina!O109</f>
        <v/>
      </c>
      <c r="B295" s="171" t="str">
        <f ca="1">Start.listina!P109</f>
        <v xml:space="preserve"> </v>
      </c>
      <c r="C295" s="170" t="str">
        <f ca="1">Start.listina!Q109</f>
        <v xml:space="preserve"> </v>
      </c>
      <c r="D295" s="170" t="str">
        <f ca="1">Start.listina!R109</f>
        <v xml:space="preserve"> </v>
      </c>
      <c r="E295" s="170">
        <f ca="1">Start.listina!S109</f>
        <v>9999</v>
      </c>
      <c r="F295" s="170">
        <f ca="1">Start.listina!T109</f>
        <v>0</v>
      </c>
      <c r="G295" s="161"/>
    </row>
    <row r="296" spans="1:7">
      <c r="A296" s="170" t="str">
        <f ca="1">Start.listina!O110</f>
        <v/>
      </c>
      <c r="B296" s="171" t="str">
        <f ca="1">Start.listina!P110</f>
        <v xml:space="preserve"> </v>
      </c>
      <c r="C296" s="170" t="str">
        <f ca="1">Start.listina!Q110</f>
        <v xml:space="preserve"> </v>
      </c>
      <c r="D296" s="170" t="str">
        <f ca="1">Start.listina!R110</f>
        <v xml:space="preserve"> </v>
      </c>
      <c r="E296" s="170">
        <f ca="1">Start.listina!S110</f>
        <v>9999</v>
      </c>
      <c r="F296" s="170">
        <f ca="1">Start.listina!T110</f>
        <v>0</v>
      </c>
      <c r="G296" s="161"/>
    </row>
    <row r="297" spans="1:7">
      <c r="A297" s="170" t="str">
        <f ca="1">Start.listina!O111</f>
        <v/>
      </c>
      <c r="B297" s="171" t="str">
        <f ca="1">Start.listina!P111</f>
        <v xml:space="preserve"> </v>
      </c>
      <c r="C297" s="170" t="str">
        <f ca="1">Start.listina!Q111</f>
        <v xml:space="preserve"> </v>
      </c>
      <c r="D297" s="170" t="str">
        <f ca="1">Start.listina!R111</f>
        <v xml:space="preserve"> </v>
      </c>
      <c r="E297" s="170">
        <f ca="1">Start.listina!S111</f>
        <v>9999</v>
      </c>
      <c r="F297" s="170">
        <f ca="1">Start.listina!T111</f>
        <v>0</v>
      </c>
      <c r="G297" s="161"/>
    </row>
    <row r="298" spans="1:7">
      <c r="A298" s="170" t="str">
        <f ca="1">Start.listina!O112</f>
        <v/>
      </c>
      <c r="B298" s="171" t="str">
        <f ca="1">Start.listina!P112</f>
        <v xml:space="preserve"> </v>
      </c>
      <c r="C298" s="170" t="str">
        <f ca="1">Start.listina!Q112</f>
        <v xml:space="preserve"> </v>
      </c>
      <c r="D298" s="170" t="str">
        <f ca="1">Start.listina!R112</f>
        <v xml:space="preserve"> </v>
      </c>
      <c r="E298" s="170">
        <f ca="1">Start.listina!S112</f>
        <v>9999</v>
      </c>
      <c r="F298" s="170">
        <f ca="1">Start.listina!T112</f>
        <v>0</v>
      </c>
      <c r="G298" s="161"/>
    </row>
    <row r="299" spans="1:7">
      <c r="A299" s="170" t="str">
        <f ca="1">Start.listina!O113</f>
        <v/>
      </c>
      <c r="B299" s="171" t="str">
        <f ca="1">Start.listina!P113</f>
        <v xml:space="preserve"> </v>
      </c>
      <c r="C299" s="170" t="str">
        <f ca="1">Start.listina!Q113</f>
        <v xml:space="preserve"> </v>
      </c>
      <c r="D299" s="170" t="str">
        <f ca="1">Start.listina!R113</f>
        <v xml:space="preserve"> </v>
      </c>
      <c r="E299" s="170">
        <f ca="1">Start.listina!S113</f>
        <v>9999</v>
      </c>
      <c r="F299" s="170">
        <f ca="1">Start.listina!T113</f>
        <v>0</v>
      </c>
      <c r="G299" s="161"/>
    </row>
    <row r="300" spans="1:7">
      <c r="A300" s="170" t="str">
        <f ca="1">Start.listina!O114</f>
        <v/>
      </c>
      <c r="B300" s="171" t="str">
        <f ca="1">Start.listina!P114</f>
        <v xml:space="preserve"> </v>
      </c>
      <c r="C300" s="170" t="str">
        <f ca="1">Start.listina!Q114</f>
        <v xml:space="preserve"> </v>
      </c>
      <c r="D300" s="170" t="str">
        <f ca="1">Start.listina!R114</f>
        <v xml:space="preserve"> </v>
      </c>
      <c r="E300" s="170">
        <f ca="1">Start.listina!S114</f>
        <v>9999</v>
      </c>
      <c r="F300" s="170">
        <f ca="1">Start.listina!T114</f>
        <v>0</v>
      </c>
      <c r="G300" s="161"/>
    </row>
    <row r="301" spans="1:7">
      <c r="A301" s="170" t="str">
        <f ca="1">Start.listina!O115</f>
        <v/>
      </c>
      <c r="B301" s="171" t="str">
        <f ca="1">Start.listina!P115</f>
        <v xml:space="preserve"> </v>
      </c>
      <c r="C301" s="170" t="str">
        <f ca="1">Start.listina!Q115</f>
        <v xml:space="preserve"> </v>
      </c>
      <c r="D301" s="170" t="str">
        <f ca="1">Start.listina!R115</f>
        <v xml:space="preserve"> </v>
      </c>
      <c r="E301" s="170">
        <f ca="1">Start.listina!S115</f>
        <v>9999</v>
      </c>
      <c r="F301" s="170">
        <f ca="1">Start.listina!T115</f>
        <v>0</v>
      </c>
      <c r="G301" s="161"/>
    </row>
    <row r="302" spans="1:7">
      <c r="A302" s="170" t="str">
        <f ca="1">Start.listina!O116</f>
        <v/>
      </c>
      <c r="B302" s="171" t="str">
        <f ca="1">Start.listina!P116</f>
        <v xml:space="preserve"> </v>
      </c>
      <c r="C302" s="170" t="str">
        <f ca="1">Start.listina!Q116</f>
        <v xml:space="preserve"> </v>
      </c>
      <c r="D302" s="170" t="str">
        <f ca="1">Start.listina!R116</f>
        <v xml:space="preserve"> </v>
      </c>
      <c r="E302" s="170">
        <f ca="1">Start.listina!S116</f>
        <v>9999</v>
      </c>
      <c r="F302" s="170">
        <f ca="1">Start.listina!T116</f>
        <v>0</v>
      </c>
      <c r="G302" s="161"/>
    </row>
    <row r="303" spans="1:7">
      <c r="A303" s="170" t="str">
        <f ca="1">Start.listina!O117</f>
        <v/>
      </c>
      <c r="B303" s="171" t="str">
        <f ca="1">Start.listina!P117</f>
        <v xml:space="preserve"> </v>
      </c>
      <c r="C303" s="170" t="str">
        <f ca="1">Start.listina!Q117</f>
        <v xml:space="preserve"> </v>
      </c>
      <c r="D303" s="170" t="str">
        <f ca="1">Start.listina!R117</f>
        <v xml:space="preserve"> </v>
      </c>
      <c r="E303" s="170">
        <f ca="1">Start.listina!S117</f>
        <v>9999</v>
      </c>
      <c r="F303" s="170">
        <f ca="1">Start.listina!T117</f>
        <v>0</v>
      </c>
      <c r="G303" s="161"/>
    </row>
    <row r="304" spans="1:7">
      <c r="A304" s="170" t="str">
        <f ca="1">Start.listina!O118</f>
        <v/>
      </c>
      <c r="B304" s="171" t="str">
        <f ca="1">Start.listina!P118</f>
        <v xml:space="preserve"> </v>
      </c>
      <c r="C304" s="170" t="str">
        <f ca="1">Start.listina!Q118</f>
        <v xml:space="preserve"> </v>
      </c>
      <c r="D304" s="170" t="str">
        <f ca="1">Start.listina!R118</f>
        <v xml:space="preserve"> </v>
      </c>
      <c r="E304" s="170">
        <f ca="1">Start.listina!S118</f>
        <v>9999</v>
      </c>
      <c r="F304" s="170">
        <f ca="1">Start.listina!T118</f>
        <v>0</v>
      </c>
      <c r="G304" s="161"/>
    </row>
    <row r="305" spans="1:7">
      <c r="A305" s="170" t="str">
        <f ca="1">Start.listina!O119</f>
        <v/>
      </c>
      <c r="B305" s="171" t="str">
        <f ca="1">Start.listina!P119</f>
        <v xml:space="preserve"> </v>
      </c>
      <c r="C305" s="170" t="str">
        <f ca="1">Start.listina!Q119</f>
        <v xml:space="preserve"> </v>
      </c>
      <c r="D305" s="170" t="str">
        <f ca="1">Start.listina!R119</f>
        <v xml:space="preserve"> </v>
      </c>
      <c r="E305" s="170">
        <f ca="1">Start.listina!S119</f>
        <v>9999</v>
      </c>
      <c r="F305" s="170">
        <f ca="1">Start.listina!T119</f>
        <v>0</v>
      </c>
      <c r="G305" s="161"/>
    </row>
    <row r="306" spans="1:7">
      <c r="A306" s="170" t="str">
        <f ca="1">Start.listina!O120</f>
        <v/>
      </c>
      <c r="B306" s="171" t="str">
        <f ca="1">Start.listina!P120</f>
        <v xml:space="preserve"> </v>
      </c>
      <c r="C306" s="170" t="str">
        <f ca="1">Start.listina!Q120</f>
        <v xml:space="preserve"> </v>
      </c>
      <c r="D306" s="170" t="str">
        <f ca="1">Start.listina!R120</f>
        <v xml:space="preserve"> </v>
      </c>
      <c r="E306" s="170">
        <f ca="1">Start.listina!S120</f>
        <v>9999</v>
      </c>
      <c r="F306" s="170">
        <f ca="1">Start.listina!T120</f>
        <v>0</v>
      </c>
      <c r="G306" s="161"/>
    </row>
    <row r="307" spans="1:7">
      <c r="A307" s="170" t="str">
        <f ca="1">Start.listina!O121</f>
        <v/>
      </c>
      <c r="B307" s="171" t="str">
        <f ca="1">Start.listina!P121</f>
        <v xml:space="preserve"> </v>
      </c>
      <c r="C307" s="170" t="str">
        <f ca="1">Start.listina!Q121</f>
        <v xml:space="preserve"> </v>
      </c>
      <c r="D307" s="170" t="str">
        <f ca="1">Start.listina!R121</f>
        <v xml:space="preserve"> </v>
      </c>
      <c r="E307" s="170">
        <f ca="1">Start.listina!S121</f>
        <v>9999</v>
      </c>
      <c r="F307" s="170">
        <f ca="1">Start.listina!T121</f>
        <v>0</v>
      </c>
      <c r="G307" s="161"/>
    </row>
    <row r="308" spans="1:7">
      <c r="A308" s="170" t="str">
        <f ca="1">Start.listina!O122</f>
        <v/>
      </c>
      <c r="B308" s="171" t="str">
        <f ca="1">Start.listina!P122</f>
        <v xml:space="preserve"> </v>
      </c>
      <c r="C308" s="170" t="str">
        <f ca="1">Start.listina!Q122</f>
        <v xml:space="preserve"> </v>
      </c>
      <c r="D308" s="170" t="str">
        <f ca="1">Start.listina!R122</f>
        <v xml:space="preserve"> </v>
      </c>
      <c r="E308" s="170">
        <f ca="1">Start.listina!S122</f>
        <v>9999</v>
      </c>
      <c r="F308" s="170">
        <f ca="1">Start.listina!T122</f>
        <v>0</v>
      </c>
      <c r="G308" s="161"/>
    </row>
    <row r="309" spans="1:7">
      <c r="A309" s="170" t="str">
        <f ca="1">Start.listina!O123</f>
        <v/>
      </c>
      <c r="B309" s="171" t="str">
        <f ca="1">Start.listina!P123</f>
        <v xml:space="preserve"> </v>
      </c>
      <c r="C309" s="170" t="str">
        <f ca="1">Start.listina!Q123</f>
        <v xml:space="preserve"> </v>
      </c>
      <c r="D309" s="170" t="str">
        <f ca="1">Start.listina!R123</f>
        <v xml:space="preserve"> </v>
      </c>
      <c r="E309" s="170">
        <f ca="1">Start.listina!S123</f>
        <v>9999</v>
      </c>
      <c r="F309" s="170">
        <f ca="1">Start.listina!T123</f>
        <v>0</v>
      </c>
      <c r="G309" s="161"/>
    </row>
    <row r="310" spans="1:7">
      <c r="A310" s="170" t="str">
        <f ca="1">Start.listina!O124</f>
        <v/>
      </c>
      <c r="B310" s="171" t="str">
        <f ca="1">Start.listina!P124</f>
        <v xml:space="preserve"> </v>
      </c>
      <c r="C310" s="170" t="str">
        <f ca="1">Start.listina!Q124</f>
        <v xml:space="preserve"> </v>
      </c>
      <c r="D310" s="170" t="str">
        <f ca="1">Start.listina!R124</f>
        <v xml:space="preserve"> </v>
      </c>
      <c r="E310" s="170">
        <f ca="1">Start.listina!S124</f>
        <v>9999</v>
      </c>
      <c r="F310" s="170">
        <f ca="1">Start.listina!T124</f>
        <v>0</v>
      </c>
      <c r="G310" s="161"/>
    </row>
    <row r="311" spans="1:7">
      <c r="A311" s="170" t="str">
        <f ca="1">Start.listina!O125</f>
        <v/>
      </c>
      <c r="B311" s="171" t="str">
        <f ca="1">Start.listina!P125</f>
        <v xml:space="preserve"> </v>
      </c>
      <c r="C311" s="170" t="str">
        <f ca="1">Start.listina!Q125</f>
        <v xml:space="preserve"> </v>
      </c>
      <c r="D311" s="170" t="str">
        <f ca="1">Start.listina!R125</f>
        <v xml:space="preserve"> </v>
      </c>
      <c r="E311" s="170">
        <f ca="1">Start.listina!S125</f>
        <v>9999</v>
      </c>
      <c r="F311" s="170">
        <f ca="1">Start.listina!T125</f>
        <v>0</v>
      </c>
      <c r="G311" s="161"/>
    </row>
    <row r="312" spans="1:7">
      <c r="A312" s="170" t="str">
        <f ca="1">Start.listina!O126</f>
        <v/>
      </c>
      <c r="B312" s="171" t="str">
        <f ca="1">Start.listina!P126</f>
        <v xml:space="preserve"> </v>
      </c>
      <c r="C312" s="170" t="str">
        <f ca="1">Start.listina!Q126</f>
        <v xml:space="preserve"> </v>
      </c>
      <c r="D312" s="170" t="str">
        <f ca="1">Start.listina!R126</f>
        <v xml:space="preserve"> </v>
      </c>
      <c r="E312" s="170">
        <f ca="1">Start.listina!S126</f>
        <v>9999</v>
      </c>
      <c r="F312" s="170">
        <f ca="1">Start.listina!T126</f>
        <v>0</v>
      </c>
      <c r="G312" s="161"/>
    </row>
    <row r="313" spans="1:7">
      <c r="A313" s="170" t="str">
        <f ca="1">Start.listina!O127</f>
        <v/>
      </c>
      <c r="B313" s="171" t="str">
        <f ca="1">Start.listina!P127</f>
        <v xml:space="preserve"> </v>
      </c>
      <c r="C313" s="170" t="str">
        <f ca="1">Start.listina!Q127</f>
        <v xml:space="preserve"> </v>
      </c>
      <c r="D313" s="170" t="str">
        <f ca="1">Start.listina!R127</f>
        <v xml:space="preserve"> </v>
      </c>
      <c r="E313" s="170">
        <f ca="1">Start.listina!S127</f>
        <v>9999</v>
      </c>
      <c r="F313" s="170">
        <f ca="1">Start.listina!T127</f>
        <v>0</v>
      </c>
      <c r="G313" s="161"/>
    </row>
    <row r="314" spans="1:7">
      <c r="A314" s="170" t="str">
        <f ca="1">Start.listina!O128</f>
        <v/>
      </c>
      <c r="B314" s="171" t="str">
        <f ca="1">Start.listina!P128</f>
        <v xml:space="preserve"> </v>
      </c>
      <c r="C314" s="170" t="str">
        <f ca="1">Start.listina!Q128</f>
        <v xml:space="preserve"> </v>
      </c>
      <c r="D314" s="170" t="str">
        <f ca="1">Start.listina!R128</f>
        <v xml:space="preserve"> </v>
      </c>
      <c r="E314" s="170">
        <f ca="1">Start.listina!S128</f>
        <v>9999</v>
      </c>
      <c r="F314" s="170">
        <f ca="1">Start.listina!T128</f>
        <v>0</v>
      </c>
      <c r="G314" s="161"/>
    </row>
    <row r="315" spans="1:7">
      <c r="A315" s="170" t="str">
        <f ca="1">Start.listina!O129</f>
        <v/>
      </c>
      <c r="B315" s="171" t="str">
        <f ca="1">Start.listina!P129</f>
        <v xml:space="preserve"> </v>
      </c>
      <c r="C315" s="170" t="str">
        <f ca="1">Start.listina!Q129</f>
        <v xml:space="preserve"> </v>
      </c>
      <c r="D315" s="170" t="str">
        <f ca="1">Start.listina!R129</f>
        <v xml:space="preserve"> </v>
      </c>
      <c r="E315" s="170">
        <f ca="1">Start.listina!S129</f>
        <v>9999</v>
      </c>
      <c r="F315" s="170">
        <f ca="1">Start.listina!T129</f>
        <v>0</v>
      </c>
      <c r="G315" s="161"/>
    </row>
    <row r="316" spans="1:7">
      <c r="A316" s="170" t="str">
        <f ca="1">Start.listina!O130</f>
        <v/>
      </c>
      <c r="B316" s="171" t="str">
        <f ca="1">Start.listina!P130</f>
        <v xml:space="preserve"> </v>
      </c>
      <c r="C316" s="170" t="str">
        <f ca="1">Start.listina!Q130</f>
        <v xml:space="preserve"> </v>
      </c>
      <c r="D316" s="170" t="str">
        <f ca="1">Start.listina!R130</f>
        <v xml:space="preserve"> </v>
      </c>
      <c r="E316" s="170">
        <f ca="1">Start.listina!S130</f>
        <v>9999</v>
      </c>
      <c r="F316" s="170">
        <f ca="1">Start.listina!T130</f>
        <v>0</v>
      </c>
      <c r="G316" s="161"/>
    </row>
    <row r="317" spans="1:7">
      <c r="A317" s="170" t="str">
        <f ca="1">Start.listina!O131</f>
        <v/>
      </c>
      <c r="B317" s="171" t="str">
        <f ca="1">Start.listina!P131</f>
        <v xml:space="preserve"> </v>
      </c>
      <c r="C317" s="170" t="str">
        <f ca="1">Start.listina!Q131</f>
        <v xml:space="preserve"> </v>
      </c>
      <c r="D317" s="170" t="str">
        <f ca="1">Start.listina!R131</f>
        <v xml:space="preserve"> </v>
      </c>
      <c r="E317" s="170">
        <f ca="1">Start.listina!S131</f>
        <v>9999</v>
      </c>
      <c r="F317" s="170">
        <f ca="1">Start.listina!T131</f>
        <v>0</v>
      </c>
      <c r="G317" s="161"/>
    </row>
    <row r="318" spans="1:7">
      <c r="A318" s="170" t="str">
        <f ca="1">Start.listina!O132</f>
        <v/>
      </c>
      <c r="B318" s="171" t="str">
        <f ca="1">Start.listina!P132</f>
        <v xml:space="preserve"> </v>
      </c>
      <c r="C318" s="170" t="str">
        <f ca="1">Start.listina!Q132</f>
        <v xml:space="preserve"> </v>
      </c>
      <c r="D318" s="170" t="str">
        <f ca="1">Start.listina!R132</f>
        <v xml:space="preserve"> </v>
      </c>
      <c r="E318" s="170">
        <f ca="1">Start.listina!S132</f>
        <v>9999</v>
      </c>
      <c r="F318" s="170">
        <f ca="1">Start.listina!T132</f>
        <v>0</v>
      </c>
      <c r="G318" s="161"/>
    </row>
    <row r="319" spans="1:7">
      <c r="A319" s="170" t="str">
        <f ca="1">Start.listina!O133</f>
        <v/>
      </c>
      <c r="B319" s="171" t="str">
        <f ca="1">Start.listina!P133</f>
        <v xml:space="preserve"> </v>
      </c>
      <c r="C319" s="170" t="str">
        <f ca="1">Start.listina!Q133</f>
        <v xml:space="preserve"> </v>
      </c>
      <c r="D319" s="170" t="str">
        <f ca="1">Start.listina!R133</f>
        <v xml:space="preserve"> </v>
      </c>
      <c r="E319" s="170">
        <f ca="1">Start.listina!S133</f>
        <v>9999</v>
      </c>
      <c r="F319" s="170">
        <f ca="1">Start.listina!T133</f>
        <v>0</v>
      </c>
      <c r="G319" s="161"/>
    </row>
    <row r="320" spans="1:7">
      <c r="A320" s="170" t="str">
        <f ca="1">Start.listina!O134</f>
        <v/>
      </c>
      <c r="B320" s="171" t="str">
        <f ca="1">Start.listina!P134</f>
        <v xml:space="preserve"> </v>
      </c>
      <c r="C320" s="170" t="str">
        <f ca="1">Start.listina!Q134</f>
        <v xml:space="preserve"> </v>
      </c>
      <c r="D320" s="170" t="str">
        <f ca="1">Start.listina!R134</f>
        <v xml:space="preserve"> </v>
      </c>
      <c r="E320" s="170">
        <f ca="1">Start.listina!S134</f>
        <v>9999</v>
      </c>
      <c r="F320" s="170">
        <f ca="1">Start.listina!T134</f>
        <v>0</v>
      </c>
      <c r="G320" s="161"/>
    </row>
    <row r="321" spans="1:7">
      <c r="A321" s="170" t="str">
        <f ca="1">Start.listina!O135</f>
        <v/>
      </c>
      <c r="B321" s="171" t="str">
        <f ca="1">Start.listina!P135</f>
        <v xml:space="preserve"> </v>
      </c>
      <c r="C321" s="170" t="str">
        <f ca="1">Start.listina!Q135</f>
        <v xml:space="preserve"> </v>
      </c>
      <c r="D321" s="170" t="str">
        <f ca="1">Start.listina!R135</f>
        <v xml:space="preserve"> </v>
      </c>
      <c r="E321" s="170">
        <f ca="1">Start.listina!S135</f>
        <v>9999</v>
      </c>
      <c r="F321" s="170">
        <f ca="1">Start.listina!T135</f>
        <v>0</v>
      </c>
      <c r="G321" s="161"/>
    </row>
    <row r="322" spans="1:7">
      <c r="A322" s="170" t="str">
        <f ca="1">Start.listina!O136</f>
        <v/>
      </c>
      <c r="B322" s="171" t="str">
        <f ca="1">Start.listina!P136</f>
        <v xml:space="preserve"> </v>
      </c>
      <c r="C322" s="170" t="str">
        <f ca="1">Start.listina!Q136</f>
        <v xml:space="preserve"> </v>
      </c>
      <c r="D322" s="170" t="str">
        <f ca="1">Start.listina!R136</f>
        <v xml:space="preserve"> </v>
      </c>
      <c r="E322" s="170">
        <f ca="1">Start.listina!S136</f>
        <v>9999</v>
      </c>
      <c r="F322" s="170">
        <f ca="1">Start.listina!T136</f>
        <v>0</v>
      </c>
      <c r="G322" s="161"/>
    </row>
    <row r="323" spans="1:7">
      <c r="A323" s="170" t="str">
        <f ca="1">Start.listina!O137</f>
        <v/>
      </c>
      <c r="B323" s="171" t="str">
        <f ca="1">Start.listina!P137</f>
        <v xml:space="preserve"> </v>
      </c>
      <c r="C323" s="170" t="str">
        <f ca="1">Start.listina!Q137</f>
        <v xml:space="preserve"> </v>
      </c>
      <c r="D323" s="170" t="str">
        <f ca="1">Start.listina!R137</f>
        <v xml:space="preserve"> </v>
      </c>
      <c r="E323" s="170">
        <f ca="1">Start.listina!S137</f>
        <v>9999</v>
      </c>
      <c r="F323" s="170">
        <f ca="1">Start.listina!T137</f>
        <v>0</v>
      </c>
      <c r="G323" s="161"/>
    </row>
    <row r="324" spans="1:7">
      <c r="G324" s="161"/>
    </row>
    <row r="325" spans="1:7">
      <c r="G325" s="161"/>
    </row>
    <row r="326" spans="1:7">
      <c r="G326" s="161"/>
    </row>
    <row r="327" spans="1:7">
      <c r="A327" s="170" t="str">
        <f ca="1">Start.listina!O138</f>
        <v/>
      </c>
      <c r="B327" s="171" t="str">
        <f ca="1">Start.listina!P138</f>
        <v xml:space="preserve"> </v>
      </c>
      <c r="C327" s="170" t="str">
        <f ca="1">Start.listina!Q138</f>
        <v xml:space="preserve"> </v>
      </c>
      <c r="D327" s="170" t="str">
        <f ca="1">Start.listina!R138</f>
        <v xml:space="preserve"> </v>
      </c>
      <c r="E327" s="170">
        <f ca="1">Start.listina!S138</f>
        <v>9999</v>
      </c>
      <c r="F327" s="170">
        <f ca="1">Start.listina!T138</f>
        <v>0</v>
      </c>
      <c r="G327" s="161"/>
    </row>
    <row r="328" spans="1:7">
      <c r="A328" s="170" t="str">
        <f ca="1">Start.listina!O139</f>
        <v/>
      </c>
      <c r="B328" s="171" t="str">
        <f ca="1">Start.listina!P139</f>
        <v xml:space="preserve"> </v>
      </c>
      <c r="C328" s="170" t="str">
        <f ca="1">Start.listina!Q139</f>
        <v xml:space="preserve"> </v>
      </c>
      <c r="D328" s="170" t="str">
        <f ca="1">Start.listina!R139</f>
        <v xml:space="preserve"> </v>
      </c>
      <c r="E328" s="170">
        <f ca="1">Start.listina!S139</f>
        <v>9999</v>
      </c>
      <c r="F328" s="170">
        <f ca="1">Start.listina!T139</f>
        <v>0</v>
      </c>
      <c r="G328" s="161"/>
    </row>
    <row r="329" spans="1:7">
      <c r="A329" s="170" t="str">
        <f ca="1">Start.listina!O140</f>
        <v/>
      </c>
      <c r="B329" s="171" t="str">
        <f ca="1">Start.listina!P140</f>
        <v xml:space="preserve"> </v>
      </c>
      <c r="C329" s="170" t="str">
        <f ca="1">Start.listina!Q140</f>
        <v xml:space="preserve"> </v>
      </c>
      <c r="D329" s="170" t="str">
        <f ca="1">Start.listina!R140</f>
        <v xml:space="preserve"> </v>
      </c>
      <c r="E329" s="170">
        <f ca="1">Start.listina!S140</f>
        <v>9999</v>
      </c>
      <c r="F329" s="170">
        <f ca="1">Start.listina!T140</f>
        <v>0</v>
      </c>
      <c r="G329" s="161"/>
    </row>
    <row r="330" spans="1:7">
      <c r="A330" s="170" t="str">
        <f ca="1">Start.listina!O141</f>
        <v/>
      </c>
      <c r="B330" s="171" t="str">
        <f ca="1">Start.listina!P141</f>
        <v xml:space="preserve"> </v>
      </c>
      <c r="C330" s="170" t="str">
        <f ca="1">Start.listina!Q141</f>
        <v xml:space="preserve"> </v>
      </c>
      <c r="D330" s="170" t="str">
        <f ca="1">Start.listina!R141</f>
        <v xml:space="preserve"> </v>
      </c>
      <c r="E330" s="170">
        <f ca="1">Start.listina!S141</f>
        <v>9999</v>
      </c>
      <c r="F330" s="170">
        <f ca="1">Start.listina!T141</f>
        <v>0</v>
      </c>
      <c r="G330" s="161"/>
    </row>
    <row r="331" spans="1:7">
      <c r="A331" s="170" t="str">
        <f ca="1">Start.listina!O142</f>
        <v/>
      </c>
      <c r="B331" s="171" t="str">
        <f ca="1">Start.listina!P142</f>
        <v xml:space="preserve"> </v>
      </c>
      <c r="C331" s="170" t="str">
        <f ca="1">Start.listina!Q142</f>
        <v xml:space="preserve"> </v>
      </c>
      <c r="D331" s="170" t="str">
        <f ca="1">Start.listina!R142</f>
        <v xml:space="preserve"> </v>
      </c>
      <c r="E331" s="170">
        <f ca="1">Start.listina!S142</f>
        <v>9999</v>
      </c>
      <c r="F331" s="170">
        <f ca="1">Start.listina!T142</f>
        <v>0</v>
      </c>
      <c r="G331" s="161"/>
    </row>
    <row r="332" spans="1:7">
      <c r="A332" s="170" t="str">
        <f ca="1">Start.listina!O143</f>
        <v/>
      </c>
      <c r="B332" s="171" t="str">
        <f ca="1">Start.listina!P143</f>
        <v xml:space="preserve"> </v>
      </c>
      <c r="C332" s="170" t="str">
        <f ca="1">Start.listina!Q143</f>
        <v xml:space="preserve"> </v>
      </c>
      <c r="D332" s="170" t="str">
        <f ca="1">Start.listina!R143</f>
        <v xml:space="preserve"> </v>
      </c>
      <c r="E332" s="170">
        <f ca="1">Start.listina!S143</f>
        <v>9999</v>
      </c>
      <c r="F332" s="170">
        <f ca="1">Start.listina!T143</f>
        <v>0</v>
      </c>
      <c r="G332" s="161"/>
    </row>
    <row r="333" spans="1:7">
      <c r="A333" s="170" t="str">
        <f ca="1">Start.listina!O144</f>
        <v/>
      </c>
      <c r="B333" s="171" t="str">
        <f ca="1">Start.listina!P144</f>
        <v xml:space="preserve"> </v>
      </c>
      <c r="C333" s="170" t="str">
        <f ca="1">Start.listina!Q144</f>
        <v xml:space="preserve"> </v>
      </c>
      <c r="D333" s="170" t="str">
        <f ca="1">Start.listina!R144</f>
        <v xml:space="preserve"> </v>
      </c>
      <c r="E333" s="170">
        <f ca="1">Start.listina!S144</f>
        <v>9999</v>
      </c>
      <c r="F333" s="170">
        <f ca="1">Start.listina!T144</f>
        <v>0</v>
      </c>
      <c r="G333" s="161"/>
    </row>
    <row r="334" spans="1:7">
      <c r="A334" s="170" t="str">
        <f ca="1">Start.listina!O145</f>
        <v/>
      </c>
      <c r="B334" s="171" t="str">
        <f ca="1">Start.listina!P145</f>
        <v xml:space="preserve"> </v>
      </c>
      <c r="C334" s="170" t="str">
        <f ca="1">Start.listina!Q145</f>
        <v xml:space="preserve"> </v>
      </c>
      <c r="D334" s="170" t="str">
        <f ca="1">Start.listina!R145</f>
        <v xml:space="preserve"> </v>
      </c>
      <c r="E334" s="170">
        <f ca="1">Start.listina!S145</f>
        <v>9999</v>
      </c>
      <c r="F334" s="170">
        <f ca="1">Start.listina!T145</f>
        <v>0</v>
      </c>
      <c r="G334" s="161"/>
    </row>
    <row r="335" spans="1:7">
      <c r="A335" s="170" t="str">
        <f ca="1">Start.listina!O146</f>
        <v/>
      </c>
      <c r="B335" s="171" t="str">
        <f ca="1">Start.listina!P146</f>
        <v xml:space="preserve"> </v>
      </c>
      <c r="C335" s="170" t="str">
        <f ca="1">Start.listina!Q146</f>
        <v xml:space="preserve"> </v>
      </c>
      <c r="D335" s="170" t="str">
        <f ca="1">Start.listina!R146</f>
        <v xml:space="preserve"> </v>
      </c>
      <c r="E335" s="170">
        <f ca="1">Start.listina!S146</f>
        <v>9999</v>
      </c>
      <c r="F335" s="170">
        <f ca="1">Start.listina!T146</f>
        <v>0</v>
      </c>
      <c r="G335" s="161"/>
    </row>
    <row r="336" spans="1:7">
      <c r="A336" s="170" t="str">
        <f ca="1">Start.listina!O147</f>
        <v/>
      </c>
      <c r="B336" s="171" t="str">
        <f ca="1">Start.listina!P147</f>
        <v xml:space="preserve"> </v>
      </c>
      <c r="C336" s="170" t="str">
        <f ca="1">Start.listina!Q147</f>
        <v xml:space="preserve"> </v>
      </c>
      <c r="D336" s="170" t="str">
        <f ca="1">Start.listina!R147</f>
        <v xml:space="preserve"> </v>
      </c>
      <c r="E336" s="170">
        <f ca="1">Start.listina!S147</f>
        <v>9999</v>
      </c>
      <c r="F336" s="170">
        <f ca="1">Start.listina!T147</f>
        <v>0</v>
      </c>
      <c r="G336" s="161"/>
    </row>
    <row r="337" spans="1:7">
      <c r="A337" s="170" t="str">
        <f ca="1">Start.listina!O148</f>
        <v/>
      </c>
      <c r="B337" s="171" t="str">
        <f ca="1">Start.listina!P148</f>
        <v xml:space="preserve"> </v>
      </c>
      <c r="C337" s="170" t="str">
        <f ca="1">Start.listina!Q148</f>
        <v xml:space="preserve"> </v>
      </c>
      <c r="D337" s="170" t="str">
        <f ca="1">Start.listina!R148</f>
        <v xml:space="preserve"> </v>
      </c>
      <c r="E337" s="170">
        <f ca="1">Start.listina!S148</f>
        <v>9999</v>
      </c>
      <c r="F337" s="170">
        <f ca="1">Start.listina!T148</f>
        <v>0</v>
      </c>
      <c r="G337" s="161"/>
    </row>
    <row r="338" spans="1:7">
      <c r="A338" s="170" t="str">
        <f ca="1">Start.listina!O149</f>
        <v/>
      </c>
      <c r="B338" s="171" t="str">
        <f ca="1">Start.listina!P149</f>
        <v xml:space="preserve"> </v>
      </c>
      <c r="C338" s="170" t="str">
        <f ca="1">Start.listina!Q149</f>
        <v xml:space="preserve"> </v>
      </c>
      <c r="D338" s="170" t="str">
        <f ca="1">Start.listina!R149</f>
        <v xml:space="preserve"> </v>
      </c>
      <c r="E338" s="170">
        <f ca="1">Start.listina!S149</f>
        <v>9999</v>
      </c>
      <c r="F338" s="170">
        <f ca="1">Start.listina!T149</f>
        <v>0</v>
      </c>
      <c r="G338" s="161"/>
    </row>
    <row r="339" spans="1:7">
      <c r="A339" s="170" t="str">
        <f ca="1">Start.listina!O150</f>
        <v/>
      </c>
      <c r="B339" s="171" t="str">
        <f ca="1">Start.listina!P150</f>
        <v xml:space="preserve"> </v>
      </c>
      <c r="C339" s="170" t="str">
        <f ca="1">Start.listina!Q150</f>
        <v xml:space="preserve"> </v>
      </c>
      <c r="D339" s="170" t="str">
        <f ca="1">Start.listina!R150</f>
        <v xml:space="preserve"> </v>
      </c>
      <c r="E339" s="170">
        <f ca="1">Start.listina!S150</f>
        <v>9999</v>
      </c>
      <c r="F339" s="170">
        <f ca="1">Start.listina!T150</f>
        <v>0</v>
      </c>
      <c r="G339" s="161"/>
    </row>
    <row r="340" spans="1:7">
      <c r="A340" s="170" t="str">
        <f ca="1">Start.listina!O151</f>
        <v/>
      </c>
      <c r="B340" s="171" t="str">
        <f ca="1">Start.listina!P151</f>
        <v xml:space="preserve"> </v>
      </c>
      <c r="C340" s="170" t="str">
        <f ca="1">Start.listina!Q151</f>
        <v xml:space="preserve"> </v>
      </c>
      <c r="D340" s="170" t="str">
        <f ca="1">Start.listina!R151</f>
        <v xml:space="preserve"> </v>
      </c>
      <c r="E340" s="170">
        <f ca="1">Start.listina!S151</f>
        <v>9999</v>
      </c>
      <c r="F340" s="170">
        <f ca="1">Start.listina!T151</f>
        <v>0</v>
      </c>
      <c r="G340" s="161"/>
    </row>
    <row r="341" spans="1:7">
      <c r="A341" s="170" t="str">
        <f ca="1">Start.listina!O152</f>
        <v/>
      </c>
      <c r="B341" s="171" t="str">
        <f ca="1">Start.listina!P152</f>
        <v xml:space="preserve"> </v>
      </c>
      <c r="C341" s="170" t="str">
        <f ca="1">Start.listina!Q152</f>
        <v xml:space="preserve"> </v>
      </c>
      <c r="D341" s="170" t="str">
        <f ca="1">Start.listina!R152</f>
        <v xml:space="preserve"> </v>
      </c>
      <c r="E341" s="170">
        <f ca="1">Start.listina!S152</f>
        <v>9999</v>
      </c>
      <c r="F341" s="170">
        <f ca="1">Start.listina!T152</f>
        <v>0</v>
      </c>
      <c r="G341" s="161"/>
    </row>
    <row r="342" spans="1:7">
      <c r="A342" s="170" t="str">
        <f ca="1">Start.listina!O153</f>
        <v/>
      </c>
      <c r="B342" s="171" t="str">
        <f ca="1">Start.listina!P153</f>
        <v xml:space="preserve"> </v>
      </c>
      <c r="C342" s="170" t="str">
        <f ca="1">Start.listina!Q153</f>
        <v xml:space="preserve"> </v>
      </c>
      <c r="D342" s="170" t="str">
        <f ca="1">Start.listina!R153</f>
        <v xml:space="preserve"> </v>
      </c>
      <c r="E342" s="170">
        <f ca="1">Start.listina!S153</f>
        <v>9999</v>
      </c>
      <c r="F342" s="170">
        <f ca="1">Start.listina!T153</f>
        <v>0</v>
      </c>
      <c r="G342" s="161"/>
    </row>
    <row r="343" spans="1:7">
      <c r="A343" s="170" t="str">
        <f ca="1">Start.listina!O154</f>
        <v/>
      </c>
      <c r="B343" s="171" t="str">
        <f ca="1">Start.listina!P154</f>
        <v xml:space="preserve"> </v>
      </c>
      <c r="C343" s="170" t="str">
        <f ca="1">Start.listina!Q154</f>
        <v xml:space="preserve"> </v>
      </c>
      <c r="D343" s="170" t="str">
        <f ca="1">Start.listina!R154</f>
        <v xml:space="preserve"> </v>
      </c>
      <c r="E343" s="170">
        <f ca="1">Start.listina!S154</f>
        <v>9999</v>
      </c>
      <c r="F343" s="170">
        <f ca="1">Start.listina!T154</f>
        <v>0</v>
      </c>
      <c r="G343" s="161"/>
    </row>
    <row r="344" spans="1:7">
      <c r="A344" s="170" t="str">
        <f ca="1">Start.listina!O155</f>
        <v/>
      </c>
      <c r="B344" s="171" t="str">
        <f ca="1">Start.listina!P155</f>
        <v xml:space="preserve"> </v>
      </c>
      <c r="C344" s="170" t="str">
        <f ca="1">Start.listina!Q155</f>
        <v xml:space="preserve"> </v>
      </c>
      <c r="D344" s="170" t="str">
        <f ca="1">Start.listina!R155</f>
        <v xml:space="preserve"> </v>
      </c>
      <c r="E344" s="170">
        <f ca="1">Start.listina!S155</f>
        <v>9999</v>
      </c>
      <c r="F344" s="170">
        <f ca="1">Start.listina!T155</f>
        <v>0</v>
      </c>
      <c r="G344" s="161"/>
    </row>
    <row r="345" spans="1:7">
      <c r="A345" s="170" t="str">
        <f ca="1">Start.listina!O156</f>
        <v/>
      </c>
      <c r="B345" s="171" t="str">
        <f ca="1">Start.listina!P156</f>
        <v xml:space="preserve"> </v>
      </c>
      <c r="C345" s="170" t="str">
        <f ca="1">Start.listina!Q156</f>
        <v xml:space="preserve"> </v>
      </c>
      <c r="D345" s="170" t="str">
        <f ca="1">Start.listina!R156</f>
        <v xml:space="preserve"> </v>
      </c>
      <c r="E345" s="170">
        <f ca="1">Start.listina!S156</f>
        <v>9999</v>
      </c>
      <c r="F345" s="170">
        <f ca="1">Start.listina!T156</f>
        <v>0</v>
      </c>
      <c r="G345" s="161"/>
    </row>
    <row r="346" spans="1:7">
      <c r="A346" s="170" t="str">
        <f ca="1">Start.listina!O157</f>
        <v/>
      </c>
      <c r="B346" s="171" t="str">
        <f ca="1">Start.listina!P157</f>
        <v xml:space="preserve"> </v>
      </c>
      <c r="C346" s="170" t="str">
        <f ca="1">Start.listina!Q157</f>
        <v xml:space="preserve"> </v>
      </c>
      <c r="D346" s="170" t="str">
        <f ca="1">Start.listina!R157</f>
        <v xml:space="preserve"> </v>
      </c>
      <c r="E346" s="170">
        <f ca="1">Start.listina!S157</f>
        <v>9999</v>
      </c>
      <c r="F346" s="170">
        <f ca="1">Start.listina!T157</f>
        <v>0</v>
      </c>
      <c r="G346" s="161"/>
    </row>
    <row r="347" spans="1:7">
      <c r="A347" s="170" t="str">
        <f ca="1">Start.listina!O158</f>
        <v/>
      </c>
      <c r="B347" s="171" t="str">
        <f ca="1">Start.listina!P158</f>
        <v xml:space="preserve"> </v>
      </c>
      <c r="C347" s="170" t="str">
        <f ca="1">Start.listina!Q158</f>
        <v xml:space="preserve"> </v>
      </c>
      <c r="D347" s="170" t="str">
        <f ca="1">Start.listina!R158</f>
        <v xml:space="preserve"> </v>
      </c>
      <c r="E347" s="170">
        <f ca="1">Start.listina!S158</f>
        <v>9999</v>
      </c>
      <c r="F347" s="170">
        <f ca="1">Start.listina!T158</f>
        <v>0</v>
      </c>
      <c r="G347" s="161"/>
    </row>
    <row r="348" spans="1:7">
      <c r="A348" s="170" t="str">
        <f ca="1">Start.listina!O159</f>
        <v/>
      </c>
      <c r="B348" s="171" t="str">
        <f ca="1">Start.listina!P159</f>
        <v xml:space="preserve"> </v>
      </c>
      <c r="C348" s="170" t="str">
        <f ca="1">Start.listina!Q159</f>
        <v xml:space="preserve"> </v>
      </c>
      <c r="D348" s="170" t="str">
        <f ca="1">Start.listina!R159</f>
        <v xml:space="preserve"> </v>
      </c>
      <c r="E348" s="170">
        <f ca="1">Start.listina!S159</f>
        <v>9999</v>
      </c>
      <c r="F348" s="170">
        <f ca="1">Start.listina!T159</f>
        <v>0</v>
      </c>
      <c r="G348" s="161"/>
    </row>
    <row r="349" spans="1:7">
      <c r="A349" s="170" t="str">
        <f ca="1">Start.listina!O160</f>
        <v/>
      </c>
      <c r="B349" s="171" t="str">
        <f ca="1">Start.listina!P160</f>
        <v xml:space="preserve"> </v>
      </c>
      <c r="C349" s="170" t="str">
        <f ca="1">Start.listina!Q160</f>
        <v xml:space="preserve"> </v>
      </c>
      <c r="D349" s="170" t="str">
        <f ca="1">Start.listina!R160</f>
        <v xml:space="preserve"> </v>
      </c>
      <c r="E349" s="170">
        <f ca="1">Start.listina!S160</f>
        <v>9999</v>
      </c>
      <c r="F349" s="170">
        <f ca="1">Start.listina!T160</f>
        <v>0</v>
      </c>
      <c r="G349" s="161"/>
    </row>
    <row r="350" spans="1:7">
      <c r="A350" s="170" t="str">
        <f ca="1">Start.listina!O161</f>
        <v/>
      </c>
      <c r="B350" s="171" t="str">
        <f ca="1">Start.listina!P161</f>
        <v xml:space="preserve"> </v>
      </c>
      <c r="C350" s="170" t="str">
        <f ca="1">Start.listina!Q161</f>
        <v xml:space="preserve"> </v>
      </c>
      <c r="D350" s="170" t="str">
        <f ca="1">Start.listina!R161</f>
        <v xml:space="preserve"> </v>
      </c>
      <c r="E350" s="170">
        <f ca="1">Start.listina!S161</f>
        <v>9999</v>
      </c>
      <c r="F350" s="170">
        <f ca="1">Start.listina!T161</f>
        <v>0</v>
      </c>
      <c r="G350" s="161"/>
    </row>
    <row r="351" spans="1:7">
      <c r="A351" s="170" t="str">
        <f ca="1">Start.listina!O162</f>
        <v/>
      </c>
      <c r="B351" s="171" t="str">
        <f ca="1">Start.listina!P162</f>
        <v xml:space="preserve"> </v>
      </c>
      <c r="C351" s="170" t="str">
        <f ca="1">Start.listina!Q162</f>
        <v xml:space="preserve"> </v>
      </c>
      <c r="D351" s="170" t="str">
        <f ca="1">Start.listina!R162</f>
        <v xml:space="preserve"> </v>
      </c>
      <c r="E351" s="170">
        <f ca="1">Start.listina!S162</f>
        <v>9999</v>
      </c>
      <c r="F351" s="170">
        <f ca="1">Start.listina!T162</f>
        <v>0</v>
      </c>
      <c r="G351" s="161"/>
    </row>
    <row r="352" spans="1:7">
      <c r="A352" s="170" t="str">
        <f ca="1">Start.listina!O163</f>
        <v/>
      </c>
      <c r="B352" s="171" t="str">
        <f ca="1">Start.listina!P163</f>
        <v xml:space="preserve"> </v>
      </c>
      <c r="C352" s="170" t="str">
        <f ca="1">Start.listina!Q163</f>
        <v xml:space="preserve"> </v>
      </c>
      <c r="D352" s="170" t="str">
        <f ca="1">Start.listina!R163</f>
        <v xml:space="preserve"> </v>
      </c>
      <c r="E352" s="170">
        <f ca="1">Start.listina!S163</f>
        <v>9999</v>
      </c>
      <c r="F352" s="170">
        <f ca="1">Start.listina!T163</f>
        <v>0</v>
      </c>
      <c r="G352" s="161"/>
    </row>
    <row r="353" spans="1:7">
      <c r="A353" s="170" t="str">
        <f ca="1">Start.listina!O164</f>
        <v/>
      </c>
      <c r="B353" s="171" t="str">
        <f ca="1">Start.listina!P164</f>
        <v xml:space="preserve"> </v>
      </c>
      <c r="C353" s="170" t="str">
        <f ca="1">Start.listina!Q164</f>
        <v xml:space="preserve"> </v>
      </c>
      <c r="D353" s="170" t="str">
        <f ca="1">Start.listina!R164</f>
        <v xml:space="preserve"> </v>
      </c>
      <c r="E353" s="170">
        <f ca="1">Start.listina!S164</f>
        <v>9999</v>
      </c>
      <c r="F353" s="170">
        <f ca="1">Start.listina!T164</f>
        <v>0</v>
      </c>
      <c r="G353" s="161"/>
    </row>
    <row r="354" spans="1:7">
      <c r="A354" s="170" t="str">
        <f ca="1">Start.listina!O165</f>
        <v/>
      </c>
      <c r="B354" s="171" t="str">
        <f ca="1">Start.listina!P165</f>
        <v xml:space="preserve"> </v>
      </c>
      <c r="C354" s="170" t="str">
        <f ca="1">Start.listina!Q165</f>
        <v xml:space="preserve"> </v>
      </c>
      <c r="D354" s="170" t="str">
        <f ca="1">Start.listina!R165</f>
        <v xml:space="preserve"> </v>
      </c>
      <c r="E354" s="170">
        <f ca="1">Start.listina!S165</f>
        <v>9999</v>
      </c>
      <c r="F354" s="170">
        <f ca="1">Start.listina!T165</f>
        <v>0</v>
      </c>
      <c r="G354" s="161"/>
    </row>
    <row r="355" spans="1:7">
      <c r="A355" s="170" t="str">
        <f ca="1">Start.listina!O166</f>
        <v/>
      </c>
      <c r="B355" s="171" t="str">
        <f ca="1">Start.listina!P166</f>
        <v xml:space="preserve"> </v>
      </c>
      <c r="C355" s="170" t="str">
        <f ca="1">Start.listina!Q166</f>
        <v xml:space="preserve"> </v>
      </c>
      <c r="D355" s="170" t="str">
        <f ca="1">Start.listina!R166</f>
        <v xml:space="preserve"> </v>
      </c>
      <c r="E355" s="170">
        <f ca="1">Start.listina!S166</f>
        <v>9999</v>
      </c>
      <c r="F355" s="170">
        <f ca="1">Start.listina!T166</f>
        <v>0</v>
      </c>
      <c r="G355" s="161"/>
    </row>
    <row r="356" spans="1:7">
      <c r="A356" s="170" t="str">
        <f ca="1">Start.listina!O167</f>
        <v/>
      </c>
      <c r="B356" s="171" t="str">
        <f ca="1">Start.listina!P167</f>
        <v xml:space="preserve"> </v>
      </c>
      <c r="C356" s="170" t="str">
        <f ca="1">Start.listina!Q167</f>
        <v xml:space="preserve"> </v>
      </c>
      <c r="D356" s="170" t="str">
        <f ca="1">Start.listina!R167</f>
        <v xml:space="preserve"> </v>
      </c>
      <c r="E356" s="170">
        <f ca="1">Start.listina!S167</f>
        <v>9999</v>
      </c>
      <c r="F356" s="170">
        <f ca="1">Start.listina!T167</f>
        <v>0</v>
      </c>
      <c r="G356" s="161"/>
    </row>
    <row r="357" spans="1:7">
      <c r="A357" s="170" t="str">
        <f ca="1">Start.listina!O168</f>
        <v/>
      </c>
      <c r="B357" s="171" t="str">
        <f ca="1">Start.listina!P168</f>
        <v xml:space="preserve"> </v>
      </c>
      <c r="C357" s="170" t="str">
        <f ca="1">Start.listina!Q168</f>
        <v xml:space="preserve"> </v>
      </c>
      <c r="D357" s="170" t="str">
        <f ca="1">Start.listina!R168</f>
        <v xml:space="preserve"> </v>
      </c>
      <c r="E357" s="170">
        <f ca="1">Start.listina!S168</f>
        <v>9999</v>
      </c>
      <c r="F357" s="170">
        <f ca="1">Start.listina!T168</f>
        <v>0</v>
      </c>
      <c r="G357" s="161"/>
    </row>
    <row r="358" spans="1:7">
      <c r="A358" s="170" t="str">
        <f ca="1">Start.listina!O169</f>
        <v/>
      </c>
      <c r="B358" s="171" t="str">
        <f ca="1">Start.listina!P169</f>
        <v xml:space="preserve"> </v>
      </c>
      <c r="C358" s="170" t="str">
        <f ca="1">Start.listina!Q169</f>
        <v xml:space="preserve"> </v>
      </c>
      <c r="D358" s="170" t="str">
        <f ca="1">Start.listina!R169</f>
        <v xml:space="preserve"> </v>
      </c>
      <c r="E358" s="170">
        <f ca="1">Start.listina!S169</f>
        <v>9999</v>
      </c>
      <c r="F358" s="170">
        <f ca="1">Start.listina!T169</f>
        <v>0</v>
      </c>
      <c r="G358" s="161"/>
    </row>
    <row r="359" spans="1:7">
      <c r="A359" s="170" t="str">
        <f ca="1">Start.listina!O170</f>
        <v/>
      </c>
      <c r="B359" s="171" t="str">
        <f ca="1">Start.listina!P170</f>
        <v xml:space="preserve"> </v>
      </c>
      <c r="C359" s="170" t="str">
        <f ca="1">Start.listina!Q170</f>
        <v xml:space="preserve"> </v>
      </c>
      <c r="D359" s="170" t="str">
        <f ca="1">Start.listina!R170</f>
        <v xml:space="preserve"> </v>
      </c>
      <c r="E359" s="170">
        <f ca="1">Start.listina!S170</f>
        <v>9999</v>
      </c>
      <c r="F359" s="170">
        <f ca="1">Start.listina!T170</f>
        <v>0</v>
      </c>
      <c r="G359" s="161"/>
    </row>
    <row r="360" spans="1:7">
      <c r="A360" s="170" t="str">
        <f ca="1">Start.listina!O171</f>
        <v/>
      </c>
      <c r="B360" s="171" t="str">
        <f ca="1">Start.listina!P171</f>
        <v xml:space="preserve"> </v>
      </c>
      <c r="C360" s="170" t="str">
        <f ca="1">Start.listina!Q171</f>
        <v xml:space="preserve"> </v>
      </c>
      <c r="D360" s="170" t="str">
        <f ca="1">Start.listina!R171</f>
        <v xml:space="preserve"> </v>
      </c>
      <c r="E360" s="170">
        <f ca="1">Start.listina!S171</f>
        <v>9999</v>
      </c>
      <c r="F360" s="170">
        <f ca="1">Start.listina!T171</f>
        <v>0</v>
      </c>
      <c r="G360" s="161"/>
    </row>
    <row r="361" spans="1:7">
      <c r="A361" s="170" t="str">
        <f ca="1">Start.listina!O172</f>
        <v/>
      </c>
      <c r="B361" s="171" t="str">
        <f ca="1">Start.listina!P172</f>
        <v xml:space="preserve"> </v>
      </c>
      <c r="C361" s="170" t="str">
        <f ca="1">Start.listina!Q172</f>
        <v xml:space="preserve"> </v>
      </c>
      <c r="D361" s="170" t="str">
        <f ca="1">Start.listina!R172</f>
        <v xml:space="preserve"> </v>
      </c>
      <c r="E361" s="170">
        <f ca="1">Start.listina!S172</f>
        <v>9999</v>
      </c>
      <c r="F361" s="170">
        <f ca="1">Start.listina!T172</f>
        <v>0</v>
      </c>
      <c r="G361" s="161"/>
    </row>
    <row r="362" spans="1:7">
      <c r="A362" s="170" t="str">
        <f ca="1">Start.listina!O173</f>
        <v/>
      </c>
      <c r="B362" s="171" t="str">
        <f ca="1">Start.listina!P173</f>
        <v xml:space="preserve"> </v>
      </c>
      <c r="C362" s="170" t="str">
        <f ca="1">Start.listina!Q173</f>
        <v xml:space="preserve"> </v>
      </c>
      <c r="D362" s="170" t="str">
        <f ca="1">Start.listina!R173</f>
        <v xml:space="preserve"> </v>
      </c>
      <c r="E362" s="170">
        <f ca="1">Start.listina!S173</f>
        <v>9999</v>
      </c>
      <c r="F362" s="170">
        <f ca="1">Start.listina!T173</f>
        <v>0</v>
      </c>
      <c r="G362" s="161"/>
    </row>
    <row r="363" spans="1:7">
      <c r="A363" s="170" t="str">
        <f ca="1">Start.listina!O174</f>
        <v/>
      </c>
      <c r="B363" s="171" t="str">
        <f ca="1">Start.listina!P174</f>
        <v xml:space="preserve"> </v>
      </c>
      <c r="C363" s="170" t="str">
        <f ca="1">Start.listina!Q174</f>
        <v xml:space="preserve"> </v>
      </c>
      <c r="D363" s="170" t="str">
        <f ca="1">Start.listina!R174</f>
        <v xml:space="preserve"> </v>
      </c>
      <c r="E363" s="170">
        <f ca="1">Start.listina!S174</f>
        <v>9999</v>
      </c>
      <c r="F363" s="170">
        <f ca="1">Start.listina!T174</f>
        <v>0</v>
      </c>
      <c r="G363" s="161"/>
    </row>
    <row r="364" spans="1:7">
      <c r="A364" s="170" t="str">
        <f ca="1">Start.listina!O175</f>
        <v/>
      </c>
      <c r="B364" s="171" t="str">
        <f ca="1">Start.listina!P175</f>
        <v xml:space="preserve"> </v>
      </c>
      <c r="C364" s="170" t="str">
        <f ca="1">Start.listina!Q175</f>
        <v xml:space="preserve"> </v>
      </c>
      <c r="D364" s="170" t="str">
        <f ca="1">Start.listina!R175</f>
        <v xml:space="preserve"> </v>
      </c>
      <c r="E364" s="170">
        <f ca="1">Start.listina!S175</f>
        <v>9999</v>
      </c>
      <c r="F364" s="170">
        <f ca="1">Start.listina!T175</f>
        <v>0</v>
      </c>
      <c r="G364" s="161"/>
    </row>
    <row r="365" spans="1:7">
      <c r="A365" s="170" t="str">
        <f ca="1">Start.listina!O176</f>
        <v/>
      </c>
      <c r="B365" s="171" t="str">
        <f ca="1">Start.listina!P176</f>
        <v xml:space="preserve"> </v>
      </c>
      <c r="C365" s="170" t="str">
        <f ca="1">Start.listina!Q176</f>
        <v xml:space="preserve"> </v>
      </c>
      <c r="D365" s="170" t="str">
        <f ca="1">Start.listina!R176</f>
        <v xml:space="preserve"> </v>
      </c>
      <c r="E365" s="170">
        <f ca="1">Start.listina!S176</f>
        <v>9999</v>
      </c>
      <c r="F365" s="170">
        <f ca="1">Start.listina!T176</f>
        <v>0</v>
      </c>
      <c r="G365" s="161"/>
    </row>
    <row r="366" spans="1:7">
      <c r="A366" s="170" t="str">
        <f ca="1">Start.listina!O177</f>
        <v/>
      </c>
      <c r="B366" s="171" t="str">
        <f ca="1">Start.listina!P177</f>
        <v xml:space="preserve"> </v>
      </c>
      <c r="C366" s="170" t="str">
        <f ca="1">Start.listina!Q177</f>
        <v xml:space="preserve"> </v>
      </c>
      <c r="D366" s="170" t="str">
        <f ca="1">Start.listina!R177</f>
        <v xml:space="preserve"> </v>
      </c>
      <c r="E366" s="170">
        <f ca="1">Start.listina!S177</f>
        <v>9999</v>
      </c>
      <c r="F366" s="170">
        <f ca="1">Start.listina!T177</f>
        <v>0</v>
      </c>
      <c r="G366" s="161"/>
    </row>
    <row r="367" spans="1:7">
      <c r="A367" s="170" t="str">
        <f ca="1">Start.listina!O178</f>
        <v/>
      </c>
      <c r="B367" s="171" t="str">
        <f ca="1">Start.listina!P178</f>
        <v xml:space="preserve"> </v>
      </c>
      <c r="C367" s="170" t="str">
        <f ca="1">Start.listina!Q178</f>
        <v xml:space="preserve"> </v>
      </c>
      <c r="D367" s="170" t="str">
        <f ca="1">Start.listina!R178</f>
        <v xml:space="preserve"> </v>
      </c>
      <c r="E367" s="170">
        <f ca="1">Start.listina!S178</f>
        <v>9999</v>
      </c>
      <c r="F367" s="170">
        <f ca="1">Start.listina!T178</f>
        <v>0</v>
      </c>
      <c r="G367" s="161"/>
    </row>
    <row r="368" spans="1:7">
      <c r="A368" s="170" t="str">
        <f ca="1">Start.listina!O179</f>
        <v/>
      </c>
      <c r="B368" s="171" t="str">
        <f ca="1">Start.listina!P179</f>
        <v xml:space="preserve"> </v>
      </c>
      <c r="C368" s="170" t="str">
        <f ca="1">Start.listina!Q179</f>
        <v xml:space="preserve"> </v>
      </c>
      <c r="D368" s="170" t="str">
        <f ca="1">Start.listina!R179</f>
        <v xml:space="preserve"> </v>
      </c>
      <c r="E368" s="170">
        <f ca="1">Start.listina!S179</f>
        <v>9999</v>
      </c>
      <c r="F368" s="170">
        <f ca="1">Start.listina!T179</f>
        <v>0</v>
      </c>
      <c r="G368" s="161"/>
    </row>
    <row r="369" spans="1:7">
      <c r="A369" s="170" t="str">
        <f ca="1">Start.listina!O180</f>
        <v/>
      </c>
      <c r="B369" s="171" t="str">
        <f ca="1">Start.listina!P180</f>
        <v xml:space="preserve"> </v>
      </c>
      <c r="C369" s="170" t="str">
        <f ca="1">Start.listina!Q180</f>
        <v xml:space="preserve"> </v>
      </c>
      <c r="D369" s="170" t="str">
        <f ca="1">Start.listina!R180</f>
        <v xml:space="preserve"> </v>
      </c>
      <c r="E369" s="170">
        <f ca="1">Start.listina!S180</f>
        <v>9999</v>
      </c>
      <c r="F369" s="170">
        <f ca="1">Start.listina!T180</f>
        <v>0</v>
      </c>
      <c r="G369" s="161"/>
    </row>
    <row r="370" spans="1:7">
      <c r="A370" s="170" t="str">
        <f ca="1">Start.listina!O181</f>
        <v/>
      </c>
      <c r="B370" s="171" t="str">
        <f ca="1">Start.listina!P181</f>
        <v xml:space="preserve"> </v>
      </c>
      <c r="C370" s="170" t="str">
        <f ca="1">Start.listina!Q181</f>
        <v xml:space="preserve"> </v>
      </c>
      <c r="D370" s="170" t="str">
        <f ca="1">Start.listina!R181</f>
        <v xml:space="preserve"> </v>
      </c>
      <c r="E370" s="170">
        <f ca="1">Start.listina!S181</f>
        <v>9999</v>
      </c>
      <c r="F370" s="170">
        <f ca="1">Start.listina!T181</f>
        <v>0</v>
      </c>
      <c r="G370" s="161"/>
    </row>
    <row r="371" spans="1:7">
      <c r="A371" s="170" t="str">
        <f ca="1">Start.listina!O182</f>
        <v/>
      </c>
      <c r="B371" s="171" t="str">
        <f ca="1">Start.listina!P182</f>
        <v xml:space="preserve"> </v>
      </c>
      <c r="C371" s="170" t="str">
        <f ca="1">Start.listina!Q182</f>
        <v xml:space="preserve"> </v>
      </c>
      <c r="D371" s="170" t="str">
        <f ca="1">Start.listina!R182</f>
        <v xml:space="preserve"> </v>
      </c>
      <c r="E371" s="170">
        <f ca="1">Start.listina!S182</f>
        <v>9999</v>
      </c>
      <c r="F371" s="170">
        <f ca="1">Start.listina!T182</f>
        <v>0</v>
      </c>
      <c r="G371" s="161"/>
    </row>
    <row r="372" spans="1:7">
      <c r="A372" s="170" t="str">
        <f ca="1">Start.listina!O183</f>
        <v/>
      </c>
      <c r="B372" s="171" t="str">
        <f ca="1">Start.listina!P183</f>
        <v xml:space="preserve"> </v>
      </c>
      <c r="C372" s="170" t="str">
        <f ca="1">Start.listina!Q183</f>
        <v xml:space="preserve"> </v>
      </c>
      <c r="D372" s="170" t="str">
        <f ca="1">Start.listina!R183</f>
        <v xml:space="preserve"> </v>
      </c>
      <c r="E372" s="170">
        <f ca="1">Start.listina!S183</f>
        <v>9999</v>
      </c>
      <c r="F372" s="170">
        <f ca="1">Start.listina!T183</f>
        <v>0</v>
      </c>
      <c r="G372" s="161"/>
    </row>
    <row r="373" spans="1:7">
      <c r="A373" s="170" t="str">
        <f ca="1">Start.listina!O184</f>
        <v/>
      </c>
      <c r="B373" s="171" t="str">
        <f ca="1">Start.listina!P184</f>
        <v xml:space="preserve"> </v>
      </c>
      <c r="C373" s="170" t="str">
        <f ca="1">Start.listina!Q184</f>
        <v xml:space="preserve"> </v>
      </c>
      <c r="D373" s="170" t="str">
        <f ca="1">Start.listina!R184</f>
        <v xml:space="preserve"> </v>
      </c>
      <c r="E373" s="170">
        <f ca="1">Start.listina!S184</f>
        <v>9999</v>
      </c>
      <c r="F373" s="170">
        <f ca="1">Start.listina!T184</f>
        <v>0</v>
      </c>
      <c r="G373" s="161"/>
    </row>
    <row r="374" spans="1:7">
      <c r="A374" s="170" t="str">
        <f ca="1">Start.listina!O185</f>
        <v/>
      </c>
      <c r="B374" s="171" t="str">
        <f ca="1">Start.listina!P185</f>
        <v xml:space="preserve"> </v>
      </c>
      <c r="C374" s="170" t="str">
        <f ca="1">Start.listina!Q185</f>
        <v xml:space="preserve"> </v>
      </c>
      <c r="D374" s="170" t="str">
        <f ca="1">Start.listina!R185</f>
        <v xml:space="preserve"> </v>
      </c>
      <c r="E374" s="170">
        <f ca="1">Start.listina!S185</f>
        <v>9999</v>
      </c>
      <c r="F374" s="170">
        <f ca="1">Start.listina!T185</f>
        <v>0</v>
      </c>
      <c r="G374" s="161"/>
    </row>
    <row r="375" spans="1:7">
      <c r="A375" s="170" t="str">
        <f ca="1">Start.listina!O186</f>
        <v/>
      </c>
      <c r="B375" s="171" t="str">
        <f ca="1">Start.listina!P186</f>
        <v xml:space="preserve"> </v>
      </c>
      <c r="C375" s="170" t="str">
        <f ca="1">Start.listina!Q186</f>
        <v xml:space="preserve"> </v>
      </c>
      <c r="D375" s="170" t="str">
        <f ca="1">Start.listina!R186</f>
        <v xml:space="preserve"> </v>
      </c>
      <c r="E375" s="170">
        <f ca="1">Start.listina!S186</f>
        <v>9999</v>
      </c>
      <c r="F375" s="170">
        <f ca="1">Start.listina!T186</f>
        <v>0</v>
      </c>
      <c r="G375" s="161"/>
    </row>
    <row r="376" spans="1:7">
      <c r="A376" s="170" t="str">
        <f ca="1">Start.listina!O187</f>
        <v/>
      </c>
      <c r="B376" s="171" t="str">
        <f ca="1">Start.listina!P187</f>
        <v xml:space="preserve"> </v>
      </c>
      <c r="C376" s="170" t="str">
        <f ca="1">Start.listina!Q187</f>
        <v xml:space="preserve"> </v>
      </c>
      <c r="D376" s="170" t="str">
        <f ca="1">Start.listina!R187</f>
        <v xml:space="preserve"> </v>
      </c>
      <c r="E376" s="170">
        <f ca="1">Start.listina!S187</f>
        <v>9999</v>
      </c>
      <c r="F376" s="170">
        <f ca="1">Start.listina!T187</f>
        <v>0</v>
      </c>
      <c r="G376" s="161"/>
    </row>
    <row r="377" spans="1:7">
      <c r="A377" s="170" t="str">
        <f ca="1">Start.listina!O188</f>
        <v/>
      </c>
      <c r="B377" s="171" t="str">
        <f ca="1">Start.listina!P188</f>
        <v xml:space="preserve"> </v>
      </c>
      <c r="C377" s="170" t="str">
        <f ca="1">Start.listina!Q188</f>
        <v xml:space="preserve"> </v>
      </c>
      <c r="D377" s="170" t="str">
        <f ca="1">Start.listina!R188</f>
        <v xml:space="preserve"> </v>
      </c>
      <c r="E377" s="170">
        <f ca="1">Start.listina!S188</f>
        <v>9999</v>
      </c>
      <c r="F377" s="170">
        <f ca="1">Start.listina!T188</f>
        <v>0</v>
      </c>
      <c r="G377" s="161"/>
    </row>
    <row r="378" spans="1:7">
      <c r="A378" s="170" t="str">
        <f ca="1">Start.listina!O189</f>
        <v/>
      </c>
      <c r="B378" s="171" t="str">
        <f ca="1">Start.listina!P189</f>
        <v xml:space="preserve"> </v>
      </c>
      <c r="C378" s="170" t="str">
        <f ca="1">Start.listina!Q189</f>
        <v xml:space="preserve"> </v>
      </c>
      <c r="D378" s="170" t="str">
        <f ca="1">Start.listina!R189</f>
        <v xml:space="preserve"> </v>
      </c>
      <c r="E378" s="170">
        <f ca="1">Start.listina!S189</f>
        <v>9999</v>
      </c>
      <c r="F378" s="170">
        <f ca="1">Start.listina!T189</f>
        <v>0</v>
      </c>
      <c r="G378" s="161"/>
    </row>
    <row r="379" spans="1:7">
      <c r="A379" s="170" t="str">
        <f ca="1">Start.listina!O190</f>
        <v/>
      </c>
      <c r="B379" s="171" t="str">
        <f ca="1">Start.listina!P190</f>
        <v xml:space="preserve"> </v>
      </c>
      <c r="C379" s="170" t="str">
        <f ca="1">Start.listina!Q190</f>
        <v xml:space="preserve"> </v>
      </c>
      <c r="D379" s="170" t="str">
        <f ca="1">Start.listina!R190</f>
        <v xml:space="preserve"> </v>
      </c>
      <c r="E379" s="170">
        <f ca="1">Start.listina!S190</f>
        <v>9999</v>
      </c>
      <c r="F379" s="170">
        <f ca="1">Start.listina!T190</f>
        <v>0</v>
      </c>
      <c r="G379" s="161"/>
    </row>
    <row r="380" spans="1:7">
      <c r="A380" s="170" t="str">
        <f ca="1">Start.listina!O191</f>
        <v/>
      </c>
      <c r="B380" s="171" t="str">
        <f ca="1">Start.listina!P191</f>
        <v xml:space="preserve"> </v>
      </c>
      <c r="C380" s="170" t="str">
        <f ca="1">Start.listina!Q191</f>
        <v xml:space="preserve"> </v>
      </c>
      <c r="D380" s="170" t="str">
        <f ca="1">Start.listina!R191</f>
        <v xml:space="preserve"> </v>
      </c>
      <c r="E380" s="170">
        <f ca="1">Start.listina!S191</f>
        <v>9999</v>
      </c>
      <c r="F380" s="170">
        <f ca="1">Start.listina!T191</f>
        <v>0</v>
      </c>
      <c r="G380" s="161"/>
    </row>
    <row r="381" spans="1:7">
      <c r="A381" s="170" t="str">
        <f ca="1">Start.listina!O192</f>
        <v/>
      </c>
      <c r="B381" s="171" t="str">
        <f ca="1">Start.listina!P192</f>
        <v xml:space="preserve"> </v>
      </c>
      <c r="C381" s="170" t="str">
        <f ca="1">Start.listina!Q192</f>
        <v xml:space="preserve"> </v>
      </c>
      <c r="D381" s="170" t="str">
        <f ca="1">Start.listina!R192</f>
        <v xml:space="preserve"> </v>
      </c>
      <c r="E381" s="170">
        <f ca="1">Start.listina!S192</f>
        <v>9999</v>
      </c>
      <c r="F381" s="170">
        <f ca="1">Start.listina!T192</f>
        <v>0</v>
      </c>
      <c r="G381" s="161"/>
    </row>
    <row r="382" spans="1:7">
      <c r="A382" s="170" t="str">
        <f ca="1">Start.listina!O193</f>
        <v/>
      </c>
      <c r="B382" s="171" t="str">
        <f ca="1">Start.listina!P193</f>
        <v xml:space="preserve"> </v>
      </c>
      <c r="C382" s="170" t="str">
        <f ca="1">Start.listina!Q193</f>
        <v xml:space="preserve"> </v>
      </c>
      <c r="D382" s="170" t="str">
        <f ca="1">Start.listina!R193</f>
        <v xml:space="preserve"> </v>
      </c>
      <c r="E382" s="170">
        <f ca="1">Start.listina!S193</f>
        <v>9999</v>
      </c>
      <c r="F382" s="170">
        <f ca="1">Start.listina!T193</f>
        <v>0</v>
      </c>
      <c r="G382" s="161"/>
    </row>
    <row r="383" spans="1:7">
      <c r="A383" s="170" t="str">
        <f ca="1">Start.listina!O194</f>
        <v/>
      </c>
      <c r="B383" s="171" t="str">
        <f ca="1">Start.listina!P194</f>
        <v xml:space="preserve"> </v>
      </c>
      <c r="C383" s="170" t="str">
        <f ca="1">Start.listina!Q194</f>
        <v xml:space="preserve"> </v>
      </c>
      <c r="D383" s="170" t="str">
        <f ca="1">Start.listina!R194</f>
        <v xml:space="preserve"> </v>
      </c>
      <c r="E383" s="170">
        <f ca="1">Start.listina!S194</f>
        <v>9999</v>
      </c>
      <c r="F383" s="170">
        <f ca="1">Start.listina!T194</f>
        <v>0</v>
      </c>
      <c r="G383" s="161"/>
    </row>
    <row r="384" spans="1:7">
      <c r="A384" s="170" t="str">
        <f ca="1">Start.listina!O195</f>
        <v/>
      </c>
      <c r="B384" s="171" t="str">
        <f ca="1">Start.listina!P195</f>
        <v xml:space="preserve"> </v>
      </c>
      <c r="C384" s="170" t="str">
        <f ca="1">Start.listina!Q195</f>
        <v xml:space="preserve"> </v>
      </c>
      <c r="D384" s="170" t="str">
        <f ca="1">Start.listina!R195</f>
        <v xml:space="preserve"> </v>
      </c>
      <c r="E384" s="170">
        <f ca="1">Start.listina!S195</f>
        <v>9999</v>
      </c>
      <c r="F384" s="170">
        <f ca="1">Start.listina!T195</f>
        <v>0</v>
      </c>
      <c r="G384" s="161"/>
    </row>
    <row r="385" spans="1:7">
      <c r="A385" s="170" t="str">
        <f ca="1">Start.listina!O196</f>
        <v/>
      </c>
      <c r="B385" s="171" t="str">
        <f ca="1">Start.listina!P196</f>
        <v xml:space="preserve"> </v>
      </c>
      <c r="C385" s="170" t="str">
        <f ca="1">Start.listina!Q196</f>
        <v xml:space="preserve"> </v>
      </c>
      <c r="D385" s="170" t="str">
        <f ca="1">Start.listina!R196</f>
        <v xml:space="preserve"> </v>
      </c>
      <c r="E385" s="170">
        <f ca="1">Start.listina!S196</f>
        <v>9999</v>
      </c>
      <c r="F385" s="170">
        <f ca="1">Start.listina!T196</f>
        <v>0</v>
      </c>
      <c r="G385" s="161"/>
    </row>
    <row r="386" spans="1:7">
      <c r="A386" s="170" t="str">
        <f ca="1">Start.listina!O197</f>
        <v/>
      </c>
      <c r="B386" s="171" t="str">
        <f ca="1">Start.listina!P197</f>
        <v xml:space="preserve"> </v>
      </c>
      <c r="C386" s="170" t="str">
        <f ca="1">Start.listina!Q197</f>
        <v xml:space="preserve"> </v>
      </c>
      <c r="D386" s="170" t="str">
        <f ca="1">Start.listina!R197</f>
        <v xml:space="preserve"> </v>
      </c>
      <c r="E386" s="170">
        <f ca="1">Start.listina!S197</f>
        <v>9999</v>
      </c>
      <c r="F386" s="170">
        <f ca="1">Start.listina!T197</f>
        <v>0</v>
      </c>
      <c r="G386" s="161"/>
    </row>
    <row r="387" spans="1:7">
      <c r="A387" s="170" t="str">
        <f ca="1">Start.listina!O198</f>
        <v/>
      </c>
      <c r="B387" s="171" t="str">
        <f ca="1">Start.listina!P198</f>
        <v xml:space="preserve"> </v>
      </c>
      <c r="C387" s="170" t="str">
        <f ca="1">Start.listina!Q198</f>
        <v xml:space="preserve"> </v>
      </c>
      <c r="D387" s="170" t="str">
        <f ca="1">Start.listina!R198</f>
        <v xml:space="preserve"> </v>
      </c>
      <c r="E387" s="170">
        <f ca="1">Start.listina!S198</f>
        <v>9999</v>
      </c>
      <c r="F387" s="170">
        <f ca="1">Start.listina!T198</f>
        <v>0</v>
      </c>
      <c r="G387" s="161"/>
    </row>
    <row r="388" spans="1:7">
      <c r="A388" s="170" t="str">
        <f ca="1">Start.listina!O199</f>
        <v/>
      </c>
      <c r="B388" s="171" t="str">
        <f ca="1">Start.listina!P199</f>
        <v xml:space="preserve"> </v>
      </c>
      <c r="C388" s="170" t="str">
        <f ca="1">Start.listina!Q199</f>
        <v xml:space="preserve"> </v>
      </c>
      <c r="D388" s="170" t="str">
        <f ca="1">Start.listina!R199</f>
        <v xml:space="preserve"> </v>
      </c>
      <c r="E388" s="170">
        <f ca="1">Start.listina!S199</f>
        <v>9999</v>
      </c>
      <c r="F388" s="170">
        <f ca="1">Start.listina!T199</f>
        <v>0</v>
      </c>
      <c r="G388" s="161"/>
    </row>
    <row r="389" spans="1:7">
      <c r="A389" s="170" t="str">
        <f ca="1">Start.listina!O200</f>
        <v/>
      </c>
      <c r="B389" s="171" t="str">
        <f ca="1">Start.listina!P200</f>
        <v xml:space="preserve"> </v>
      </c>
      <c r="C389" s="170" t="str">
        <f ca="1">Start.listina!Q200</f>
        <v xml:space="preserve"> </v>
      </c>
      <c r="D389" s="170" t="str">
        <f ca="1">Start.listina!R200</f>
        <v xml:space="preserve"> </v>
      </c>
      <c r="E389" s="170">
        <f ca="1">Start.listina!S200</f>
        <v>9999</v>
      </c>
      <c r="F389" s="170">
        <f ca="1">Start.listina!T200</f>
        <v>0</v>
      </c>
      <c r="G389" s="161"/>
    </row>
    <row r="390" spans="1:7">
      <c r="A390" s="170" t="str">
        <f ca="1">Start.listina!O201</f>
        <v/>
      </c>
      <c r="B390" s="171" t="str">
        <f ca="1">Start.listina!P201</f>
        <v xml:space="preserve"> </v>
      </c>
      <c r="C390" s="170" t="str">
        <f ca="1">Start.listina!Q201</f>
        <v xml:space="preserve"> </v>
      </c>
      <c r="D390" s="170" t="str">
        <f ca="1">Start.listina!R201</f>
        <v xml:space="preserve"> </v>
      </c>
      <c r="E390" s="170">
        <f ca="1">Start.listina!S201</f>
        <v>9999</v>
      </c>
      <c r="F390" s="170">
        <f ca="1">Start.listina!T201</f>
        <v>0</v>
      </c>
      <c r="G390" s="161"/>
    </row>
    <row r="391" spans="1:7">
      <c r="A391" s="170" t="str">
        <f ca="1">Start.listina!O202</f>
        <v/>
      </c>
      <c r="B391" s="171" t="str">
        <f ca="1">Start.listina!P202</f>
        <v xml:space="preserve"> </v>
      </c>
      <c r="C391" s="170" t="str">
        <f ca="1">Start.listina!Q202</f>
        <v xml:space="preserve"> </v>
      </c>
      <c r="D391" s="170" t="str">
        <f ca="1">Start.listina!R202</f>
        <v xml:space="preserve"> </v>
      </c>
      <c r="E391" s="170">
        <f ca="1">Start.listina!S202</f>
        <v>9999</v>
      </c>
      <c r="F391" s="170">
        <f ca="1">Start.listina!T202</f>
        <v>0</v>
      </c>
      <c r="G391" s="161"/>
    </row>
    <row r="392" spans="1:7">
      <c r="A392" s="172">
        <f ca="1">Start.listina!U11</f>
        <v>18132</v>
      </c>
      <c r="B392" s="173" t="str">
        <f ca="1">Start.listina!V11</f>
        <v>Vašíček</v>
      </c>
      <c r="C392" s="172" t="str">
        <f ca="1">Start.listina!W11</f>
        <v>Vladimír</v>
      </c>
      <c r="D392" s="172" t="str">
        <f ca="1">Start.listina!X11</f>
        <v>PK Polouvsí</v>
      </c>
      <c r="E392" s="172">
        <f ca="1">Start.listina!Y11</f>
        <v>121</v>
      </c>
      <c r="F392" s="172">
        <f ca="1">Start.listina!Z11</f>
        <v>24.251000000000001</v>
      </c>
      <c r="G392" s="161"/>
    </row>
    <row r="393" spans="1:7">
      <c r="A393" s="172">
        <f ca="1">Start.listina!U12</f>
        <v>25054</v>
      </c>
      <c r="B393" s="173" t="str">
        <f ca="1">Start.listina!V12</f>
        <v>Gratcl</v>
      </c>
      <c r="C393" s="172" t="str">
        <f ca="1">Start.listina!W12</f>
        <v>Jiří</v>
      </c>
      <c r="D393" s="172" t="str">
        <f ca="1">Start.listina!X12</f>
        <v>SKP Hranice VI-Valšovice</v>
      </c>
      <c r="E393" s="172">
        <f ca="1">Start.listina!Y12</f>
        <v>104</v>
      </c>
      <c r="F393" s="172">
        <f ca="1">Start.listina!Z12</f>
        <v>22.283000000000001</v>
      </c>
      <c r="G393" s="161"/>
    </row>
    <row r="394" spans="1:7">
      <c r="A394" s="172">
        <f ca="1">Start.listina!U13</f>
        <v>98307</v>
      </c>
      <c r="B394" s="173" t="str">
        <f ca="1">Start.listina!V13</f>
        <v>Jurišta</v>
      </c>
      <c r="C394" s="172" t="str">
        <f ca="1">Start.listina!W13</f>
        <v>Kamil</v>
      </c>
      <c r="D394" s="172" t="str">
        <f ca="1">Start.listina!X13</f>
        <v>TOP - ORLOVÁ</v>
      </c>
      <c r="E394" s="172">
        <f ca="1">Start.listina!Y13</f>
        <v>176</v>
      </c>
      <c r="F394" s="172">
        <f ca="1">Start.listina!Z13</f>
        <v>25.875</v>
      </c>
      <c r="G394" s="161"/>
    </row>
    <row r="395" spans="1:7">
      <c r="A395" s="172">
        <f ca="1">Start.listina!U14</f>
        <v>17035</v>
      </c>
      <c r="B395" s="173" t="str">
        <f ca="1">Start.listina!V14</f>
        <v>Konšelová</v>
      </c>
      <c r="C395" s="172" t="str">
        <f ca="1">Start.listina!W14</f>
        <v>Lenka</v>
      </c>
      <c r="D395" s="172" t="str">
        <f ca="1">Start.listina!X14</f>
        <v>HAPEK</v>
      </c>
      <c r="E395" s="172">
        <f ca="1">Start.listina!Y14</f>
        <v>281</v>
      </c>
      <c r="F395" s="172">
        <f ca="1">Start.listina!Z14</f>
        <v>9.8130000000000006</v>
      </c>
      <c r="G395" s="161"/>
    </row>
    <row r="396" spans="1:7">
      <c r="A396" s="172">
        <f ca="1">Start.listina!U15</f>
        <v>98304</v>
      </c>
      <c r="B396" s="173" t="str">
        <f ca="1">Start.listina!V15</f>
        <v>Urbanová</v>
      </c>
      <c r="C396" s="172" t="str">
        <f ca="1">Start.listina!W15</f>
        <v>Bronislava</v>
      </c>
      <c r="D396" s="172" t="str">
        <f ca="1">Start.listina!X15</f>
        <v>1. Starobrněnský PK</v>
      </c>
      <c r="E396" s="172">
        <f ca="1">Start.listina!Y15</f>
        <v>206</v>
      </c>
      <c r="F396" s="172">
        <f ca="1">Start.listina!Z15</f>
        <v>14.032</v>
      </c>
      <c r="G396" s="161"/>
    </row>
    <row r="397" spans="1:7">
      <c r="A397" s="172">
        <f ca="1">Start.listina!U16</f>
        <v>11018</v>
      </c>
      <c r="B397" s="173" t="str">
        <f ca="1">Start.listina!V16</f>
        <v>Němec</v>
      </c>
      <c r="C397" s="172" t="str">
        <f ca="1">Start.listina!W16</f>
        <v>Jiří</v>
      </c>
      <c r="D397" s="172" t="str">
        <f ca="1">Start.listina!X16</f>
        <v>FENYX Adamov</v>
      </c>
      <c r="E397" s="172">
        <f ca="1">Start.listina!Y16</f>
        <v>219</v>
      </c>
      <c r="F397" s="172">
        <f ca="1">Start.listina!Z16</f>
        <v>15.813000000000001</v>
      </c>
      <c r="G397" s="161"/>
    </row>
    <row r="398" spans="1:7">
      <c r="A398" s="172">
        <f ca="1">Start.listina!U17</f>
        <v>13077</v>
      </c>
      <c r="B398" s="173" t="str">
        <f ca="1">Start.listina!V17</f>
        <v>Kot</v>
      </c>
      <c r="C398" s="172" t="str">
        <f ca="1">Start.listina!W17</f>
        <v>Pavel</v>
      </c>
      <c r="D398" s="172" t="str">
        <f ca="1">Start.listina!X17</f>
        <v>UBU Únětice</v>
      </c>
      <c r="E398" s="172">
        <f ca="1">Start.listina!Y17</f>
        <v>151</v>
      </c>
      <c r="F398" s="172">
        <f ca="1">Start.listina!Z17</f>
        <v>16.594000000000001</v>
      </c>
      <c r="G398" s="161"/>
    </row>
    <row r="399" spans="1:7">
      <c r="A399" s="172">
        <f ca="1">Start.listina!U18</f>
        <v>26034</v>
      </c>
      <c r="B399" s="173" t="str">
        <f ca="1">Start.listina!V18</f>
        <v>Vajčovec</v>
      </c>
      <c r="C399" s="172" t="str">
        <f ca="1">Start.listina!W18</f>
        <v>Kamil</v>
      </c>
      <c r="D399" s="172" t="str">
        <f ca="1">Start.listina!X18</f>
        <v>PAK Albrechtice</v>
      </c>
      <c r="E399" s="172">
        <f ca="1">Start.listina!Y18</f>
        <v>197</v>
      </c>
      <c r="F399" s="172">
        <f ca="1">Start.listina!Z18</f>
        <v>16.437999999999999</v>
      </c>
      <c r="G399" s="161"/>
    </row>
    <row r="400" spans="1:7">
      <c r="A400" s="172">
        <f ca="1">Start.listina!U19</f>
        <v>17061</v>
      </c>
      <c r="B400" s="173" t="str">
        <f ca="1">Start.listina!V19</f>
        <v>Botek</v>
      </c>
      <c r="C400" s="172" t="str">
        <f ca="1">Start.listina!W19</f>
        <v>Jan</v>
      </c>
      <c r="D400" s="172" t="str">
        <f ca="1">Start.listina!X19</f>
        <v>PK Sokol Medlánky</v>
      </c>
      <c r="E400" s="172">
        <f ca="1">Start.listina!Y19</f>
        <v>593</v>
      </c>
      <c r="F400" s="172">
        <f ca="1">Start.listina!Z19</f>
        <v>0.78100000000000003</v>
      </c>
      <c r="G400" s="161"/>
    </row>
    <row r="401" spans="1:7">
      <c r="A401" s="172">
        <f ca="1">Start.listina!U20</f>
        <v>11045</v>
      </c>
      <c r="B401" s="173" t="str">
        <f ca="1">Start.listina!V20</f>
        <v>Krtička</v>
      </c>
      <c r="C401" s="172" t="str">
        <f ca="1">Start.listina!W20</f>
        <v>Jiří</v>
      </c>
      <c r="D401" s="172" t="str">
        <f ca="1">Start.listina!X20</f>
        <v>1. Starobrněnský PK</v>
      </c>
      <c r="E401" s="172">
        <f ca="1">Start.listina!Y20</f>
        <v>239</v>
      </c>
      <c r="F401" s="172">
        <f ca="1">Start.listina!Z20</f>
        <v>7.72</v>
      </c>
      <c r="G401" s="161"/>
    </row>
    <row r="402" spans="1:7">
      <c r="A402" s="172">
        <f ca="1">Start.listina!U21</f>
        <v>18131</v>
      </c>
      <c r="B402" s="173" t="str">
        <f ca="1">Start.listina!V21</f>
        <v>Marečková</v>
      </c>
      <c r="C402" s="172" t="str">
        <f ca="1">Start.listina!W21</f>
        <v>Yvonne</v>
      </c>
      <c r="D402" s="172" t="str">
        <f ca="1">Start.listina!X21</f>
        <v>Orel Řečkovice</v>
      </c>
      <c r="E402" s="172">
        <f ca="1">Start.listina!Y21</f>
        <v>237</v>
      </c>
      <c r="F402" s="172">
        <f ca="1">Start.listina!Z21</f>
        <v>12.877000000000001</v>
      </c>
      <c r="G402" s="161"/>
    </row>
    <row r="403" spans="1:7">
      <c r="A403" s="172">
        <f ca="1">Start.listina!U22</f>
        <v>19034</v>
      </c>
      <c r="B403" s="173" t="str">
        <f ca="1">Start.listina!V22</f>
        <v>Valošek</v>
      </c>
      <c r="C403" s="172" t="str">
        <f ca="1">Start.listina!W22</f>
        <v>Hugo</v>
      </c>
      <c r="D403" s="172" t="str">
        <f ca="1">Start.listina!X22</f>
        <v>PK Polouvsí</v>
      </c>
      <c r="E403" s="172">
        <f ca="1">Start.listina!Y22</f>
        <v>431</v>
      </c>
      <c r="F403" s="172">
        <f ca="1">Start.listina!Z22</f>
        <v>4.782</v>
      </c>
      <c r="G403" s="161"/>
    </row>
    <row r="404" spans="1:7">
      <c r="A404" s="172">
        <f ca="1">Start.listina!U23</f>
        <v>28056</v>
      </c>
      <c r="B404" s="173" t="str">
        <f ca="1">Start.listina!V23</f>
        <v>Blažejová</v>
      </c>
      <c r="C404" s="172" t="str">
        <f ca="1">Start.listina!W23</f>
        <v>Eva</v>
      </c>
      <c r="D404" s="172" t="str">
        <f ca="1">Start.listina!X23</f>
        <v>1. Starobrněnský PK</v>
      </c>
      <c r="E404" s="172">
        <f ca="1">Start.listina!Y23</f>
        <v>174</v>
      </c>
      <c r="F404" s="172">
        <f ca="1">Start.listina!Z23</f>
        <v>15.534000000000001</v>
      </c>
      <c r="G404" s="161"/>
    </row>
    <row r="405" spans="1:7">
      <c r="A405" s="172">
        <f ca="1">Start.listina!U24</f>
        <v>10144</v>
      </c>
      <c r="B405" s="173" t="str">
        <f ca="1">Start.listina!V24</f>
        <v>Ježíšek</v>
      </c>
      <c r="C405" s="172" t="str">
        <f ca="1">Start.listina!W24</f>
        <v>Jan</v>
      </c>
      <c r="D405" s="172" t="str">
        <f ca="1">Start.listina!X24</f>
        <v>SKP Hranice VI-Valšovice</v>
      </c>
      <c r="E405" s="172">
        <f ca="1">Start.listina!Y24</f>
        <v>401</v>
      </c>
      <c r="F405" s="172">
        <f ca="1">Start.listina!Z24</f>
        <v>3.8439999999999999</v>
      </c>
      <c r="G405" s="161"/>
    </row>
    <row r="406" spans="1:7">
      <c r="A406" s="172">
        <f ca="1">Start.listina!U25</f>
        <v>20553</v>
      </c>
      <c r="B406" s="173" t="str">
        <f ca="1">Start.listina!V25</f>
        <v>Jahnová</v>
      </c>
      <c r="C406" s="172" t="str">
        <f ca="1">Start.listina!W25</f>
        <v>Monika</v>
      </c>
      <c r="D406" s="172" t="str">
        <f ca="1">Start.listina!X25</f>
        <v>SKP Hranice VI-Valšovice</v>
      </c>
      <c r="E406" s="172">
        <f ca="1">Start.listina!Y25</f>
        <v>743</v>
      </c>
      <c r="F406" s="172">
        <f ca="1">Start.listina!Z25</f>
        <v>0</v>
      </c>
      <c r="G406" s="161"/>
    </row>
    <row r="407" spans="1:7">
      <c r="A407" s="172" t="str">
        <f ca="1">Start.listina!U26</f>
        <v/>
      </c>
      <c r="B407" s="173" t="str">
        <f ca="1">Start.listina!V26</f>
        <v>Jarda Knápek</v>
      </c>
      <c r="C407" s="172" t="str">
        <f ca="1">Start.listina!W26</f>
        <v xml:space="preserve"> </v>
      </c>
      <c r="D407" s="172" t="str">
        <f ca="1">Start.listina!X26</f>
        <v xml:space="preserve"> </v>
      </c>
      <c r="E407" s="172">
        <f ca="1">Start.listina!Y26</f>
        <v>9999</v>
      </c>
      <c r="F407" s="172">
        <f ca="1">Start.listina!Z26</f>
        <v>0</v>
      </c>
      <c r="G407" s="161"/>
    </row>
    <row r="408" spans="1:7">
      <c r="A408" s="172" t="str">
        <f ca="1">Start.listina!U27</f>
        <v/>
      </c>
      <c r="B408" s="173" t="str">
        <f ca="1">Start.listina!V27</f>
        <v xml:space="preserve"> </v>
      </c>
      <c r="C408" s="172" t="str">
        <f ca="1">Start.listina!W27</f>
        <v xml:space="preserve"> </v>
      </c>
      <c r="D408" s="172" t="str">
        <f ca="1">Start.listina!X27</f>
        <v xml:space="preserve"> </v>
      </c>
      <c r="E408" s="172">
        <f ca="1">Start.listina!Y27</f>
        <v>9999</v>
      </c>
      <c r="F408" s="172">
        <f ca="1">Start.listina!Z27</f>
        <v>0</v>
      </c>
      <c r="G408" s="161"/>
    </row>
    <row r="409" spans="1:7">
      <c r="A409" s="172" t="str">
        <f ca="1">Start.listina!U28</f>
        <v/>
      </c>
      <c r="B409" s="173" t="str">
        <f ca="1">Start.listina!V28</f>
        <v xml:space="preserve"> </v>
      </c>
      <c r="C409" s="172" t="str">
        <f ca="1">Start.listina!W28</f>
        <v xml:space="preserve"> </v>
      </c>
      <c r="D409" s="172" t="str">
        <f ca="1">Start.listina!X28</f>
        <v xml:space="preserve"> </v>
      </c>
      <c r="E409" s="172">
        <f ca="1">Start.listina!Y28</f>
        <v>9999</v>
      </c>
      <c r="F409" s="172">
        <f ca="1">Start.listina!Z28</f>
        <v>0</v>
      </c>
      <c r="G409" s="161"/>
    </row>
    <row r="410" spans="1:7">
      <c r="A410" s="172" t="str">
        <f ca="1">Start.listina!U29</f>
        <v/>
      </c>
      <c r="B410" s="173" t="str">
        <f ca="1">Start.listina!V29</f>
        <v xml:space="preserve"> </v>
      </c>
      <c r="C410" s="172" t="str">
        <f ca="1">Start.listina!W29</f>
        <v xml:space="preserve"> </v>
      </c>
      <c r="D410" s="172" t="str">
        <f ca="1">Start.listina!X29</f>
        <v xml:space="preserve"> </v>
      </c>
      <c r="E410" s="172">
        <f ca="1">Start.listina!Y29</f>
        <v>9999</v>
      </c>
      <c r="F410" s="172">
        <f ca="1">Start.listina!Z29</f>
        <v>0</v>
      </c>
      <c r="G410" s="161"/>
    </row>
    <row r="411" spans="1:7">
      <c r="A411" s="172" t="str">
        <f ca="1">Start.listina!U30</f>
        <v/>
      </c>
      <c r="B411" s="173" t="str">
        <f ca="1">Start.listina!V30</f>
        <v xml:space="preserve"> </v>
      </c>
      <c r="C411" s="172" t="str">
        <f ca="1">Start.listina!W30</f>
        <v xml:space="preserve"> </v>
      </c>
      <c r="D411" s="172" t="str">
        <f ca="1">Start.listina!X30</f>
        <v xml:space="preserve"> </v>
      </c>
      <c r="E411" s="172">
        <f ca="1">Start.listina!Y30</f>
        <v>9999</v>
      </c>
      <c r="F411" s="172">
        <f ca="1">Start.listina!Z30</f>
        <v>0</v>
      </c>
      <c r="G411" s="161"/>
    </row>
    <row r="412" spans="1:7">
      <c r="A412" s="172" t="str">
        <f ca="1">Start.listina!U31</f>
        <v/>
      </c>
      <c r="B412" s="173" t="str">
        <f ca="1">Start.listina!V31</f>
        <v xml:space="preserve"> </v>
      </c>
      <c r="C412" s="172" t="str">
        <f ca="1">Start.listina!W31</f>
        <v xml:space="preserve"> </v>
      </c>
      <c r="D412" s="172" t="str">
        <f ca="1">Start.listina!X31</f>
        <v xml:space="preserve"> </v>
      </c>
      <c r="E412" s="172">
        <f ca="1">Start.listina!Y31</f>
        <v>9999</v>
      </c>
      <c r="F412" s="172">
        <f ca="1">Start.listina!Z31</f>
        <v>0</v>
      </c>
      <c r="G412" s="161"/>
    </row>
    <row r="413" spans="1:7">
      <c r="A413" s="172" t="str">
        <f ca="1">Start.listina!U32</f>
        <v/>
      </c>
      <c r="B413" s="173" t="str">
        <f ca="1">Start.listina!V32</f>
        <v xml:space="preserve"> </v>
      </c>
      <c r="C413" s="172" t="str">
        <f ca="1">Start.listina!W32</f>
        <v xml:space="preserve"> </v>
      </c>
      <c r="D413" s="172" t="str">
        <f ca="1">Start.listina!X32</f>
        <v xml:space="preserve"> </v>
      </c>
      <c r="E413" s="172">
        <f ca="1">Start.listina!Y32</f>
        <v>9999</v>
      </c>
      <c r="F413" s="172">
        <f ca="1">Start.listina!Z32</f>
        <v>0</v>
      </c>
      <c r="G413" s="161"/>
    </row>
    <row r="414" spans="1:7">
      <c r="A414" s="172" t="str">
        <f ca="1">Start.listina!U33</f>
        <v/>
      </c>
      <c r="B414" s="173" t="str">
        <f ca="1">Start.listina!V33</f>
        <v xml:space="preserve"> </v>
      </c>
      <c r="C414" s="172" t="str">
        <f ca="1">Start.listina!W33</f>
        <v xml:space="preserve"> </v>
      </c>
      <c r="D414" s="172" t="str">
        <f ca="1">Start.listina!X33</f>
        <v xml:space="preserve"> </v>
      </c>
      <c r="E414" s="172">
        <f ca="1">Start.listina!Y33</f>
        <v>9999</v>
      </c>
      <c r="F414" s="172">
        <f ca="1">Start.listina!Z33</f>
        <v>0</v>
      </c>
      <c r="G414" s="161"/>
    </row>
    <row r="415" spans="1:7">
      <c r="A415" s="172" t="str">
        <f ca="1">Start.listina!U34</f>
        <v/>
      </c>
      <c r="B415" s="173" t="str">
        <f ca="1">Start.listina!V34</f>
        <v xml:space="preserve"> </v>
      </c>
      <c r="C415" s="172" t="str">
        <f ca="1">Start.listina!W34</f>
        <v xml:space="preserve"> </v>
      </c>
      <c r="D415" s="172" t="str">
        <f ca="1">Start.listina!X34</f>
        <v xml:space="preserve"> </v>
      </c>
      <c r="E415" s="172">
        <f ca="1">Start.listina!Y34</f>
        <v>9999</v>
      </c>
      <c r="F415" s="172">
        <f ca="1">Start.listina!Z34</f>
        <v>0</v>
      </c>
      <c r="G415" s="161"/>
    </row>
    <row r="416" spans="1:7">
      <c r="A416" s="172" t="str">
        <f ca="1">Start.listina!U35</f>
        <v/>
      </c>
      <c r="B416" s="173" t="str">
        <f ca="1">Start.listina!V35</f>
        <v xml:space="preserve"> </v>
      </c>
      <c r="C416" s="172" t="str">
        <f ca="1">Start.listina!W35</f>
        <v xml:space="preserve"> </v>
      </c>
      <c r="D416" s="172" t="str">
        <f ca="1">Start.listina!X35</f>
        <v xml:space="preserve"> </v>
      </c>
      <c r="E416" s="172">
        <f ca="1">Start.listina!Y35</f>
        <v>9999</v>
      </c>
      <c r="F416" s="172">
        <f ca="1">Start.listina!Z35</f>
        <v>0</v>
      </c>
      <c r="G416" s="161"/>
    </row>
    <row r="417" spans="1:7">
      <c r="A417" s="172" t="str">
        <f ca="1">Start.listina!U36</f>
        <v/>
      </c>
      <c r="B417" s="173" t="str">
        <f ca="1">Start.listina!V36</f>
        <v xml:space="preserve"> </v>
      </c>
      <c r="C417" s="172" t="str">
        <f ca="1">Start.listina!W36</f>
        <v xml:space="preserve"> </v>
      </c>
      <c r="D417" s="172" t="str">
        <f ca="1">Start.listina!X36</f>
        <v xml:space="preserve"> </v>
      </c>
      <c r="E417" s="172">
        <f ca="1">Start.listina!Y36</f>
        <v>9999</v>
      </c>
      <c r="F417" s="172">
        <f ca="1">Start.listina!Z36</f>
        <v>0</v>
      </c>
      <c r="G417" s="161"/>
    </row>
    <row r="418" spans="1:7">
      <c r="A418" s="172" t="str">
        <f ca="1">Start.listina!U37</f>
        <v/>
      </c>
      <c r="B418" s="173" t="str">
        <f ca="1">Start.listina!V37</f>
        <v xml:space="preserve"> </v>
      </c>
      <c r="C418" s="172" t="str">
        <f ca="1">Start.listina!W37</f>
        <v xml:space="preserve"> </v>
      </c>
      <c r="D418" s="172" t="str">
        <f ca="1">Start.listina!X37</f>
        <v xml:space="preserve"> </v>
      </c>
      <c r="E418" s="172">
        <f ca="1">Start.listina!Y37</f>
        <v>9999</v>
      </c>
      <c r="F418" s="172">
        <f ca="1">Start.listina!Z37</f>
        <v>0</v>
      </c>
      <c r="G418" s="161"/>
    </row>
    <row r="419" spans="1:7">
      <c r="A419" s="172" t="str">
        <f ca="1">Start.listina!U38</f>
        <v/>
      </c>
      <c r="B419" s="173" t="str">
        <f ca="1">Start.listina!V38</f>
        <v xml:space="preserve"> </v>
      </c>
      <c r="C419" s="172" t="str">
        <f ca="1">Start.listina!W38</f>
        <v xml:space="preserve"> </v>
      </c>
      <c r="D419" s="172" t="str">
        <f ca="1">Start.listina!X38</f>
        <v xml:space="preserve"> </v>
      </c>
      <c r="E419" s="172">
        <f ca="1">Start.listina!Y38</f>
        <v>9999</v>
      </c>
      <c r="F419" s="172">
        <f ca="1">Start.listina!Z38</f>
        <v>0</v>
      </c>
      <c r="G419" s="161"/>
    </row>
    <row r="420" spans="1:7">
      <c r="A420" s="172" t="str">
        <f ca="1">Start.listina!U39</f>
        <v/>
      </c>
      <c r="B420" s="173" t="str">
        <f ca="1">Start.listina!V39</f>
        <v xml:space="preserve"> </v>
      </c>
      <c r="C420" s="172" t="str">
        <f ca="1">Start.listina!W39</f>
        <v xml:space="preserve"> </v>
      </c>
      <c r="D420" s="172" t="str">
        <f ca="1">Start.listina!X39</f>
        <v xml:space="preserve"> </v>
      </c>
      <c r="E420" s="172">
        <f ca="1">Start.listina!Y39</f>
        <v>9999</v>
      </c>
      <c r="F420" s="172">
        <f ca="1">Start.listina!Z39</f>
        <v>0</v>
      </c>
      <c r="G420" s="161"/>
    </row>
    <row r="421" spans="1:7">
      <c r="A421" s="172" t="str">
        <f ca="1">Start.listina!U40</f>
        <v/>
      </c>
      <c r="B421" s="173" t="str">
        <f ca="1">Start.listina!V40</f>
        <v xml:space="preserve"> </v>
      </c>
      <c r="C421" s="172" t="str">
        <f ca="1">Start.listina!W40</f>
        <v xml:space="preserve"> </v>
      </c>
      <c r="D421" s="172" t="str">
        <f ca="1">Start.listina!X40</f>
        <v xml:space="preserve"> </v>
      </c>
      <c r="E421" s="172">
        <f ca="1">Start.listina!Y40</f>
        <v>9999</v>
      </c>
      <c r="F421" s="172">
        <f ca="1">Start.listina!Z40</f>
        <v>0</v>
      </c>
      <c r="G421" s="161"/>
    </row>
    <row r="422" spans="1:7">
      <c r="A422" s="172" t="str">
        <f ca="1">Start.listina!U41</f>
        <v/>
      </c>
      <c r="B422" s="173" t="str">
        <f ca="1">Start.listina!V41</f>
        <v xml:space="preserve"> </v>
      </c>
      <c r="C422" s="172" t="str">
        <f ca="1">Start.listina!W41</f>
        <v xml:space="preserve"> </v>
      </c>
      <c r="D422" s="172" t="str">
        <f ca="1">Start.listina!X41</f>
        <v xml:space="preserve"> </v>
      </c>
      <c r="E422" s="172">
        <f ca="1">Start.listina!Y41</f>
        <v>9999</v>
      </c>
      <c r="F422" s="172">
        <f ca="1">Start.listina!Z41</f>
        <v>0</v>
      </c>
      <c r="G422" s="161"/>
    </row>
    <row r="423" spans="1:7">
      <c r="A423" s="172" t="str">
        <f ca="1">Start.listina!U42</f>
        <v/>
      </c>
      <c r="B423" s="173" t="str">
        <f ca="1">Start.listina!V42</f>
        <v xml:space="preserve"> </v>
      </c>
      <c r="C423" s="172" t="str">
        <f ca="1">Start.listina!W42</f>
        <v xml:space="preserve"> </v>
      </c>
      <c r="D423" s="172" t="str">
        <f ca="1">Start.listina!X42</f>
        <v xml:space="preserve"> </v>
      </c>
      <c r="E423" s="172">
        <f ca="1">Start.listina!Y42</f>
        <v>9999</v>
      </c>
      <c r="F423" s="172">
        <f ca="1">Start.listina!Z42</f>
        <v>0</v>
      </c>
      <c r="G423" s="161"/>
    </row>
    <row r="424" spans="1:7">
      <c r="A424" s="172" t="str">
        <f ca="1">Start.listina!U43</f>
        <v/>
      </c>
      <c r="B424" s="173" t="str">
        <f ca="1">Start.listina!V43</f>
        <v xml:space="preserve"> </v>
      </c>
      <c r="C424" s="172" t="str">
        <f ca="1">Start.listina!W43</f>
        <v xml:space="preserve"> </v>
      </c>
      <c r="D424" s="172" t="str">
        <f ca="1">Start.listina!X43</f>
        <v xml:space="preserve"> </v>
      </c>
      <c r="E424" s="172">
        <f ca="1">Start.listina!Y43</f>
        <v>9999</v>
      </c>
      <c r="F424" s="172">
        <f ca="1">Start.listina!Z43</f>
        <v>0</v>
      </c>
      <c r="G424" s="161"/>
    </row>
    <row r="425" spans="1:7">
      <c r="A425" s="172" t="str">
        <f ca="1">Start.listina!U44</f>
        <v/>
      </c>
      <c r="B425" s="173" t="str">
        <f ca="1">Start.listina!V44</f>
        <v xml:space="preserve"> </v>
      </c>
      <c r="C425" s="172" t="str">
        <f ca="1">Start.listina!W44</f>
        <v xml:space="preserve"> </v>
      </c>
      <c r="D425" s="172" t="str">
        <f ca="1">Start.listina!X44</f>
        <v xml:space="preserve"> </v>
      </c>
      <c r="E425" s="172">
        <f ca="1">Start.listina!Y44</f>
        <v>9999</v>
      </c>
      <c r="F425" s="172">
        <f ca="1">Start.listina!Z44</f>
        <v>0</v>
      </c>
      <c r="G425" s="161"/>
    </row>
    <row r="426" spans="1:7">
      <c r="A426" s="172" t="str">
        <f ca="1">Start.listina!U45</f>
        <v/>
      </c>
      <c r="B426" s="173" t="str">
        <f ca="1">Start.listina!V45</f>
        <v xml:space="preserve"> </v>
      </c>
      <c r="C426" s="172" t="str">
        <f ca="1">Start.listina!W45</f>
        <v xml:space="preserve"> </v>
      </c>
      <c r="D426" s="172" t="str">
        <f ca="1">Start.listina!X45</f>
        <v xml:space="preserve"> </v>
      </c>
      <c r="E426" s="172">
        <f ca="1">Start.listina!Y45</f>
        <v>9999</v>
      </c>
      <c r="F426" s="172">
        <f ca="1">Start.listina!Z45</f>
        <v>0</v>
      </c>
      <c r="G426" s="161"/>
    </row>
    <row r="427" spans="1:7">
      <c r="A427" s="172" t="str">
        <f ca="1">Start.listina!U46</f>
        <v/>
      </c>
      <c r="B427" s="173" t="str">
        <f ca="1">Start.listina!V46</f>
        <v xml:space="preserve"> </v>
      </c>
      <c r="C427" s="172" t="str">
        <f ca="1">Start.listina!W46</f>
        <v xml:space="preserve"> </v>
      </c>
      <c r="D427" s="172" t="str">
        <f ca="1">Start.listina!X46</f>
        <v xml:space="preserve"> </v>
      </c>
      <c r="E427" s="172">
        <f ca="1">Start.listina!Y46</f>
        <v>9999</v>
      </c>
      <c r="F427" s="172">
        <f ca="1">Start.listina!Z46</f>
        <v>0</v>
      </c>
      <c r="G427" s="161"/>
    </row>
    <row r="428" spans="1:7">
      <c r="A428" s="172" t="str">
        <f ca="1">Start.listina!U47</f>
        <v/>
      </c>
      <c r="B428" s="173" t="str">
        <f ca="1">Start.listina!V47</f>
        <v xml:space="preserve"> </v>
      </c>
      <c r="C428" s="172" t="str">
        <f ca="1">Start.listina!W47</f>
        <v xml:space="preserve"> </v>
      </c>
      <c r="D428" s="172" t="str">
        <f ca="1">Start.listina!X47</f>
        <v xml:space="preserve"> </v>
      </c>
      <c r="E428" s="172">
        <f ca="1">Start.listina!Y47</f>
        <v>9999</v>
      </c>
      <c r="F428" s="172">
        <f ca="1">Start.listina!Z47</f>
        <v>0</v>
      </c>
      <c r="G428" s="161"/>
    </row>
    <row r="429" spans="1:7">
      <c r="A429" s="172" t="str">
        <f ca="1">Start.listina!U48</f>
        <v/>
      </c>
      <c r="B429" s="173" t="str">
        <f ca="1">Start.listina!V48</f>
        <v xml:space="preserve"> </v>
      </c>
      <c r="C429" s="172" t="str">
        <f ca="1">Start.listina!W48</f>
        <v xml:space="preserve"> </v>
      </c>
      <c r="D429" s="172" t="str">
        <f ca="1">Start.listina!X48</f>
        <v xml:space="preserve"> </v>
      </c>
      <c r="E429" s="172">
        <f ca="1">Start.listina!Y48</f>
        <v>9999</v>
      </c>
      <c r="F429" s="172">
        <f ca="1">Start.listina!Z48</f>
        <v>0</v>
      </c>
      <c r="G429" s="161"/>
    </row>
    <row r="430" spans="1:7">
      <c r="A430" s="172" t="str">
        <f ca="1">Start.listina!U49</f>
        <v/>
      </c>
      <c r="B430" s="173" t="str">
        <f ca="1">Start.listina!V49</f>
        <v xml:space="preserve"> </v>
      </c>
      <c r="C430" s="172" t="str">
        <f ca="1">Start.listina!W49</f>
        <v xml:space="preserve"> </v>
      </c>
      <c r="D430" s="172" t="str">
        <f ca="1">Start.listina!X49</f>
        <v xml:space="preserve"> </v>
      </c>
      <c r="E430" s="172">
        <f ca="1">Start.listina!Y49</f>
        <v>9999</v>
      </c>
      <c r="F430" s="172">
        <f ca="1">Start.listina!Z49</f>
        <v>0</v>
      </c>
      <c r="G430" s="161"/>
    </row>
    <row r="431" spans="1:7">
      <c r="A431" s="172" t="str">
        <f ca="1">Start.listina!U50</f>
        <v/>
      </c>
      <c r="B431" s="173" t="str">
        <f ca="1">Start.listina!V50</f>
        <v xml:space="preserve"> </v>
      </c>
      <c r="C431" s="172" t="str">
        <f ca="1">Start.listina!W50</f>
        <v xml:space="preserve"> </v>
      </c>
      <c r="D431" s="172" t="str">
        <f ca="1">Start.listina!X50</f>
        <v xml:space="preserve"> </v>
      </c>
      <c r="E431" s="172">
        <f ca="1">Start.listina!Y50</f>
        <v>9999</v>
      </c>
      <c r="F431" s="172">
        <f ca="1">Start.listina!Z50</f>
        <v>0</v>
      </c>
      <c r="G431" s="161"/>
    </row>
    <row r="432" spans="1:7">
      <c r="A432" s="172" t="str">
        <f ca="1">Start.listina!U51</f>
        <v/>
      </c>
      <c r="B432" s="173" t="str">
        <f ca="1">Start.listina!V51</f>
        <v xml:space="preserve"> </v>
      </c>
      <c r="C432" s="172" t="str">
        <f ca="1">Start.listina!W51</f>
        <v xml:space="preserve"> </v>
      </c>
      <c r="D432" s="172" t="str">
        <f ca="1">Start.listina!X51</f>
        <v xml:space="preserve"> </v>
      </c>
      <c r="E432" s="172">
        <f ca="1">Start.listina!Y51</f>
        <v>9999</v>
      </c>
      <c r="F432" s="172">
        <f ca="1">Start.listina!Z51</f>
        <v>0</v>
      </c>
      <c r="G432" s="161"/>
    </row>
    <row r="433" spans="1:7">
      <c r="A433" s="172" t="str">
        <f ca="1">Start.listina!U52</f>
        <v/>
      </c>
      <c r="B433" s="173" t="str">
        <f ca="1">Start.listina!V52</f>
        <v xml:space="preserve"> </v>
      </c>
      <c r="C433" s="172" t="str">
        <f ca="1">Start.listina!W52</f>
        <v xml:space="preserve"> </v>
      </c>
      <c r="D433" s="172" t="str">
        <f ca="1">Start.listina!X52</f>
        <v xml:space="preserve"> </v>
      </c>
      <c r="E433" s="172">
        <f ca="1">Start.listina!Y52</f>
        <v>9999</v>
      </c>
      <c r="F433" s="172">
        <f ca="1">Start.listina!Z52</f>
        <v>0</v>
      </c>
      <c r="G433" s="161"/>
    </row>
    <row r="434" spans="1:7">
      <c r="A434" s="172" t="str">
        <f ca="1">Start.listina!U53</f>
        <v/>
      </c>
      <c r="B434" s="173" t="str">
        <f ca="1">Start.listina!V53</f>
        <v xml:space="preserve"> </v>
      </c>
      <c r="C434" s="172" t="str">
        <f ca="1">Start.listina!W53</f>
        <v xml:space="preserve"> </v>
      </c>
      <c r="D434" s="172" t="str">
        <f ca="1">Start.listina!X53</f>
        <v xml:space="preserve"> </v>
      </c>
      <c r="E434" s="172">
        <f ca="1">Start.listina!Y53</f>
        <v>9999</v>
      </c>
      <c r="F434" s="172">
        <f ca="1">Start.listina!Z53</f>
        <v>0</v>
      </c>
      <c r="G434" s="161"/>
    </row>
    <row r="435" spans="1:7">
      <c r="A435" s="172" t="str">
        <f ca="1">Start.listina!U54</f>
        <v/>
      </c>
      <c r="B435" s="173" t="str">
        <f ca="1">Start.listina!V54</f>
        <v xml:space="preserve"> </v>
      </c>
      <c r="C435" s="172" t="str">
        <f ca="1">Start.listina!W54</f>
        <v xml:space="preserve"> </v>
      </c>
      <c r="D435" s="172" t="str">
        <f ca="1">Start.listina!X54</f>
        <v xml:space="preserve"> </v>
      </c>
      <c r="E435" s="172">
        <f ca="1">Start.listina!Y54</f>
        <v>9999</v>
      </c>
      <c r="F435" s="172">
        <f ca="1">Start.listina!Z54</f>
        <v>0</v>
      </c>
      <c r="G435" s="161"/>
    </row>
    <row r="436" spans="1:7">
      <c r="A436" s="172" t="str">
        <f ca="1">Start.listina!U55</f>
        <v/>
      </c>
      <c r="B436" s="173" t="str">
        <f ca="1">Start.listina!V55</f>
        <v xml:space="preserve"> </v>
      </c>
      <c r="C436" s="172" t="str">
        <f ca="1">Start.listina!W55</f>
        <v xml:space="preserve"> </v>
      </c>
      <c r="D436" s="172" t="str">
        <f ca="1">Start.listina!X55</f>
        <v xml:space="preserve"> </v>
      </c>
      <c r="E436" s="172">
        <f ca="1">Start.listina!Y55</f>
        <v>9999</v>
      </c>
      <c r="F436" s="172">
        <f ca="1">Start.listina!Z55</f>
        <v>0</v>
      </c>
      <c r="G436" s="161"/>
    </row>
    <row r="437" spans="1:7">
      <c r="A437" s="172" t="str">
        <f ca="1">Start.listina!U56</f>
        <v/>
      </c>
      <c r="B437" s="173" t="str">
        <f ca="1">Start.listina!V56</f>
        <v xml:space="preserve"> </v>
      </c>
      <c r="C437" s="172" t="str">
        <f ca="1">Start.listina!W56</f>
        <v xml:space="preserve"> </v>
      </c>
      <c r="D437" s="172" t="str">
        <f ca="1">Start.listina!X56</f>
        <v xml:space="preserve"> </v>
      </c>
      <c r="E437" s="172">
        <f ca="1">Start.listina!Y56</f>
        <v>9999</v>
      </c>
      <c r="F437" s="172">
        <f ca="1">Start.listina!Z56</f>
        <v>0</v>
      </c>
      <c r="G437" s="161"/>
    </row>
    <row r="438" spans="1:7">
      <c r="A438" s="172" t="str">
        <f ca="1">Start.listina!U57</f>
        <v/>
      </c>
      <c r="B438" s="173" t="str">
        <f ca="1">Start.listina!V57</f>
        <v xml:space="preserve"> </v>
      </c>
      <c r="C438" s="172" t="str">
        <f ca="1">Start.listina!W57</f>
        <v xml:space="preserve"> </v>
      </c>
      <c r="D438" s="172" t="str">
        <f ca="1">Start.listina!X57</f>
        <v xml:space="preserve"> </v>
      </c>
      <c r="E438" s="172">
        <f ca="1">Start.listina!Y57</f>
        <v>9999</v>
      </c>
      <c r="F438" s="172">
        <f ca="1">Start.listina!Z57</f>
        <v>0</v>
      </c>
      <c r="G438" s="161"/>
    </row>
    <row r="439" spans="1:7">
      <c r="A439" s="172" t="str">
        <f ca="1">Start.listina!U58</f>
        <v/>
      </c>
      <c r="B439" s="173" t="str">
        <f ca="1">Start.listina!V58</f>
        <v xml:space="preserve"> </v>
      </c>
      <c r="C439" s="172" t="str">
        <f ca="1">Start.listina!W58</f>
        <v xml:space="preserve"> </v>
      </c>
      <c r="D439" s="172" t="str">
        <f ca="1">Start.listina!X58</f>
        <v xml:space="preserve"> </v>
      </c>
      <c r="E439" s="172">
        <f ca="1">Start.listina!Y58</f>
        <v>9999</v>
      </c>
      <c r="F439" s="172">
        <f ca="1">Start.listina!Z58</f>
        <v>0</v>
      </c>
      <c r="G439" s="161"/>
    </row>
    <row r="440" spans="1:7">
      <c r="A440" s="172" t="str">
        <f ca="1">Start.listina!U59</f>
        <v/>
      </c>
      <c r="B440" s="173" t="str">
        <f ca="1">Start.listina!V59</f>
        <v xml:space="preserve"> </v>
      </c>
      <c r="C440" s="172" t="str">
        <f ca="1">Start.listina!W59</f>
        <v xml:space="preserve"> </v>
      </c>
      <c r="D440" s="172" t="str">
        <f ca="1">Start.listina!X59</f>
        <v xml:space="preserve"> </v>
      </c>
      <c r="E440" s="172">
        <f ca="1">Start.listina!Y59</f>
        <v>9999</v>
      </c>
      <c r="F440" s="172">
        <f ca="1">Start.listina!Z59</f>
        <v>0</v>
      </c>
      <c r="G440" s="161"/>
    </row>
    <row r="441" spans="1:7">
      <c r="A441" s="172" t="str">
        <f ca="1">Start.listina!U60</f>
        <v/>
      </c>
      <c r="B441" s="173" t="str">
        <f ca="1">Start.listina!V60</f>
        <v xml:space="preserve"> </v>
      </c>
      <c r="C441" s="172" t="str">
        <f ca="1">Start.listina!W60</f>
        <v xml:space="preserve"> </v>
      </c>
      <c r="D441" s="172" t="str">
        <f ca="1">Start.listina!X60</f>
        <v xml:space="preserve"> </v>
      </c>
      <c r="E441" s="172">
        <f ca="1">Start.listina!Y60</f>
        <v>9999</v>
      </c>
      <c r="F441" s="172">
        <f ca="1">Start.listina!Z60</f>
        <v>0</v>
      </c>
      <c r="G441" s="161"/>
    </row>
    <row r="442" spans="1:7">
      <c r="A442" s="172" t="str">
        <f ca="1">Start.listina!U61</f>
        <v/>
      </c>
      <c r="B442" s="173" t="str">
        <f ca="1">Start.listina!V61</f>
        <v xml:space="preserve"> </v>
      </c>
      <c r="C442" s="172" t="str">
        <f ca="1">Start.listina!W61</f>
        <v xml:space="preserve"> </v>
      </c>
      <c r="D442" s="172" t="str">
        <f ca="1">Start.listina!X61</f>
        <v xml:space="preserve"> </v>
      </c>
      <c r="E442" s="172">
        <f ca="1">Start.listina!Y61</f>
        <v>9999</v>
      </c>
      <c r="F442" s="172">
        <f ca="1">Start.listina!Z61</f>
        <v>0</v>
      </c>
      <c r="G442" s="161"/>
    </row>
    <row r="443" spans="1:7">
      <c r="A443" s="172" t="str">
        <f ca="1">Start.listina!U62</f>
        <v/>
      </c>
      <c r="B443" s="173" t="str">
        <f ca="1">Start.listina!V62</f>
        <v xml:space="preserve"> </v>
      </c>
      <c r="C443" s="172" t="str">
        <f ca="1">Start.listina!W62</f>
        <v xml:space="preserve"> </v>
      </c>
      <c r="D443" s="172" t="str">
        <f ca="1">Start.listina!X62</f>
        <v xml:space="preserve"> </v>
      </c>
      <c r="E443" s="172">
        <f ca="1">Start.listina!Y62</f>
        <v>9999</v>
      </c>
      <c r="F443" s="172">
        <f ca="1">Start.listina!Z62</f>
        <v>0</v>
      </c>
      <c r="G443" s="161"/>
    </row>
    <row r="444" spans="1:7">
      <c r="A444" s="172" t="str">
        <f ca="1">Start.listina!U63</f>
        <v/>
      </c>
      <c r="B444" s="173" t="str">
        <f ca="1">Start.listina!V63</f>
        <v xml:space="preserve"> </v>
      </c>
      <c r="C444" s="172" t="str">
        <f ca="1">Start.listina!W63</f>
        <v xml:space="preserve"> </v>
      </c>
      <c r="D444" s="172" t="str">
        <f ca="1">Start.listina!X63</f>
        <v xml:space="preserve"> </v>
      </c>
      <c r="E444" s="172">
        <f ca="1">Start.listina!Y63</f>
        <v>9999</v>
      </c>
      <c r="F444" s="172">
        <f ca="1">Start.listina!Z63</f>
        <v>0</v>
      </c>
      <c r="G444" s="161"/>
    </row>
    <row r="445" spans="1:7">
      <c r="A445" s="172" t="str">
        <f ca="1">Start.listina!U64</f>
        <v/>
      </c>
      <c r="B445" s="173" t="str">
        <f ca="1">Start.listina!V64</f>
        <v xml:space="preserve"> </v>
      </c>
      <c r="C445" s="172" t="str">
        <f ca="1">Start.listina!W64</f>
        <v xml:space="preserve"> </v>
      </c>
      <c r="D445" s="172" t="str">
        <f ca="1">Start.listina!X64</f>
        <v xml:space="preserve"> </v>
      </c>
      <c r="E445" s="172">
        <f ca="1">Start.listina!Y64</f>
        <v>9999</v>
      </c>
      <c r="F445" s="172">
        <f ca="1">Start.listina!Z64</f>
        <v>0</v>
      </c>
      <c r="G445" s="161"/>
    </row>
    <row r="446" spans="1:7">
      <c r="A446" s="172" t="str">
        <f ca="1">Start.listina!U65</f>
        <v/>
      </c>
      <c r="B446" s="173" t="str">
        <f ca="1">Start.listina!V65</f>
        <v xml:space="preserve"> </v>
      </c>
      <c r="C446" s="172" t="str">
        <f ca="1">Start.listina!W65</f>
        <v xml:space="preserve"> </v>
      </c>
      <c r="D446" s="172" t="str">
        <f ca="1">Start.listina!X65</f>
        <v xml:space="preserve"> </v>
      </c>
      <c r="E446" s="172">
        <f ca="1">Start.listina!Y65</f>
        <v>9999</v>
      </c>
      <c r="F446" s="172">
        <f ca="1">Start.listina!Z65</f>
        <v>0</v>
      </c>
      <c r="G446" s="161"/>
    </row>
    <row r="447" spans="1:7">
      <c r="A447" s="172" t="str">
        <f ca="1">Start.listina!U66</f>
        <v/>
      </c>
      <c r="B447" s="173" t="str">
        <f ca="1">Start.listina!V66</f>
        <v xml:space="preserve"> </v>
      </c>
      <c r="C447" s="172" t="str">
        <f ca="1">Start.listina!W66</f>
        <v xml:space="preserve"> </v>
      </c>
      <c r="D447" s="172" t="str">
        <f ca="1">Start.listina!X66</f>
        <v xml:space="preserve"> </v>
      </c>
      <c r="E447" s="172">
        <f ca="1">Start.listina!Y66</f>
        <v>9999</v>
      </c>
      <c r="F447" s="172">
        <f ca="1">Start.listina!Z66</f>
        <v>0</v>
      </c>
      <c r="G447" s="161"/>
    </row>
    <row r="448" spans="1:7">
      <c r="A448" s="172" t="str">
        <f ca="1">Start.listina!U67</f>
        <v/>
      </c>
      <c r="B448" s="173" t="str">
        <f ca="1">Start.listina!V67</f>
        <v xml:space="preserve"> </v>
      </c>
      <c r="C448" s="172" t="str">
        <f ca="1">Start.listina!W67</f>
        <v xml:space="preserve"> </v>
      </c>
      <c r="D448" s="172" t="str">
        <f ca="1">Start.listina!X67</f>
        <v xml:space="preserve"> </v>
      </c>
      <c r="E448" s="172">
        <f ca="1">Start.listina!Y67</f>
        <v>9999</v>
      </c>
      <c r="F448" s="172">
        <f ca="1">Start.listina!Z67</f>
        <v>0</v>
      </c>
      <c r="G448" s="161"/>
    </row>
    <row r="449" spans="1:7">
      <c r="A449" s="172" t="str">
        <f ca="1">Start.listina!U68</f>
        <v/>
      </c>
      <c r="B449" s="173" t="str">
        <f ca="1">Start.listina!V68</f>
        <v xml:space="preserve"> </v>
      </c>
      <c r="C449" s="172" t="str">
        <f ca="1">Start.listina!W68</f>
        <v xml:space="preserve"> </v>
      </c>
      <c r="D449" s="172" t="str">
        <f ca="1">Start.listina!X68</f>
        <v xml:space="preserve"> </v>
      </c>
      <c r="E449" s="172">
        <f ca="1">Start.listina!Y68</f>
        <v>9999</v>
      </c>
      <c r="F449" s="172">
        <f ca="1">Start.listina!Z68</f>
        <v>0</v>
      </c>
      <c r="G449" s="161"/>
    </row>
    <row r="450" spans="1:7">
      <c r="A450" s="172" t="str">
        <f ca="1">Start.listina!U69</f>
        <v/>
      </c>
      <c r="B450" s="173" t="str">
        <f ca="1">Start.listina!V69</f>
        <v xml:space="preserve"> </v>
      </c>
      <c r="C450" s="172" t="str">
        <f ca="1">Start.listina!W69</f>
        <v xml:space="preserve"> </v>
      </c>
      <c r="D450" s="172" t="str">
        <f ca="1">Start.listina!X69</f>
        <v xml:space="preserve"> </v>
      </c>
      <c r="E450" s="172">
        <f ca="1">Start.listina!Y69</f>
        <v>9999</v>
      </c>
      <c r="F450" s="172">
        <f ca="1">Start.listina!Z69</f>
        <v>0</v>
      </c>
      <c r="G450" s="161"/>
    </row>
    <row r="451" spans="1:7">
      <c r="A451" s="172" t="str">
        <f ca="1">Start.listina!U70</f>
        <v/>
      </c>
      <c r="B451" s="173" t="str">
        <f ca="1">Start.listina!V70</f>
        <v xml:space="preserve"> </v>
      </c>
      <c r="C451" s="172" t="str">
        <f ca="1">Start.listina!W70</f>
        <v xml:space="preserve"> </v>
      </c>
      <c r="D451" s="172" t="str">
        <f ca="1">Start.listina!X70</f>
        <v xml:space="preserve"> </v>
      </c>
      <c r="E451" s="172">
        <f ca="1">Start.listina!Y70</f>
        <v>9999</v>
      </c>
      <c r="F451" s="172">
        <f ca="1">Start.listina!Z70</f>
        <v>0</v>
      </c>
      <c r="G451" s="161"/>
    </row>
    <row r="452" spans="1:7">
      <c r="A452" s="172" t="str">
        <f ca="1">Start.listina!U71</f>
        <v/>
      </c>
      <c r="B452" s="173" t="str">
        <f ca="1">Start.listina!V71</f>
        <v xml:space="preserve"> </v>
      </c>
      <c r="C452" s="172" t="str">
        <f ca="1">Start.listina!W71</f>
        <v xml:space="preserve"> </v>
      </c>
      <c r="D452" s="172" t="str">
        <f ca="1">Start.listina!X71</f>
        <v xml:space="preserve"> </v>
      </c>
      <c r="E452" s="172">
        <f ca="1">Start.listina!Y71</f>
        <v>9999</v>
      </c>
      <c r="F452" s="172">
        <f ca="1">Start.listina!Z71</f>
        <v>0</v>
      </c>
      <c r="G452" s="161"/>
    </row>
    <row r="453" spans="1:7">
      <c r="A453" s="172" t="str">
        <f ca="1">Start.listina!U72</f>
        <v/>
      </c>
      <c r="B453" s="173" t="str">
        <f ca="1">Start.listina!V72</f>
        <v xml:space="preserve"> </v>
      </c>
      <c r="C453" s="172" t="str">
        <f ca="1">Start.listina!W72</f>
        <v xml:space="preserve"> </v>
      </c>
      <c r="D453" s="172" t="str">
        <f ca="1">Start.listina!X72</f>
        <v xml:space="preserve"> </v>
      </c>
      <c r="E453" s="172">
        <f ca="1">Start.listina!Y72</f>
        <v>9999</v>
      </c>
      <c r="F453" s="172">
        <f ca="1">Start.listina!Z72</f>
        <v>0</v>
      </c>
      <c r="G453" s="161"/>
    </row>
    <row r="454" spans="1:7">
      <c r="A454" s="172" t="str">
        <f ca="1">Start.listina!U73</f>
        <v/>
      </c>
      <c r="B454" s="173" t="str">
        <f ca="1">Start.listina!V73</f>
        <v xml:space="preserve"> </v>
      </c>
      <c r="C454" s="172" t="str">
        <f ca="1">Start.listina!W73</f>
        <v xml:space="preserve"> </v>
      </c>
      <c r="D454" s="172" t="str">
        <f ca="1">Start.listina!X73</f>
        <v xml:space="preserve"> </v>
      </c>
      <c r="E454" s="172">
        <f ca="1">Start.listina!Y73</f>
        <v>9999</v>
      </c>
      <c r="F454" s="172">
        <f ca="1">Start.listina!Z73</f>
        <v>0</v>
      </c>
      <c r="G454" s="161"/>
    </row>
    <row r="455" spans="1:7">
      <c r="A455" s="172" t="str">
        <f ca="1">Start.listina!U74</f>
        <v/>
      </c>
      <c r="B455" s="173" t="str">
        <f ca="1">Start.listina!V74</f>
        <v xml:space="preserve"> </v>
      </c>
      <c r="C455" s="172" t="str">
        <f ca="1">Start.listina!W74</f>
        <v xml:space="preserve"> </v>
      </c>
      <c r="D455" s="172" t="str">
        <f ca="1">Start.listina!X74</f>
        <v xml:space="preserve"> </v>
      </c>
      <c r="E455" s="172">
        <f ca="1">Start.listina!Y74</f>
        <v>9999</v>
      </c>
      <c r="F455" s="172">
        <f ca="1">Start.listina!Z74</f>
        <v>0</v>
      </c>
      <c r="G455" s="161"/>
    </row>
    <row r="456" spans="1:7">
      <c r="A456" s="172" t="str">
        <f ca="1">Start.listina!U75</f>
        <v/>
      </c>
      <c r="B456" s="173" t="str">
        <f ca="1">Start.listina!V75</f>
        <v xml:space="preserve"> </v>
      </c>
      <c r="C456" s="172" t="str">
        <f ca="1">Start.listina!W75</f>
        <v xml:space="preserve"> </v>
      </c>
      <c r="D456" s="172" t="str">
        <f ca="1">Start.listina!X75</f>
        <v xml:space="preserve"> </v>
      </c>
      <c r="E456" s="172">
        <f ca="1">Start.listina!Y75</f>
        <v>9999</v>
      </c>
      <c r="F456" s="172">
        <f ca="1">Start.listina!Z75</f>
        <v>0</v>
      </c>
      <c r="G456" s="161"/>
    </row>
    <row r="457" spans="1:7">
      <c r="A457" s="172" t="str">
        <f ca="1">Start.listina!U76</f>
        <v/>
      </c>
      <c r="B457" s="173" t="str">
        <f ca="1">Start.listina!V76</f>
        <v xml:space="preserve"> </v>
      </c>
      <c r="C457" s="172" t="str">
        <f ca="1">Start.listina!W76</f>
        <v xml:space="preserve"> </v>
      </c>
      <c r="D457" s="172" t="str">
        <f ca="1">Start.listina!X76</f>
        <v xml:space="preserve"> </v>
      </c>
      <c r="E457" s="172">
        <f ca="1">Start.listina!Y76</f>
        <v>9999</v>
      </c>
      <c r="F457" s="172">
        <f ca="1">Start.listina!Z76</f>
        <v>0</v>
      </c>
      <c r="G457" s="161"/>
    </row>
    <row r="458" spans="1:7">
      <c r="A458" s="172" t="str">
        <f ca="1">Start.listina!U77</f>
        <v/>
      </c>
      <c r="B458" s="173" t="str">
        <f ca="1">Start.listina!V77</f>
        <v xml:space="preserve"> </v>
      </c>
      <c r="C458" s="172" t="str">
        <f ca="1">Start.listina!W77</f>
        <v xml:space="preserve"> </v>
      </c>
      <c r="D458" s="172" t="str">
        <f ca="1">Start.listina!X77</f>
        <v xml:space="preserve"> </v>
      </c>
      <c r="E458" s="172">
        <f ca="1">Start.listina!Y77</f>
        <v>9999</v>
      </c>
      <c r="F458" s="172">
        <f ca="1">Start.listina!Z77</f>
        <v>0</v>
      </c>
      <c r="G458" s="161"/>
    </row>
    <row r="459" spans="1:7">
      <c r="A459" s="172" t="str">
        <f ca="1">Start.listina!U78</f>
        <v/>
      </c>
      <c r="B459" s="173" t="str">
        <f ca="1">Start.listina!V78</f>
        <v xml:space="preserve"> </v>
      </c>
      <c r="C459" s="172" t="str">
        <f ca="1">Start.listina!W78</f>
        <v xml:space="preserve"> </v>
      </c>
      <c r="D459" s="172" t="str">
        <f ca="1">Start.listina!X78</f>
        <v xml:space="preserve"> </v>
      </c>
      <c r="E459" s="172">
        <f ca="1">Start.listina!Y78</f>
        <v>9999</v>
      </c>
      <c r="F459" s="172">
        <f ca="1">Start.listina!Z78</f>
        <v>0</v>
      </c>
      <c r="G459" s="161"/>
    </row>
    <row r="460" spans="1:7">
      <c r="A460" s="172" t="str">
        <f ca="1">Start.listina!U79</f>
        <v/>
      </c>
      <c r="B460" s="173" t="str">
        <f ca="1">Start.listina!V79</f>
        <v xml:space="preserve"> </v>
      </c>
      <c r="C460" s="172" t="str">
        <f ca="1">Start.listina!W79</f>
        <v xml:space="preserve"> </v>
      </c>
      <c r="D460" s="172" t="str">
        <f ca="1">Start.listina!X79</f>
        <v xml:space="preserve"> </v>
      </c>
      <c r="E460" s="172">
        <f ca="1">Start.listina!Y79</f>
        <v>9999</v>
      </c>
      <c r="F460" s="172">
        <f ca="1">Start.listina!Z79</f>
        <v>0</v>
      </c>
      <c r="G460" s="161"/>
    </row>
    <row r="461" spans="1:7">
      <c r="A461" s="172" t="str">
        <f ca="1">Start.listina!U80</f>
        <v/>
      </c>
      <c r="B461" s="173" t="str">
        <f ca="1">Start.listina!V80</f>
        <v xml:space="preserve"> </v>
      </c>
      <c r="C461" s="172" t="str">
        <f ca="1">Start.listina!W80</f>
        <v xml:space="preserve"> </v>
      </c>
      <c r="D461" s="172" t="str">
        <f ca="1">Start.listina!X80</f>
        <v xml:space="preserve"> </v>
      </c>
      <c r="E461" s="172">
        <f ca="1">Start.listina!Y80</f>
        <v>9999</v>
      </c>
      <c r="F461" s="172">
        <f ca="1">Start.listina!Z80</f>
        <v>0</v>
      </c>
      <c r="G461" s="161"/>
    </row>
    <row r="462" spans="1:7">
      <c r="A462" s="172" t="str">
        <f ca="1">Start.listina!U81</f>
        <v/>
      </c>
      <c r="B462" s="173" t="str">
        <f ca="1">Start.listina!V81</f>
        <v xml:space="preserve"> </v>
      </c>
      <c r="C462" s="172" t="str">
        <f ca="1">Start.listina!W81</f>
        <v xml:space="preserve"> </v>
      </c>
      <c r="D462" s="172" t="str">
        <f ca="1">Start.listina!X81</f>
        <v xml:space="preserve"> </v>
      </c>
      <c r="E462" s="172">
        <f ca="1">Start.listina!Y81</f>
        <v>9999</v>
      </c>
      <c r="F462" s="172">
        <f ca="1">Start.listina!Z81</f>
        <v>0</v>
      </c>
      <c r="G462" s="161"/>
    </row>
    <row r="463" spans="1:7">
      <c r="A463" s="172" t="str">
        <f ca="1">Start.listina!U82</f>
        <v/>
      </c>
      <c r="B463" s="173" t="str">
        <f ca="1">Start.listina!V82</f>
        <v xml:space="preserve"> </v>
      </c>
      <c r="C463" s="172" t="str">
        <f ca="1">Start.listina!W82</f>
        <v xml:space="preserve"> </v>
      </c>
      <c r="D463" s="172" t="str">
        <f ca="1">Start.listina!X82</f>
        <v xml:space="preserve"> </v>
      </c>
      <c r="E463" s="172">
        <f ca="1">Start.listina!Y82</f>
        <v>9999</v>
      </c>
      <c r="F463" s="172">
        <f ca="1">Start.listina!Z82</f>
        <v>0</v>
      </c>
      <c r="G463" s="161"/>
    </row>
    <row r="464" spans="1:7">
      <c r="A464" s="172" t="str">
        <f ca="1">Start.listina!U83</f>
        <v/>
      </c>
      <c r="B464" s="173" t="str">
        <f ca="1">Start.listina!V83</f>
        <v xml:space="preserve"> </v>
      </c>
      <c r="C464" s="172" t="str">
        <f ca="1">Start.listina!W83</f>
        <v xml:space="preserve"> </v>
      </c>
      <c r="D464" s="172" t="str">
        <f ca="1">Start.listina!X83</f>
        <v xml:space="preserve"> </v>
      </c>
      <c r="E464" s="172">
        <f ca="1">Start.listina!Y83</f>
        <v>9999</v>
      </c>
      <c r="F464" s="172">
        <f ca="1">Start.listina!Z83</f>
        <v>0</v>
      </c>
      <c r="G464" s="161"/>
    </row>
    <row r="465" spans="1:7">
      <c r="A465" s="172" t="str">
        <f ca="1">Start.listina!U84</f>
        <v/>
      </c>
      <c r="B465" s="173" t="str">
        <f ca="1">Start.listina!V84</f>
        <v xml:space="preserve"> </v>
      </c>
      <c r="C465" s="172" t="str">
        <f ca="1">Start.listina!W84</f>
        <v xml:space="preserve"> </v>
      </c>
      <c r="D465" s="172" t="str">
        <f ca="1">Start.listina!X84</f>
        <v xml:space="preserve"> </v>
      </c>
      <c r="E465" s="172">
        <f ca="1">Start.listina!Y84</f>
        <v>9999</v>
      </c>
      <c r="F465" s="172">
        <f ca="1">Start.listina!Z84</f>
        <v>0</v>
      </c>
      <c r="G465" s="161"/>
    </row>
    <row r="466" spans="1:7">
      <c r="A466" s="172" t="str">
        <f ca="1">Start.listina!U85</f>
        <v/>
      </c>
      <c r="B466" s="173" t="str">
        <f ca="1">Start.listina!V85</f>
        <v xml:space="preserve"> </v>
      </c>
      <c r="C466" s="172" t="str">
        <f ca="1">Start.listina!W85</f>
        <v xml:space="preserve"> </v>
      </c>
      <c r="D466" s="172" t="str">
        <f ca="1">Start.listina!X85</f>
        <v xml:space="preserve"> </v>
      </c>
      <c r="E466" s="172">
        <f ca="1">Start.listina!Y85</f>
        <v>9999</v>
      </c>
      <c r="F466" s="172">
        <f ca="1">Start.listina!Z85</f>
        <v>0</v>
      </c>
      <c r="G466" s="161"/>
    </row>
    <row r="467" spans="1:7">
      <c r="A467" s="172" t="str">
        <f ca="1">Start.listina!U86</f>
        <v/>
      </c>
      <c r="B467" s="173" t="str">
        <f ca="1">Start.listina!V86</f>
        <v xml:space="preserve"> </v>
      </c>
      <c r="C467" s="172" t="str">
        <f ca="1">Start.listina!W86</f>
        <v xml:space="preserve"> </v>
      </c>
      <c r="D467" s="172" t="str">
        <f ca="1">Start.listina!X86</f>
        <v xml:space="preserve"> </v>
      </c>
      <c r="E467" s="172">
        <f ca="1">Start.listina!Y86</f>
        <v>9999</v>
      </c>
      <c r="F467" s="172">
        <f ca="1">Start.listina!Z86</f>
        <v>0</v>
      </c>
      <c r="G467" s="161"/>
    </row>
    <row r="468" spans="1:7">
      <c r="A468" s="172" t="str">
        <f ca="1">Start.listina!U87</f>
        <v/>
      </c>
      <c r="B468" s="173" t="str">
        <f ca="1">Start.listina!V87</f>
        <v xml:space="preserve"> </v>
      </c>
      <c r="C468" s="172" t="str">
        <f ca="1">Start.listina!W87</f>
        <v xml:space="preserve"> </v>
      </c>
      <c r="D468" s="172" t="str">
        <f ca="1">Start.listina!X87</f>
        <v xml:space="preserve"> </v>
      </c>
      <c r="E468" s="172">
        <f ca="1">Start.listina!Y87</f>
        <v>9999</v>
      </c>
      <c r="F468" s="172">
        <f ca="1">Start.listina!Z87</f>
        <v>0</v>
      </c>
      <c r="G468" s="161"/>
    </row>
    <row r="469" spans="1:7">
      <c r="A469" s="172" t="str">
        <f ca="1">Start.listina!U88</f>
        <v/>
      </c>
      <c r="B469" s="173" t="str">
        <f ca="1">Start.listina!V88</f>
        <v xml:space="preserve"> </v>
      </c>
      <c r="C469" s="172" t="str">
        <f ca="1">Start.listina!W88</f>
        <v xml:space="preserve"> </v>
      </c>
      <c r="D469" s="172" t="str">
        <f ca="1">Start.listina!X88</f>
        <v xml:space="preserve"> </v>
      </c>
      <c r="E469" s="172">
        <f ca="1">Start.listina!Y88</f>
        <v>9999</v>
      </c>
      <c r="F469" s="172">
        <f ca="1">Start.listina!Z88</f>
        <v>0</v>
      </c>
      <c r="G469" s="161"/>
    </row>
    <row r="470" spans="1:7">
      <c r="A470" s="172" t="str">
        <f ca="1">Start.listina!U89</f>
        <v/>
      </c>
      <c r="B470" s="173" t="str">
        <f ca="1">Start.listina!V89</f>
        <v xml:space="preserve"> </v>
      </c>
      <c r="C470" s="172" t="str">
        <f ca="1">Start.listina!W89</f>
        <v xml:space="preserve"> </v>
      </c>
      <c r="D470" s="172" t="str">
        <f ca="1">Start.listina!X89</f>
        <v xml:space="preserve"> </v>
      </c>
      <c r="E470" s="172">
        <f ca="1">Start.listina!Y89</f>
        <v>9999</v>
      </c>
      <c r="F470" s="172">
        <f ca="1">Start.listina!Z89</f>
        <v>0</v>
      </c>
      <c r="G470" s="161"/>
    </row>
    <row r="471" spans="1:7">
      <c r="A471" s="172" t="str">
        <f ca="1">Start.listina!U90</f>
        <v/>
      </c>
      <c r="B471" s="173" t="str">
        <f ca="1">Start.listina!V90</f>
        <v xml:space="preserve"> </v>
      </c>
      <c r="C471" s="172" t="str">
        <f ca="1">Start.listina!W90</f>
        <v xml:space="preserve"> </v>
      </c>
      <c r="D471" s="172" t="str">
        <f ca="1">Start.listina!X90</f>
        <v xml:space="preserve"> </v>
      </c>
      <c r="E471" s="172">
        <f ca="1">Start.listina!Y90</f>
        <v>9999</v>
      </c>
      <c r="F471" s="172">
        <f ca="1">Start.listina!Z90</f>
        <v>0</v>
      </c>
      <c r="G471" s="161"/>
    </row>
    <row r="472" spans="1:7">
      <c r="A472" s="172" t="str">
        <f ca="1">Start.listina!U91</f>
        <v/>
      </c>
      <c r="B472" s="173" t="str">
        <f ca="1">Start.listina!V91</f>
        <v xml:space="preserve"> </v>
      </c>
      <c r="C472" s="172" t="str">
        <f ca="1">Start.listina!W91</f>
        <v xml:space="preserve"> </v>
      </c>
      <c r="D472" s="172" t="str">
        <f ca="1">Start.listina!X91</f>
        <v xml:space="preserve"> </v>
      </c>
      <c r="E472" s="172">
        <f ca="1">Start.listina!Y91</f>
        <v>9999</v>
      </c>
      <c r="F472" s="172">
        <f ca="1">Start.listina!Z91</f>
        <v>0</v>
      </c>
      <c r="G472" s="161"/>
    </row>
    <row r="473" spans="1:7">
      <c r="A473" s="172" t="str">
        <f ca="1">Start.listina!U92</f>
        <v/>
      </c>
      <c r="B473" s="173" t="str">
        <f ca="1">Start.listina!V92</f>
        <v xml:space="preserve"> </v>
      </c>
      <c r="C473" s="172" t="str">
        <f ca="1">Start.listina!W92</f>
        <v xml:space="preserve"> </v>
      </c>
      <c r="D473" s="172" t="str">
        <f ca="1">Start.listina!X92</f>
        <v xml:space="preserve"> </v>
      </c>
      <c r="E473" s="172">
        <f ca="1">Start.listina!Y92</f>
        <v>9999</v>
      </c>
      <c r="F473" s="172">
        <f ca="1">Start.listina!Z92</f>
        <v>0</v>
      </c>
      <c r="G473" s="161"/>
    </row>
    <row r="474" spans="1:7">
      <c r="A474" s="172" t="str">
        <f ca="1">Start.listina!U93</f>
        <v/>
      </c>
      <c r="B474" s="173" t="str">
        <f ca="1">Start.listina!V93</f>
        <v xml:space="preserve"> </v>
      </c>
      <c r="C474" s="172" t="str">
        <f ca="1">Start.listina!W93</f>
        <v xml:space="preserve"> </v>
      </c>
      <c r="D474" s="172" t="str">
        <f ca="1">Start.listina!X93</f>
        <v xml:space="preserve"> </v>
      </c>
      <c r="E474" s="172">
        <f ca="1">Start.listina!Y93</f>
        <v>9999</v>
      </c>
      <c r="F474" s="172">
        <f ca="1">Start.listina!Z93</f>
        <v>0</v>
      </c>
      <c r="G474" s="161"/>
    </row>
    <row r="475" spans="1:7">
      <c r="A475" s="172" t="str">
        <f ca="1">Start.listina!U94</f>
        <v/>
      </c>
      <c r="B475" s="173" t="str">
        <f ca="1">Start.listina!V94</f>
        <v xml:space="preserve"> </v>
      </c>
      <c r="C475" s="172" t="str">
        <f ca="1">Start.listina!W94</f>
        <v xml:space="preserve"> </v>
      </c>
      <c r="D475" s="172" t="str">
        <f ca="1">Start.listina!X94</f>
        <v xml:space="preserve"> </v>
      </c>
      <c r="E475" s="172">
        <f ca="1">Start.listina!Y94</f>
        <v>9999</v>
      </c>
      <c r="F475" s="172">
        <f ca="1">Start.listina!Z94</f>
        <v>0</v>
      </c>
      <c r="G475" s="161"/>
    </row>
    <row r="476" spans="1:7">
      <c r="A476" s="172" t="str">
        <f ca="1">Start.listina!U95</f>
        <v/>
      </c>
      <c r="B476" s="173" t="str">
        <f ca="1">Start.listina!V95</f>
        <v xml:space="preserve"> </v>
      </c>
      <c r="C476" s="172" t="str">
        <f ca="1">Start.listina!W95</f>
        <v xml:space="preserve"> </v>
      </c>
      <c r="D476" s="172" t="str">
        <f ca="1">Start.listina!X95</f>
        <v xml:space="preserve"> </v>
      </c>
      <c r="E476" s="172">
        <f ca="1">Start.listina!Y95</f>
        <v>9999</v>
      </c>
      <c r="F476" s="172">
        <f ca="1">Start.listina!Z95</f>
        <v>0</v>
      </c>
      <c r="G476" s="161"/>
    </row>
    <row r="477" spans="1:7">
      <c r="A477" s="172" t="str">
        <f ca="1">Start.listina!U96</f>
        <v/>
      </c>
      <c r="B477" s="173" t="str">
        <f ca="1">Start.listina!V96</f>
        <v xml:space="preserve"> </v>
      </c>
      <c r="C477" s="172" t="str">
        <f ca="1">Start.listina!W96</f>
        <v xml:space="preserve"> </v>
      </c>
      <c r="D477" s="172" t="str">
        <f ca="1">Start.listina!X96</f>
        <v xml:space="preserve"> </v>
      </c>
      <c r="E477" s="172">
        <f ca="1">Start.listina!Y96</f>
        <v>9999</v>
      </c>
      <c r="F477" s="172">
        <f ca="1">Start.listina!Z96</f>
        <v>0</v>
      </c>
      <c r="G477" s="161"/>
    </row>
    <row r="478" spans="1:7">
      <c r="A478" s="172" t="str">
        <f ca="1">Start.listina!U97</f>
        <v/>
      </c>
      <c r="B478" s="173" t="str">
        <f ca="1">Start.listina!V97</f>
        <v xml:space="preserve"> </v>
      </c>
      <c r="C478" s="172" t="str">
        <f ca="1">Start.listina!W97</f>
        <v xml:space="preserve"> </v>
      </c>
      <c r="D478" s="172" t="str">
        <f ca="1">Start.listina!X97</f>
        <v xml:space="preserve"> </v>
      </c>
      <c r="E478" s="172">
        <f ca="1">Start.listina!Y97</f>
        <v>9999</v>
      </c>
      <c r="F478" s="172">
        <f ca="1">Start.listina!Z97</f>
        <v>0</v>
      </c>
      <c r="G478" s="161"/>
    </row>
    <row r="479" spans="1:7">
      <c r="A479" s="172" t="str">
        <f ca="1">Start.listina!U98</f>
        <v/>
      </c>
      <c r="B479" s="173" t="str">
        <f ca="1">Start.listina!V98</f>
        <v xml:space="preserve"> </v>
      </c>
      <c r="C479" s="172" t="str">
        <f ca="1">Start.listina!W98</f>
        <v xml:space="preserve"> </v>
      </c>
      <c r="D479" s="172" t="str">
        <f ca="1">Start.listina!X98</f>
        <v xml:space="preserve"> </v>
      </c>
      <c r="E479" s="172">
        <f ca="1">Start.listina!Y98</f>
        <v>9999</v>
      </c>
      <c r="F479" s="172">
        <f ca="1">Start.listina!Z98</f>
        <v>0</v>
      </c>
      <c r="G479" s="161"/>
    </row>
    <row r="480" spans="1:7">
      <c r="A480" s="172" t="str">
        <f ca="1">Start.listina!U99</f>
        <v/>
      </c>
      <c r="B480" s="173" t="str">
        <f ca="1">Start.listina!V99</f>
        <v xml:space="preserve"> </v>
      </c>
      <c r="C480" s="172" t="str">
        <f ca="1">Start.listina!W99</f>
        <v xml:space="preserve"> </v>
      </c>
      <c r="D480" s="172" t="str">
        <f ca="1">Start.listina!X99</f>
        <v xml:space="preserve"> </v>
      </c>
      <c r="E480" s="172">
        <f ca="1">Start.listina!Y99</f>
        <v>9999</v>
      </c>
      <c r="F480" s="172">
        <f ca="1">Start.listina!Z99</f>
        <v>0</v>
      </c>
      <c r="G480" s="161"/>
    </row>
    <row r="481" spans="1:7">
      <c r="A481" s="172" t="str">
        <f ca="1">Start.listina!U100</f>
        <v/>
      </c>
      <c r="B481" s="173" t="str">
        <f ca="1">Start.listina!V100</f>
        <v xml:space="preserve"> </v>
      </c>
      <c r="C481" s="172" t="str">
        <f ca="1">Start.listina!W100</f>
        <v xml:space="preserve"> </v>
      </c>
      <c r="D481" s="172" t="str">
        <f ca="1">Start.listina!X100</f>
        <v xml:space="preserve"> </v>
      </c>
      <c r="E481" s="172">
        <f ca="1">Start.listina!Y100</f>
        <v>9999</v>
      </c>
      <c r="F481" s="172">
        <f ca="1">Start.listina!Z100</f>
        <v>0</v>
      </c>
      <c r="G481" s="161"/>
    </row>
    <row r="482" spans="1:7">
      <c r="A482" s="172" t="str">
        <f ca="1">Start.listina!U101</f>
        <v/>
      </c>
      <c r="B482" s="173" t="str">
        <f ca="1">Start.listina!V101</f>
        <v xml:space="preserve"> </v>
      </c>
      <c r="C482" s="172" t="str">
        <f ca="1">Start.listina!W101</f>
        <v xml:space="preserve"> </v>
      </c>
      <c r="D482" s="172" t="str">
        <f ca="1">Start.listina!X101</f>
        <v xml:space="preserve"> </v>
      </c>
      <c r="E482" s="172">
        <f ca="1">Start.listina!Y101</f>
        <v>9999</v>
      </c>
      <c r="F482" s="172">
        <f ca="1">Start.listina!Z101</f>
        <v>0</v>
      </c>
      <c r="G482" s="161"/>
    </row>
    <row r="483" spans="1:7">
      <c r="A483" s="172" t="str">
        <f ca="1">Start.listina!U102</f>
        <v/>
      </c>
      <c r="B483" s="173" t="str">
        <f ca="1">Start.listina!V102</f>
        <v xml:space="preserve"> </v>
      </c>
      <c r="C483" s="172" t="str">
        <f ca="1">Start.listina!W102</f>
        <v xml:space="preserve"> </v>
      </c>
      <c r="D483" s="172" t="str">
        <f ca="1">Start.listina!X102</f>
        <v xml:space="preserve"> </v>
      </c>
      <c r="E483" s="172">
        <f ca="1">Start.listina!Y102</f>
        <v>9999</v>
      </c>
      <c r="F483" s="172">
        <f ca="1">Start.listina!Z102</f>
        <v>0</v>
      </c>
      <c r="G483" s="161"/>
    </row>
    <row r="484" spans="1:7">
      <c r="A484" s="172" t="str">
        <f ca="1">Start.listina!U103</f>
        <v/>
      </c>
      <c r="B484" s="173" t="str">
        <f ca="1">Start.listina!V103</f>
        <v xml:space="preserve"> </v>
      </c>
      <c r="C484" s="172" t="str">
        <f ca="1">Start.listina!W103</f>
        <v xml:space="preserve"> </v>
      </c>
      <c r="D484" s="172" t="str">
        <f ca="1">Start.listina!X103</f>
        <v xml:space="preserve"> </v>
      </c>
      <c r="E484" s="172">
        <f ca="1">Start.listina!Y103</f>
        <v>9999</v>
      </c>
      <c r="F484" s="172">
        <f ca="1">Start.listina!Z103</f>
        <v>0</v>
      </c>
      <c r="G484" s="161"/>
    </row>
    <row r="485" spans="1:7">
      <c r="A485" s="172" t="str">
        <f ca="1">Start.listina!U104</f>
        <v/>
      </c>
      <c r="B485" s="173" t="str">
        <f ca="1">Start.listina!V104</f>
        <v xml:space="preserve"> </v>
      </c>
      <c r="C485" s="172" t="str">
        <f ca="1">Start.listina!W104</f>
        <v xml:space="preserve"> </v>
      </c>
      <c r="D485" s="172" t="str">
        <f ca="1">Start.listina!X104</f>
        <v xml:space="preserve"> </v>
      </c>
      <c r="E485" s="172">
        <f ca="1">Start.listina!Y104</f>
        <v>9999</v>
      </c>
      <c r="F485" s="172">
        <f ca="1">Start.listina!Z104</f>
        <v>0</v>
      </c>
      <c r="G485" s="161"/>
    </row>
    <row r="486" spans="1:7">
      <c r="A486" s="172" t="str">
        <f ca="1">Start.listina!U105</f>
        <v/>
      </c>
      <c r="B486" s="173" t="str">
        <f ca="1">Start.listina!V105</f>
        <v xml:space="preserve"> </v>
      </c>
      <c r="C486" s="172" t="str">
        <f ca="1">Start.listina!W105</f>
        <v xml:space="preserve"> </v>
      </c>
      <c r="D486" s="172" t="str">
        <f ca="1">Start.listina!X105</f>
        <v xml:space="preserve"> </v>
      </c>
      <c r="E486" s="172">
        <f ca="1">Start.listina!Y105</f>
        <v>9999</v>
      </c>
      <c r="F486" s="172">
        <f ca="1">Start.listina!Z105</f>
        <v>0</v>
      </c>
      <c r="G486" s="161"/>
    </row>
    <row r="487" spans="1:7">
      <c r="A487" s="172" t="str">
        <f ca="1">Start.listina!U106</f>
        <v/>
      </c>
      <c r="B487" s="173" t="str">
        <f ca="1">Start.listina!V106</f>
        <v xml:space="preserve"> </v>
      </c>
      <c r="C487" s="172" t="str">
        <f ca="1">Start.listina!W106</f>
        <v xml:space="preserve"> </v>
      </c>
      <c r="D487" s="172" t="str">
        <f ca="1">Start.listina!X106</f>
        <v xml:space="preserve"> </v>
      </c>
      <c r="E487" s="172">
        <f ca="1">Start.listina!Y106</f>
        <v>9999</v>
      </c>
      <c r="F487" s="172">
        <f ca="1">Start.listina!Z106</f>
        <v>0</v>
      </c>
      <c r="G487" s="161"/>
    </row>
    <row r="488" spans="1:7">
      <c r="A488" s="172" t="str">
        <f ca="1">Start.listina!U107</f>
        <v/>
      </c>
      <c r="B488" s="173" t="str">
        <f ca="1">Start.listina!V107</f>
        <v xml:space="preserve"> </v>
      </c>
      <c r="C488" s="172" t="str">
        <f ca="1">Start.listina!W107</f>
        <v xml:space="preserve"> </v>
      </c>
      <c r="D488" s="172" t="str">
        <f ca="1">Start.listina!X107</f>
        <v xml:space="preserve"> </v>
      </c>
      <c r="E488" s="172">
        <f ca="1">Start.listina!Y107</f>
        <v>9999</v>
      </c>
      <c r="F488" s="172">
        <f ca="1">Start.listina!Z107</f>
        <v>0</v>
      </c>
      <c r="G488" s="161"/>
    </row>
    <row r="489" spans="1:7">
      <c r="A489" s="172" t="str">
        <f ca="1">Start.listina!U108</f>
        <v/>
      </c>
      <c r="B489" s="173" t="str">
        <f ca="1">Start.listina!V108</f>
        <v xml:space="preserve"> </v>
      </c>
      <c r="C489" s="172" t="str">
        <f ca="1">Start.listina!W108</f>
        <v xml:space="preserve"> </v>
      </c>
      <c r="D489" s="172" t="str">
        <f ca="1">Start.listina!X108</f>
        <v xml:space="preserve"> </v>
      </c>
      <c r="E489" s="172">
        <f ca="1">Start.listina!Y108</f>
        <v>9999</v>
      </c>
      <c r="F489" s="172">
        <f ca="1">Start.listina!Z108</f>
        <v>0</v>
      </c>
      <c r="G489" s="161"/>
    </row>
    <row r="490" spans="1:7">
      <c r="A490" s="172" t="str">
        <f ca="1">Start.listina!U109</f>
        <v/>
      </c>
      <c r="B490" s="173" t="str">
        <f ca="1">Start.listina!V109</f>
        <v xml:space="preserve"> </v>
      </c>
      <c r="C490" s="172" t="str">
        <f ca="1">Start.listina!W109</f>
        <v xml:space="preserve"> </v>
      </c>
      <c r="D490" s="172" t="str">
        <f ca="1">Start.listina!X109</f>
        <v xml:space="preserve"> </v>
      </c>
      <c r="E490" s="172">
        <f ca="1">Start.listina!Y109</f>
        <v>9999</v>
      </c>
      <c r="F490" s="172">
        <f ca="1">Start.listina!Z109</f>
        <v>0</v>
      </c>
      <c r="G490" s="161"/>
    </row>
    <row r="491" spans="1:7">
      <c r="A491" s="172" t="str">
        <f ca="1">Start.listina!U110</f>
        <v/>
      </c>
      <c r="B491" s="173" t="str">
        <f ca="1">Start.listina!V110</f>
        <v xml:space="preserve"> </v>
      </c>
      <c r="C491" s="172" t="str">
        <f ca="1">Start.listina!W110</f>
        <v xml:space="preserve"> </v>
      </c>
      <c r="D491" s="172" t="str">
        <f ca="1">Start.listina!X110</f>
        <v xml:space="preserve"> </v>
      </c>
      <c r="E491" s="172">
        <f ca="1">Start.listina!Y110</f>
        <v>9999</v>
      </c>
      <c r="F491" s="172">
        <f ca="1">Start.listina!Z110</f>
        <v>0</v>
      </c>
      <c r="G491" s="161"/>
    </row>
    <row r="492" spans="1:7">
      <c r="A492" s="172" t="str">
        <f ca="1">Start.listina!U111</f>
        <v/>
      </c>
      <c r="B492" s="173" t="str">
        <f ca="1">Start.listina!V111</f>
        <v xml:space="preserve"> </v>
      </c>
      <c r="C492" s="172" t="str">
        <f ca="1">Start.listina!W111</f>
        <v xml:space="preserve"> </v>
      </c>
      <c r="D492" s="172" t="str">
        <f ca="1">Start.listina!X111</f>
        <v xml:space="preserve"> </v>
      </c>
      <c r="E492" s="172">
        <f ca="1">Start.listina!Y111</f>
        <v>9999</v>
      </c>
      <c r="F492" s="172">
        <f ca="1">Start.listina!Z111</f>
        <v>0</v>
      </c>
      <c r="G492" s="161"/>
    </row>
    <row r="493" spans="1:7">
      <c r="A493" s="172" t="str">
        <f ca="1">Start.listina!U112</f>
        <v/>
      </c>
      <c r="B493" s="173" t="str">
        <f ca="1">Start.listina!V112</f>
        <v xml:space="preserve"> </v>
      </c>
      <c r="C493" s="172" t="str">
        <f ca="1">Start.listina!W112</f>
        <v xml:space="preserve"> </v>
      </c>
      <c r="D493" s="172" t="str">
        <f ca="1">Start.listina!X112</f>
        <v xml:space="preserve"> </v>
      </c>
      <c r="E493" s="172">
        <f ca="1">Start.listina!Y112</f>
        <v>9999</v>
      </c>
      <c r="F493" s="172">
        <f ca="1">Start.listina!Z112</f>
        <v>0</v>
      </c>
      <c r="G493" s="161"/>
    </row>
    <row r="494" spans="1:7">
      <c r="A494" s="172" t="str">
        <f ca="1">Start.listina!U113</f>
        <v/>
      </c>
      <c r="B494" s="173" t="str">
        <f ca="1">Start.listina!V113</f>
        <v xml:space="preserve"> </v>
      </c>
      <c r="C494" s="172" t="str">
        <f ca="1">Start.listina!W113</f>
        <v xml:space="preserve"> </v>
      </c>
      <c r="D494" s="172" t="str">
        <f ca="1">Start.listina!X113</f>
        <v xml:space="preserve"> </v>
      </c>
      <c r="E494" s="172">
        <f ca="1">Start.listina!Y113</f>
        <v>9999</v>
      </c>
      <c r="F494" s="172">
        <f ca="1">Start.listina!Z113</f>
        <v>0</v>
      </c>
      <c r="G494" s="161"/>
    </row>
    <row r="495" spans="1:7">
      <c r="A495" s="172" t="str">
        <f ca="1">Start.listina!U114</f>
        <v/>
      </c>
      <c r="B495" s="173" t="str">
        <f ca="1">Start.listina!V114</f>
        <v xml:space="preserve"> </v>
      </c>
      <c r="C495" s="172" t="str">
        <f ca="1">Start.listina!W114</f>
        <v xml:space="preserve"> </v>
      </c>
      <c r="D495" s="172" t="str">
        <f ca="1">Start.listina!X114</f>
        <v xml:space="preserve"> </v>
      </c>
      <c r="E495" s="172">
        <f ca="1">Start.listina!Y114</f>
        <v>9999</v>
      </c>
      <c r="F495" s="172">
        <f ca="1">Start.listina!Z114</f>
        <v>0</v>
      </c>
      <c r="G495" s="161"/>
    </row>
    <row r="496" spans="1:7">
      <c r="A496" s="172" t="str">
        <f ca="1">Start.listina!U115</f>
        <v/>
      </c>
      <c r="B496" s="173" t="str">
        <f ca="1">Start.listina!V115</f>
        <v xml:space="preserve"> </v>
      </c>
      <c r="C496" s="172" t="str">
        <f ca="1">Start.listina!W115</f>
        <v xml:space="preserve"> </v>
      </c>
      <c r="D496" s="172" t="str">
        <f ca="1">Start.listina!X115</f>
        <v xml:space="preserve"> </v>
      </c>
      <c r="E496" s="172">
        <f ca="1">Start.listina!Y115</f>
        <v>9999</v>
      </c>
      <c r="F496" s="172">
        <f ca="1">Start.listina!Z115</f>
        <v>0</v>
      </c>
      <c r="G496" s="161"/>
    </row>
    <row r="497" spans="1:7">
      <c r="A497" s="172" t="str">
        <f ca="1">Start.listina!U116</f>
        <v/>
      </c>
      <c r="B497" s="173" t="str">
        <f ca="1">Start.listina!V116</f>
        <v xml:space="preserve"> </v>
      </c>
      <c r="C497" s="172" t="str">
        <f ca="1">Start.listina!W116</f>
        <v xml:space="preserve"> </v>
      </c>
      <c r="D497" s="172" t="str">
        <f ca="1">Start.listina!X116</f>
        <v xml:space="preserve"> </v>
      </c>
      <c r="E497" s="172">
        <f ca="1">Start.listina!Y116</f>
        <v>9999</v>
      </c>
      <c r="F497" s="172">
        <f ca="1">Start.listina!Z116</f>
        <v>0</v>
      </c>
      <c r="G497" s="161"/>
    </row>
    <row r="498" spans="1:7">
      <c r="A498" s="172" t="str">
        <f ca="1">Start.listina!U117</f>
        <v/>
      </c>
      <c r="B498" s="173" t="str">
        <f ca="1">Start.listina!V117</f>
        <v xml:space="preserve"> </v>
      </c>
      <c r="C498" s="172" t="str">
        <f ca="1">Start.listina!W117</f>
        <v xml:space="preserve"> </v>
      </c>
      <c r="D498" s="172" t="str">
        <f ca="1">Start.listina!X117</f>
        <v xml:space="preserve"> </v>
      </c>
      <c r="E498" s="172">
        <f ca="1">Start.listina!Y117</f>
        <v>9999</v>
      </c>
      <c r="F498" s="172">
        <f ca="1">Start.listina!Z117</f>
        <v>0</v>
      </c>
      <c r="G498" s="161"/>
    </row>
    <row r="499" spans="1:7">
      <c r="A499" s="172" t="str">
        <f ca="1">Start.listina!U118</f>
        <v/>
      </c>
      <c r="B499" s="173" t="str">
        <f ca="1">Start.listina!V118</f>
        <v xml:space="preserve"> </v>
      </c>
      <c r="C499" s="172" t="str">
        <f ca="1">Start.listina!W118</f>
        <v xml:space="preserve"> </v>
      </c>
      <c r="D499" s="172" t="str">
        <f ca="1">Start.listina!X118</f>
        <v xml:space="preserve"> </v>
      </c>
      <c r="E499" s="172">
        <f ca="1">Start.listina!Y118</f>
        <v>9999</v>
      </c>
      <c r="F499" s="172">
        <f ca="1">Start.listina!Z118</f>
        <v>0</v>
      </c>
      <c r="G499" s="161"/>
    </row>
    <row r="500" spans="1:7">
      <c r="A500" s="172" t="str">
        <f ca="1">Start.listina!U119</f>
        <v/>
      </c>
      <c r="B500" s="173" t="str">
        <f ca="1">Start.listina!V119</f>
        <v xml:space="preserve"> </v>
      </c>
      <c r="C500" s="172" t="str">
        <f ca="1">Start.listina!W119</f>
        <v xml:space="preserve"> </v>
      </c>
      <c r="D500" s="172" t="str">
        <f ca="1">Start.listina!X119</f>
        <v xml:space="preserve"> </v>
      </c>
      <c r="E500" s="172">
        <f ca="1">Start.listina!Y119</f>
        <v>9999</v>
      </c>
      <c r="F500" s="172">
        <f ca="1">Start.listina!Z119</f>
        <v>0</v>
      </c>
      <c r="G500" s="174"/>
    </row>
    <row r="501" spans="1:7">
      <c r="A501" s="172" t="str">
        <f ca="1">Start.listina!U120</f>
        <v/>
      </c>
      <c r="B501" s="173" t="str">
        <f ca="1">Start.listina!V120</f>
        <v xml:space="preserve"> </v>
      </c>
      <c r="C501" s="172" t="str">
        <f ca="1">Start.listina!W120</f>
        <v xml:space="preserve"> </v>
      </c>
      <c r="D501" s="172" t="str">
        <f ca="1">Start.listina!X120</f>
        <v xml:space="preserve"> </v>
      </c>
      <c r="E501" s="172">
        <f ca="1">Start.listina!Y120</f>
        <v>9999</v>
      </c>
      <c r="F501" s="172">
        <f ca="1">Start.listina!Z120</f>
        <v>0</v>
      </c>
      <c r="G501" s="174"/>
    </row>
    <row r="502" spans="1:7">
      <c r="A502" s="172" t="str">
        <f ca="1">Start.listina!U121</f>
        <v/>
      </c>
      <c r="B502" s="173" t="str">
        <f ca="1">Start.listina!V121</f>
        <v xml:space="preserve"> </v>
      </c>
      <c r="C502" s="172" t="str">
        <f ca="1">Start.listina!W121</f>
        <v xml:space="preserve"> </v>
      </c>
      <c r="D502" s="172" t="str">
        <f ca="1">Start.listina!X121</f>
        <v xml:space="preserve"> </v>
      </c>
      <c r="E502" s="172">
        <f ca="1">Start.listina!Y121</f>
        <v>9999</v>
      </c>
      <c r="F502" s="172">
        <f ca="1">Start.listina!Z121</f>
        <v>0</v>
      </c>
      <c r="G502" s="174"/>
    </row>
    <row r="503" spans="1:7">
      <c r="A503" s="172" t="str">
        <f ca="1">Start.listina!U122</f>
        <v/>
      </c>
      <c r="B503" s="173" t="str">
        <f ca="1">Start.listina!V122</f>
        <v xml:space="preserve"> </v>
      </c>
      <c r="C503" s="172" t="str">
        <f ca="1">Start.listina!W122</f>
        <v xml:space="preserve"> </v>
      </c>
      <c r="D503" s="172" t="str">
        <f ca="1">Start.listina!X122</f>
        <v xml:space="preserve"> </v>
      </c>
      <c r="E503" s="172">
        <f ca="1">Start.listina!Y122</f>
        <v>9999</v>
      </c>
      <c r="F503" s="172">
        <f ca="1">Start.listina!Z122</f>
        <v>0</v>
      </c>
      <c r="G503" s="174"/>
    </row>
    <row r="504" spans="1:7">
      <c r="A504" s="172" t="str">
        <f ca="1">Start.listina!U123</f>
        <v/>
      </c>
      <c r="B504" s="173" t="str">
        <f ca="1">Start.listina!V123</f>
        <v xml:space="preserve"> </v>
      </c>
      <c r="C504" s="172" t="str">
        <f ca="1">Start.listina!W123</f>
        <v xml:space="preserve"> </v>
      </c>
      <c r="D504" s="172" t="str">
        <f ca="1">Start.listina!X123</f>
        <v xml:space="preserve"> </v>
      </c>
      <c r="E504" s="172">
        <f ca="1">Start.listina!Y123</f>
        <v>9999</v>
      </c>
      <c r="F504" s="172">
        <f ca="1">Start.listina!Z123</f>
        <v>0</v>
      </c>
      <c r="G504" s="174"/>
    </row>
    <row r="505" spans="1:7">
      <c r="A505" s="172" t="str">
        <f ca="1">Start.listina!U124</f>
        <v/>
      </c>
      <c r="B505" s="173" t="str">
        <f ca="1">Start.listina!V124</f>
        <v xml:space="preserve"> </v>
      </c>
      <c r="C505" s="172" t="str">
        <f ca="1">Start.listina!W124</f>
        <v xml:space="preserve"> </v>
      </c>
      <c r="D505" s="172" t="str">
        <f ca="1">Start.listina!X124</f>
        <v xml:space="preserve"> </v>
      </c>
      <c r="E505" s="172">
        <f ca="1">Start.listina!Y124</f>
        <v>9999</v>
      </c>
      <c r="F505" s="172">
        <f ca="1">Start.listina!Z124</f>
        <v>0</v>
      </c>
      <c r="G505" s="174"/>
    </row>
    <row r="506" spans="1:7">
      <c r="A506" s="172" t="str">
        <f ca="1">Start.listina!U125</f>
        <v/>
      </c>
      <c r="B506" s="173" t="str">
        <f ca="1">Start.listina!V125</f>
        <v xml:space="preserve"> </v>
      </c>
      <c r="C506" s="172" t="str">
        <f ca="1">Start.listina!W125</f>
        <v xml:space="preserve"> </v>
      </c>
      <c r="D506" s="172" t="str">
        <f ca="1">Start.listina!X125</f>
        <v xml:space="preserve"> </v>
      </c>
      <c r="E506" s="172">
        <f ca="1">Start.listina!Y125</f>
        <v>9999</v>
      </c>
      <c r="F506" s="172">
        <f ca="1">Start.listina!Z125</f>
        <v>0</v>
      </c>
      <c r="G506" s="174"/>
    </row>
    <row r="507" spans="1:7">
      <c r="A507" s="172" t="str">
        <f ca="1">Start.listina!U126</f>
        <v/>
      </c>
      <c r="B507" s="173" t="str">
        <f ca="1">Start.listina!V126</f>
        <v xml:space="preserve"> </v>
      </c>
      <c r="C507" s="172" t="str">
        <f ca="1">Start.listina!W126</f>
        <v xml:space="preserve"> </v>
      </c>
      <c r="D507" s="172" t="str">
        <f ca="1">Start.listina!X126</f>
        <v xml:space="preserve"> </v>
      </c>
      <c r="E507" s="172">
        <f ca="1">Start.listina!Y126</f>
        <v>9999</v>
      </c>
      <c r="F507" s="172">
        <f ca="1">Start.listina!Z126</f>
        <v>0</v>
      </c>
      <c r="G507" s="174"/>
    </row>
    <row r="508" spans="1:7">
      <c r="A508" s="172" t="str">
        <f ca="1">Start.listina!U127</f>
        <v/>
      </c>
      <c r="B508" s="173" t="str">
        <f ca="1">Start.listina!V127</f>
        <v xml:space="preserve"> </v>
      </c>
      <c r="C508" s="172" t="str">
        <f ca="1">Start.listina!W127</f>
        <v xml:space="preserve"> </v>
      </c>
      <c r="D508" s="172" t="str">
        <f ca="1">Start.listina!X127</f>
        <v xml:space="preserve"> </v>
      </c>
      <c r="E508" s="172">
        <f ca="1">Start.listina!Y127</f>
        <v>9999</v>
      </c>
      <c r="F508" s="172">
        <f ca="1">Start.listina!Z127</f>
        <v>0</v>
      </c>
      <c r="G508" s="174"/>
    </row>
    <row r="509" spans="1:7">
      <c r="A509" s="172" t="str">
        <f ca="1">Start.listina!U128</f>
        <v/>
      </c>
      <c r="B509" s="173" t="str">
        <f ca="1">Start.listina!V128</f>
        <v xml:space="preserve"> </v>
      </c>
      <c r="C509" s="172" t="str">
        <f ca="1">Start.listina!W128</f>
        <v xml:space="preserve"> </v>
      </c>
      <c r="D509" s="172" t="str">
        <f ca="1">Start.listina!X128</f>
        <v xml:space="preserve"> </v>
      </c>
      <c r="E509" s="172">
        <f ca="1">Start.listina!Y128</f>
        <v>9999</v>
      </c>
      <c r="F509" s="172">
        <f ca="1">Start.listina!Z128</f>
        <v>0</v>
      </c>
      <c r="G509" s="174"/>
    </row>
    <row r="510" spans="1:7">
      <c r="A510" s="172" t="str">
        <f ca="1">Start.listina!U129</f>
        <v/>
      </c>
      <c r="B510" s="173" t="str">
        <f ca="1">Start.listina!V129</f>
        <v xml:space="preserve"> </v>
      </c>
      <c r="C510" s="172" t="str">
        <f ca="1">Start.listina!W129</f>
        <v xml:space="preserve"> </v>
      </c>
      <c r="D510" s="172" t="str">
        <f ca="1">Start.listina!X129</f>
        <v xml:space="preserve"> </v>
      </c>
      <c r="E510" s="172">
        <f ca="1">Start.listina!Y129</f>
        <v>9999</v>
      </c>
      <c r="F510" s="172">
        <f ca="1">Start.listina!Z129</f>
        <v>0</v>
      </c>
      <c r="G510" s="174"/>
    </row>
    <row r="511" spans="1:7">
      <c r="A511" s="172" t="str">
        <f ca="1">Start.listina!U130</f>
        <v/>
      </c>
      <c r="B511" s="173" t="str">
        <f ca="1">Start.listina!V130</f>
        <v xml:space="preserve"> </v>
      </c>
      <c r="C511" s="172" t="str">
        <f ca="1">Start.listina!W130</f>
        <v xml:space="preserve"> </v>
      </c>
      <c r="D511" s="172" t="str">
        <f ca="1">Start.listina!X130</f>
        <v xml:space="preserve"> </v>
      </c>
      <c r="E511" s="172">
        <f ca="1">Start.listina!Y130</f>
        <v>9999</v>
      </c>
      <c r="F511" s="172">
        <f ca="1">Start.listina!Z130</f>
        <v>0</v>
      </c>
      <c r="G511" s="174"/>
    </row>
    <row r="512" spans="1:7">
      <c r="A512" s="172" t="str">
        <f ca="1">Start.listina!U131</f>
        <v/>
      </c>
      <c r="B512" s="173" t="str">
        <f ca="1">Start.listina!V131</f>
        <v xml:space="preserve"> </v>
      </c>
      <c r="C512" s="172" t="str">
        <f ca="1">Start.listina!W131</f>
        <v xml:space="preserve"> </v>
      </c>
      <c r="D512" s="172" t="str">
        <f ca="1">Start.listina!X131</f>
        <v xml:space="preserve"> </v>
      </c>
      <c r="E512" s="172">
        <f ca="1">Start.listina!Y131</f>
        <v>9999</v>
      </c>
      <c r="F512" s="172">
        <f ca="1">Start.listina!Z131</f>
        <v>0</v>
      </c>
      <c r="G512" s="174"/>
    </row>
    <row r="513" spans="1:7">
      <c r="A513" s="172" t="str">
        <f ca="1">Start.listina!U132</f>
        <v/>
      </c>
      <c r="B513" s="173" t="str">
        <f ca="1">Start.listina!V132</f>
        <v xml:space="preserve"> </v>
      </c>
      <c r="C513" s="172" t="str">
        <f ca="1">Start.listina!W132</f>
        <v xml:space="preserve"> </v>
      </c>
      <c r="D513" s="172" t="str">
        <f ca="1">Start.listina!X132</f>
        <v xml:space="preserve"> </v>
      </c>
      <c r="E513" s="172">
        <f ca="1">Start.listina!Y132</f>
        <v>9999</v>
      </c>
      <c r="F513" s="172">
        <f ca="1">Start.listina!Z132</f>
        <v>0</v>
      </c>
      <c r="G513" s="174"/>
    </row>
    <row r="514" spans="1:7">
      <c r="A514" s="172" t="str">
        <f ca="1">Start.listina!U133</f>
        <v/>
      </c>
      <c r="B514" s="173" t="str">
        <f ca="1">Start.listina!V133</f>
        <v xml:space="preserve"> </v>
      </c>
      <c r="C514" s="172" t="str">
        <f ca="1">Start.listina!W133</f>
        <v xml:space="preserve"> </v>
      </c>
      <c r="D514" s="172" t="str">
        <f ca="1">Start.listina!X133</f>
        <v xml:space="preserve"> </v>
      </c>
      <c r="E514" s="172">
        <f ca="1">Start.listina!Y133</f>
        <v>9999</v>
      </c>
      <c r="F514" s="172">
        <f ca="1">Start.listina!Z133</f>
        <v>0</v>
      </c>
      <c r="G514" s="174"/>
    </row>
    <row r="515" spans="1:7">
      <c r="A515" s="172" t="str">
        <f ca="1">Start.listina!U134</f>
        <v/>
      </c>
      <c r="B515" s="173" t="str">
        <f ca="1">Start.listina!V134</f>
        <v xml:space="preserve"> </v>
      </c>
      <c r="C515" s="172" t="str">
        <f ca="1">Start.listina!W134</f>
        <v xml:space="preserve"> </v>
      </c>
      <c r="D515" s="172" t="str">
        <f ca="1">Start.listina!X134</f>
        <v xml:space="preserve"> </v>
      </c>
      <c r="E515" s="172">
        <f ca="1">Start.listina!Y134</f>
        <v>9999</v>
      </c>
      <c r="F515" s="172">
        <f ca="1">Start.listina!Z134</f>
        <v>0</v>
      </c>
      <c r="G515" s="174"/>
    </row>
    <row r="516" spans="1:7">
      <c r="A516" s="172" t="str">
        <f ca="1">Start.listina!U135</f>
        <v/>
      </c>
      <c r="B516" s="173" t="str">
        <f ca="1">Start.listina!V135</f>
        <v xml:space="preserve"> </v>
      </c>
      <c r="C516" s="172" t="str">
        <f ca="1">Start.listina!W135</f>
        <v xml:space="preserve"> </v>
      </c>
      <c r="D516" s="172" t="str">
        <f ca="1">Start.listina!X135</f>
        <v xml:space="preserve"> </v>
      </c>
      <c r="E516" s="172">
        <f ca="1">Start.listina!Y135</f>
        <v>9999</v>
      </c>
      <c r="F516" s="172">
        <f ca="1">Start.listina!Z135</f>
        <v>0</v>
      </c>
      <c r="G516" s="174"/>
    </row>
    <row r="517" spans="1:7">
      <c r="A517" s="172" t="str">
        <f ca="1">Start.listina!U136</f>
        <v/>
      </c>
      <c r="B517" s="173" t="str">
        <f ca="1">Start.listina!V136</f>
        <v xml:space="preserve"> </v>
      </c>
      <c r="C517" s="172" t="str">
        <f ca="1">Start.listina!W136</f>
        <v xml:space="preserve"> </v>
      </c>
      <c r="D517" s="172" t="str">
        <f ca="1">Start.listina!X136</f>
        <v xml:space="preserve"> </v>
      </c>
      <c r="E517" s="172">
        <f ca="1">Start.listina!Y136</f>
        <v>9999</v>
      </c>
      <c r="F517" s="172">
        <f ca="1">Start.listina!Z136</f>
        <v>0</v>
      </c>
      <c r="G517" s="174"/>
    </row>
    <row r="518" spans="1:7">
      <c r="A518" s="172" t="str">
        <f ca="1">Start.listina!U137</f>
        <v/>
      </c>
      <c r="B518" s="173" t="str">
        <f ca="1">Start.listina!V137</f>
        <v xml:space="preserve"> </v>
      </c>
      <c r="C518" s="172" t="str">
        <f ca="1">Start.listina!W137</f>
        <v xml:space="preserve"> </v>
      </c>
      <c r="D518" s="172" t="str">
        <f ca="1">Start.listina!X137</f>
        <v xml:space="preserve"> </v>
      </c>
      <c r="E518" s="172">
        <f ca="1">Start.listina!Y137</f>
        <v>9999</v>
      </c>
      <c r="F518" s="172">
        <f ca="1">Start.listina!Z137</f>
        <v>0</v>
      </c>
      <c r="G518" s="174"/>
    </row>
    <row r="519" spans="1:7">
      <c r="A519" s="172" t="str">
        <f ca="1">Start.listina!U138</f>
        <v/>
      </c>
      <c r="B519" s="173" t="str">
        <f ca="1">Start.listina!V138</f>
        <v xml:space="preserve"> </v>
      </c>
      <c r="C519" s="172" t="str">
        <f ca="1">Start.listina!W138</f>
        <v xml:space="preserve"> </v>
      </c>
      <c r="D519" s="172" t="str">
        <f ca="1">Start.listina!X138</f>
        <v xml:space="preserve"> </v>
      </c>
      <c r="E519" s="172">
        <f ca="1">Start.listina!Y138</f>
        <v>9999</v>
      </c>
      <c r="F519" s="172">
        <f ca="1">Start.listina!Z138</f>
        <v>0</v>
      </c>
      <c r="G519" s="174"/>
    </row>
    <row r="520" spans="1:7">
      <c r="A520" s="172" t="str">
        <f ca="1">Start.listina!U139</f>
        <v/>
      </c>
      <c r="B520" s="173" t="str">
        <f ca="1">Start.listina!V139</f>
        <v xml:space="preserve"> </v>
      </c>
      <c r="C520" s="172" t="str">
        <f ca="1">Start.listina!W139</f>
        <v xml:space="preserve"> </v>
      </c>
      <c r="D520" s="172" t="str">
        <f ca="1">Start.listina!X139</f>
        <v xml:space="preserve"> </v>
      </c>
      <c r="E520" s="172">
        <f ca="1">Start.listina!Y139</f>
        <v>9999</v>
      </c>
      <c r="F520" s="172">
        <f ca="1">Start.listina!Z139</f>
        <v>0</v>
      </c>
      <c r="G520" s="174"/>
    </row>
    <row r="521" spans="1:7">
      <c r="A521" s="172" t="str">
        <f ca="1">Start.listina!U140</f>
        <v/>
      </c>
      <c r="B521" s="173" t="str">
        <f ca="1">Start.listina!V140</f>
        <v xml:space="preserve"> </v>
      </c>
      <c r="C521" s="172" t="str">
        <f ca="1">Start.listina!W140</f>
        <v xml:space="preserve"> </v>
      </c>
      <c r="D521" s="172" t="str">
        <f ca="1">Start.listina!X140</f>
        <v xml:space="preserve"> </v>
      </c>
      <c r="E521" s="172">
        <f ca="1">Start.listina!Y140</f>
        <v>9999</v>
      </c>
      <c r="F521" s="172">
        <f ca="1">Start.listina!Z140</f>
        <v>0</v>
      </c>
      <c r="G521" s="174"/>
    </row>
    <row r="522" spans="1:7">
      <c r="A522" s="172" t="str">
        <f ca="1">Start.listina!U141</f>
        <v/>
      </c>
      <c r="B522" s="173" t="str">
        <f ca="1">Start.listina!V141</f>
        <v xml:space="preserve"> </v>
      </c>
      <c r="C522" s="172" t="str">
        <f ca="1">Start.listina!W141</f>
        <v xml:space="preserve"> </v>
      </c>
      <c r="D522" s="172" t="str">
        <f ca="1">Start.listina!X141</f>
        <v xml:space="preserve"> </v>
      </c>
      <c r="E522" s="172">
        <f ca="1">Start.listina!Y141</f>
        <v>9999</v>
      </c>
      <c r="F522" s="172">
        <f ca="1">Start.listina!Z141</f>
        <v>0</v>
      </c>
      <c r="G522" s="174"/>
    </row>
    <row r="523" spans="1:7">
      <c r="A523" s="172" t="str">
        <f ca="1">Start.listina!U142</f>
        <v/>
      </c>
      <c r="B523" s="173" t="str">
        <f ca="1">Start.listina!V142</f>
        <v xml:space="preserve"> </v>
      </c>
      <c r="C523" s="172" t="str">
        <f ca="1">Start.listina!W142</f>
        <v xml:space="preserve"> </v>
      </c>
      <c r="D523" s="172" t="str">
        <f ca="1">Start.listina!X142</f>
        <v xml:space="preserve"> </v>
      </c>
      <c r="E523" s="172">
        <f ca="1">Start.listina!Y142</f>
        <v>9999</v>
      </c>
      <c r="F523" s="172">
        <f ca="1">Start.listina!Z142</f>
        <v>0</v>
      </c>
      <c r="G523" s="174"/>
    </row>
    <row r="524" spans="1:7">
      <c r="A524" s="172" t="str">
        <f ca="1">Start.listina!U143</f>
        <v/>
      </c>
      <c r="B524" s="173" t="str">
        <f ca="1">Start.listina!V143</f>
        <v xml:space="preserve"> </v>
      </c>
      <c r="C524" s="172" t="str">
        <f ca="1">Start.listina!W143</f>
        <v xml:space="preserve"> </v>
      </c>
      <c r="D524" s="172" t="str">
        <f ca="1">Start.listina!X143</f>
        <v xml:space="preserve"> </v>
      </c>
      <c r="E524" s="172">
        <f ca="1">Start.listina!Y143</f>
        <v>9999</v>
      </c>
      <c r="F524" s="172">
        <f ca="1">Start.listina!Z143</f>
        <v>0</v>
      </c>
      <c r="G524" s="174"/>
    </row>
    <row r="525" spans="1:7">
      <c r="A525" s="172" t="str">
        <f ca="1">Start.listina!U144</f>
        <v/>
      </c>
      <c r="B525" s="173" t="str">
        <f ca="1">Start.listina!V144</f>
        <v xml:space="preserve"> </v>
      </c>
      <c r="C525" s="172" t="str">
        <f ca="1">Start.listina!W144</f>
        <v xml:space="preserve"> </v>
      </c>
      <c r="D525" s="172" t="str">
        <f ca="1">Start.listina!X144</f>
        <v xml:space="preserve"> </v>
      </c>
      <c r="E525" s="172">
        <f ca="1">Start.listina!Y144</f>
        <v>9999</v>
      </c>
      <c r="F525" s="172">
        <f ca="1">Start.listina!Z144</f>
        <v>0</v>
      </c>
      <c r="G525" s="174"/>
    </row>
    <row r="526" spans="1:7">
      <c r="A526" s="172" t="str">
        <f ca="1">Start.listina!U145</f>
        <v/>
      </c>
      <c r="B526" s="173" t="str">
        <f ca="1">Start.listina!V145</f>
        <v xml:space="preserve"> </v>
      </c>
      <c r="C526" s="172" t="str">
        <f ca="1">Start.listina!W145</f>
        <v xml:space="preserve"> </v>
      </c>
      <c r="D526" s="172" t="str">
        <f ca="1">Start.listina!X145</f>
        <v xml:space="preserve"> </v>
      </c>
      <c r="E526" s="172">
        <f ca="1">Start.listina!Y145</f>
        <v>9999</v>
      </c>
      <c r="F526" s="172">
        <f ca="1">Start.listina!Z145</f>
        <v>0</v>
      </c>
      <c r="G526" s="174"/>
    </row>
    <row r="527" spans="1:7">
      <c r="A527" s="172" t="str">
        <f ca="1">Start.listina!U146</f>
        <v/>
      </c>
      <c r="B527" s="173" t="str">
        <f ca="1">Start.listina!V146</f>
        <v xml:space="preserve"> </v>
      </c>
      <c r="C527" s="172" t="str">
        <f ca="1">Start.listina!W146</f>
        <v xml:space="preserve"> </v>
      </c>
      <c r="D527" s="172" t="str">
        <f ca="1">Start.listina!X146</f>
        <v xml:space="preserve"> </v>
      </c>
      <c r="E527" s="172">
        <f ca="1">Start.listina!Y146</f>
        <v>9999</v>
      </c>
      <c r="F527" s="172">
        <f ca="1">Start.listina!Z146</f>
        <v>0</v>
      </c>
      <c r="G527" s="174"/>
    </row>
    <row r="528" spans="1:7">
      <c r="A528" s="172" t="str">
        <f ca="1">Start.listina!U147</f>
        <v/>
      </c>
      <c r="B528" s="173" t="str">
        <f ca="1">Start.listina!V147</f>
        <v xml:space="preserve"> </v>
      </c>
      <c r="C528" s="172" t="str">
        <f ca="1">Start.listina!W147</f>
        <v xml:space="preserve"> </v>
      </c>
      <c r="D528" s="172" t="str">
        <f ca="1">Start.listina!X147</f>
        <v xml:space="preserve"> </v>
      </c>
      <c r="E528" s="172">
        <f ca="1">Start.listina!Y147</f>
        <v>9999</v>
      </c>
      <c r="F528" s="172">
        <f ca="1">Start.listina!Z147</f>
        <v>0</v>
      </c>
      <c r="G528" s="174"/>
    </row>
    <row r="529" spans="1:7">
      <c r="A529" s="172" t="str">
        <f ca="1">Start.listina!U148</f>
        <v/>
      </c>
      <c r="B529" s="173" t="str">
        <f ca="1">Start.listina!V148</f>
        <v xml:space="preserve"> </v>
      </c>
      <c r="C529" s="172" t="str">
        <f ca="1">Start.listina!W148</f>
        <v xml:space="preserve"> </v>
      </c>
      <c r="D529" s="172" t="str">
        <f ca="1">Start.listina!X148</f>
        <v xml:space="preserve"> </v>
      </c>
      <c r="E529" s="172">
        <f ca="1">Start.listina!Y148</f>
        <v>9999</v>
      </c>
      <c r="F529" s="172">
        <f ca="1">Start.listina!Z148</f>
        <v>0</v>
      </c>
      <c r="G529" s="174"/>
    </row>
    <row r="530" spans="1:7">
      <c r="A530" s="172" t="str">
        <f ca="1">Start.listina!U149</f>
        <v/>
      </c>
      <c r="B530" s="173" t="str">
        <f ca="1">Start.listina!V149</f>
        <v xml:space="preserve"> </v>
      </c>
      <c r="C530" s="172" t="str">
        <f ca="1">Start.listina!W149</f>
        <v xml:space="preserve"> </v>
      </c>
      <c r="D530" s="172" t="str">
        <f ca="1">Start.listina!X149</f>
        <v xml:space="preserve"> </v>
      </c>
      <c r="E530" s="172">
        <f ca="1">Start.listina!Y149</f>
        <v>9999</v>
      </c>
      <c r="F530" s="172">
        <f ca="1">Start.listina!Z149</f>
        <v>0</v>
      </c>
      <c r="G530" s="174"/>
    </row>
    <row r="531" spans="1:7">
      <c r="A531" s="172" t="str">
        <f ca="1">Start.listina!U150</f>
        <v/>
      </c>
      <c r="B531" s="173" t="str">
        <f ca="1">Start.listina!V150</f>
        <v xml:space="preserve"> </v>
      </c>
      <c r="C531" s="172" t="str">
        <f ca="1">Start.listina!W150</f>
        <v xml:space="preserve"> </v>
      </c>
      <c r="D531" s="172" t="str">
        <f ca="1">Start.listina!X150</f>
        <v xml:space="preserve"> </v>
      </c>
      <c r="E531" s="172">
        <f ca="1">Start.listina!Y150</f>
        <v>9999</v>
      </c>
      <c r="F531" s="172">
        <f ca="1">Start.listina!Z150</f>
        <v>0</v>
      </c>
      <c r="G531" s="174"/>
    </row>
    <row r="532" spans="1:7">
      <c r="A532" s="172" t="str">
        <f ca="1">Start.listina!U151</f>
        <v/>
      </c>
      <c r="B532" s="173" t="str">
        <f ca="1">Start.listina!V151</f>
        <v xml:space="preserve"> </v>
      </c>
      <c r="C532" s="172" t="str">
        <f ca="1">Start.listina!W151</f>
        <v xml:space="preserve"> </v>
      </c>
      <c r="D532" s="172" t="str">
        <f ca="1">Start.listina!X151</f>
        <v xml:space="preserve"> </v>
      </c>
      <c r="E532" s="172">
        <f ca="1">Start.listina!Y151</f>
        <v>9999</v>
      </c>
      <c r="F532" s="172">
        <f ca="1">Start.listina!Z151</f>
        <v>0</v>
      </c>
      <c r="G532" s="174"/>
    </row>
    <row r="533" spans="1:7">
      <c r="A533" s="172" t="str">
        <f ca="1">Start.listina!U152</f>
        <v/>
      </c>
      <c r="B533" s="173" t="str">
        <f ca="1">Start.listina!V152</f>
        <v xml:space="preserve"> </v>
      </c>
      <c r="C533" s="172" t="str">
        <f ca="1">Start.listina!W152</f>
        <v xml:space="preserve"> </v>
      </c>
      <c r="D533" s="172" t="str">
        <f ca="1">Start.listina!X152</f>
        <v xml:space="preserve"> </v>
      </c>
      <c r="E533" s="172">
        <f ca="1">Start.listina!Y152</f>
        <v>9999</v>
      </c>
      <c r="F533" s="172">
        <f ca="1">Start.listina!Z152</f>
        <v>0</v>
      </c>
      <c r="G533" s="174"/>
    </row>
    <row r="534" spans="1:7">
      <c r="A534" s="172" t="str">
        <f ca="1">Start.listina!U153</f>
        <v/>
      </c>
      <c r="B534" s="173" t="str">
        <f ca="1">Start.listina!V153</f>
        <v xml:space="preserve"> </v>
      </c>
      <c r="C534" s="172" t="str">
        <f ca="1">Start.listina!W153</f>
        <v xml:space="preserve"> </v>
      </c>
      <c r="D534" s="172" t="str">
        <f ca="1">Start.listina!X153</f>
        <v xml:space="preserve"> </v>
      </c>
      <c r="E534" s="172">
        <f ca="1">Start.listina!Y153</f>
        <v>9999</v>
      </c>
      <c r="F534" s="172">
        <f ca="1">Start.listina!Z153</f>
        <v>0</v>
      </c>
      <c r="G534" s="174"/>
    </row>
    <row r="535" spans="1:7">
      <c r="A535" s="172" t="str">
        <f ca="1">Start.listina!U154</f>
        <v/>
      </c>
      <c r="B535" s="173" t="str">
        <f ca="1">Start.listina!V154</f>
        <v xml:space="preserve"> </v>
      </c>
      <c r="C535" s="172" t="str">
        <f ca="1">Start.listina!W154</f>
        <v xml:space="preserve"> </v>
      </c>
      <c r="D535" s="172" t="str">
        <f ca="1">Start.listina!X154</f>
        <v xml:space="preserve"> </v>
      </c>
      <c r="E535" s="172">
        <f ca="1">Start.listina!Y154</f>
        <v>9999</v>
      </c>
      <c r="F535" s="172">
        <f ca="1">Start.listina!Z154</f>
        <v>0</v>
      </c>
      <c r="G535" s="174"/>
    </row>
    <row r="536" spans="1:7">
      <c r="A536" s="172" t="str">
        <f ca="1">Start.listina!U155</f>
        <v/>
      </c>
      <c r="B536" s="173" t="str">
        <f ca="1">Start.listina!V155</f>
        <v xml:space="preserve"> </v>
      </c>
      <c r="C536" s="172" t="str">
        <f ca="1">Start.listina!W155</f>
        <v xml:space="preserve"> </v>
      </c>
      <c r="D536" s="172" t="str">
        <f ca="1">Start.listina!X155</f>
        <v xml:space="preserve"> </v>
      </c>
      <c r="E536" s="172">
        <f ca="1">Start.listina!Y155</f>
        <v>9999</v>
      </c>
      <c r="F536" s="172">
        <f ca="1">Start.listina!Z155</f>
        <v>0</v>
      </c>
      <c r="G536" s="174"/>
    </row>
    <row r="537" spans="1:7">
      <c r="A537" s="172" t="str">
        <f ca="1">Start.listina!U156</f>
        <v/>
      </c>
      <c r="B537" s="173" t="str">
        <f ca="1">Start.listina!V156</f>
        <v xml:space="preserve"> </v>
      </c>
      <c r="C537" s="172" t="str">
        <f ca="1">Start.listina!W156</f>
        <v xml:space="preserve"> </v>
      </c>
      <c r="D537" s="172" t="str">
        <f ca="1">Start.listina!X156</f>
        <v xml:space="preserve"> </v>
      </c>
      <c r="E537" s="172">
        <f ca="1">Start.listina!Y156</f>
        <v>9999</v>
      </c>
      <c r="F537" s="172">
        <f ca="1">Start.listina!Z156</f>
        <v>0</v>
      </c>
      <c r="G537" s="174"/>
    </row>
    <row r="538" spans="1:7">
      <c r="A538" s="172" t="str">
        <f ca="1">Start.listina!U157</f>
        <v/>
      </c>
      <c r="B538" s="173" t="str">
        <f ca="1">Start.listina!V157</f>
        <v xml:space="preserve"> </v>
      </c>
      <c r="C538" s="172" t="str">
        <f ca="1">Start.listina!W157</f>
        <v xml:space="preserve"> </v>
      </c>
      <c r="D538" s="172" t="str">
        <f ca="1">Start.listina!X157</f>
        <v xml:space="preserve"> </v>
      </c>
      <c r="E538" s="172">
        <f ca="1">Start.listina!Y157</f>
        <v>9999</v>
      </c>
      <c r="F538" s="172">
        <f ca="1">Start.listina!Z157</f>
        <v>0</v>
      </c>
      <c r="G538" s="174"/>
    </row>
    <row r="539" spans="1:7">
      <c r="A539" s="172" t="str">
        <f ca="1">Start.listina!U158</f>
        <v/>
      </c>
      <c r="B539" s="173" t="str">
        <f ca="1">Start.listina!V158</f>
        <v xml:space="preserve"> </v>
      </c>
      <c r="C539" s="172" t="str">
        <f ca="1">Start.listina!W158</f>
        <v xml:space="preserve"> </v>
      </c>
      <c r="D539" s="172" t="str">
        <f ca="1">Start.listina!X158</f>
        <v xml:space="preserve"> </v>
      </c>
      <c r="E539" s="172">
        <f ca="1">Start.listina!Y158</f>
        <v>9999</v>
      </c>
      <c r="F539" s="172">
        <f ca="1">Start.listina!Z158</f>
        <v>0</v>
      </c>
      <c r="G539" s="174"/>
    </row>
    <row r="540" spans="1:7">
      <c r="A540" s="172" t="str">
        <f ca="1">Start.listina!U159</f>
        <v/>
      </c>
      <c r="B540" s="173" t="str">
        <f ca="1">Start.listina!V159</f>
        <v xml:space="preserve"> </v>
      </c>
      <c r="C540" s="172" t="str">
        <f ca="1">Start.listina!W159</f>
        <v xml:space="preserve"> </v>
      </c>
      <c r="D540" s="172" t="str">
        <f ca="1">Start.listina!X159</f>
        <v xml:space="preserve"> </v>
      </c>
      <c r="E540" s="172">
        <f ca="1">Start.listina!Y159</f>
        <v>9999</v>
      </c>
      <c r="F540" s="172">
        <f ca="1">Start.listina!Z159</f>
        <v>0</v>
      </c>
      <c r="G540" s="174"/>
    </row>
    <row r="541" spans="1:7">
      <c r="A541" s="172" t="str">
        <f ca="1">Start.listina!U160</f>
        <v/>
      </c>
      <c r="B541" s="173" t="str">
        <f ca="1">Start.listina!V160</f>
        <v xml:space="preserve"> </v>
      </c>
      <c r="C541" s="172" t="str">
        <f ca="1">Start.listina!W160</f>
        <v xml:space="preserve"> </v>
      </c>
      <c r="D541" s="172" t="str">
        <f ca="1">Start.listina!X160</f>
        <v xml:space="preserve"> </v>
      </c>
      <c r="E541" s="172">
        <f ca="1">Start.listina!Y160</f>
        <v>9999</v>
      </c>
      <c r="F541" s="172">
        <f ca="1">Start.listina!Z160</f>
        <v>0</v>
      </c>
      <c r="G541" s="174"/>
    </row>
    <row r="542" spans="1:7">
      <c r="A542" s="172" t="str">
        <f ca="1">Start.listina!U161</f>
        <v/>
      </c>
      <c r="B542" s="173" t="str">
        <f ca="1">Start.listina!V161</f>
        <v xml:space="preserve"> </v>
      </c>
      <c r="C542" s="172" t="str">
        <f ca="1">Start.listina!W161</f>
        <v xml:space="preserve"> </v>
      </c>
      <c r="D542" s="172" t="str">
        <f ca="1">Start.listina!X161</f>
        <v xml:space="preserve"> </v>
      </c>
      <c r="E542" s="172">
        <f ca="1">Start.listina!Y161</f>
        <v>9999</v>
      </c>
      <c r="F542" s="172">
        <f ca="1">Start.listina!Z161</f>
        <v>0</v>
      </c>
      <c r="G542" s="174"/>
    </row>
    <row r="543" spans="1:7">
      <c r="A543" s="172" t="str">
        <f ca="1">Start.listina!U162</f>
        <v/>
      </c>
      <c r="B543" s="173" t="str">
        <f ca="1">Start.listina!V162</f>
        <v xml:space="preserve"> </v>
      </c>
      <c r="C543" s="172" t="str">
        <f ca="1">Start.listina!W162</f>
        <v xml:space="preserve"> </v>
      </c>
      <c r="D543" s="172" t="str">
        <f ca="1">Start.listina!X162</f>
        <v xml:space="preserve"> </v>
      </c>
      <c r="E543" s="172">
        <f ca="1">Start.listina!Y162</f>
        <v>9999</v>
      </c>
      <c r="F543" s="172">
        <f ca="1">Start.listina!Z162</f>
        <v>0</v>
      </c>
      <c r="G543" s="174"/>
    </row>
    <row r="544" spans="1:7">
      <c r="A544" s="172" t="str">
        <f ca="1">Start.listina!U163</f>
        <v/>
      </c>
      <c r="B544" s="173" t="str">
        <f ca="1">Start.listina!V163</f>
        <v xml:space="preserve"> </v>
      </c>
      <c r="C544" s="172" t="str">
        <f ca="1">Start.listina!W163</f>
        <v xml:space="preserve"> </v>
      </c>
      <c r="D544" s="172" t="str">
        <f ca="1">Start.listina!X163</f>
        <v xml:space="preserve"> </v>
      </c>
      <c r="E544" s="172">
        <f ca="1">Start.listina!Y163</f>
        <v>9999</v>
      </c>
      <c r="F544" s="172">
        <f ca="1">Start.listina!Z163</f>
        <v>0</v>
      </c>
      <c r="G544" s="174"/>
    </row>
    <row r="545" spans="1:7">
      <c r="A545" s="172" t="str">
        <f ca="1">Start.listina!U164</f>
        <v/>
      </c>
      <c r="B545" s="173" t="str">
        <f ca="1">Start.listina!V164</f>
        <v xml:space="preserve"> </v>
      </c>
      <c r="C545" s="172" t="str">
        <f ca="1">Start.listina!W164</f>
        <v xml:space="preserve"> </v>
      </c>
      <c r="D545" s="172" t="str">
        <f ca="1">Start.listina!X164</f>
        <v xml:space="preserve"> </v>
      </c>
      <c r="E545" s="172">
        <f ca="1">Start.listina!Y164</f>
        <v>9999</v>
      </c>
      <c r="F545" s="172">
        <f ca="1">Start.listina!Z164</f>
        <v>0</v>
      </c>
      <c r="G545" s="174"/>
    </row>
    <row r="546" spans="1:7">
      <c r="A546" s="172" t="str">
        <f ca="1">Start.listina!U165</f>
        <v/>
      </c>
      <c r="B546" s="173" t="str">
        <f ca="1">Start.listina!V165</f>
        <v xml:space="preserve"> </v>
      </c>
      <c r="C546" s="172" t="str">
        <f ca="1">Start.listina!W165</f>
        <v xml:space="preserve"> </v>
      </c>
      <c r="D546" s="172" t="str">
        <f ca="1">Start.listina!X165</f>
        <v xml:space="preserve"> </v>
      </c>
      <c r="E546" s="172">
        <f ca="1">Start.listina!Y165</f>
        <v>9999</v>
      </c>
      <c r="F546" s="172">
        <f ca="1">Start.listina!Z165</f>
        <v>0</v>
      </c>
      <c r="G546" s="174"/>
    </row>
    <row r="547" spans="1:7">
      <c r="A547" s="172" t="str">
        <f ca="1">Start.listina!U166</f>
        <v/>
      </c>
      <c r="B547" s="173" t="str">
        <f ca="1">Start.listina!V166</f>
        <v xml:space="preserve"> </v>
      </c>
      <c r="C547" s="172" t="str">
        <f ca="1">Start.listina!W166</f>
        <v xml:space="preserve"> </v>
      </c>
      <c r="D547" s="172" t="str">
        <f ca="1">Start.listina!X166</f>
        <v xml:space="preserve"> </v>
      </c>
      <c r="E547" s="172">
        <f ca="1">Start.listina!Y166</f>
        <v>9999</v>
      </c>
      <c r="F547" s="172">
        <f ca="1">Start.listina!Z166</f>
        <v>0</v>
      </c>
      <c r="G547" s="174"/>
    </row>
    <row r="548" spans="1:7">
      <c r="A548" s="172" t="str">
        <f ca="1">Start.listina!U167</f>
        <v/>
      </c>
      <c r="B548" s="173" t="str">
        <f ca="1">Start.listina!V167</f>
        <v xml:space="preserve"> </v>
      </c>
      <c r="C548" s="172" t="str">
        <f ca="1">Start.listina!W167</f>
        <v xml:space="preserve"> </v>
      </c>
      <c r="D548" s="172" t="str">
        <f ca="1">Start.listina!X167</f>
        <v xml:space="preserve"> </v>
      </c>
      <c r="E548" s="172">
        <f ca="1">Start.listina!Y167</f>
        <v>9999</v>
      </c>
      <c r="F548" s="172">
        <f ca="1">Start.listina!Z167</f>
        <v>0</v>
      </c>
      <c r="G548" s="174"/>
    </row>
    <row r="549" spans="1:7">
      <c r="A549" s="172" t="str">
        <f ca="1">Start.listina!U168</f>
        <v/>
      </c>
      <c r="B549" s="173" t="str">
        <f ca="1">Start.listina!V168</f>
        <v xml:space="preserve"> </v>
      </c>
      <c r="C549" s="172" t="str">
        <f ca="1">Start.listina!W168</f>
        <v xml:space="preserve"> </v>
      </c>
      <c r="D549" s="172" t="str">
        <f ca="1">Start.listina!X168</f>
        <v xml:space="preserve"> </v>
      </c>
      <c r="E549" s="172">
        <f ca="1">Start.listina!Y168</f>
        <v>9999</v>
      </c>
      <c r="F549" s="172">
        <f ca="1">Start.listina!Z168</f>
        <v>0</v>
      </c>
      <c r="G549" s="174"/>
    </row>
    <row r="550" spans="1:7">
      <c r="A550" s="172" t="str">
        <f ca="1">Start.listina!U169</f>
        <v/>
      </c>
      <c r="B550" s="173" t="str">
        <f ca="1">Start.listina!V169</f>
        <v xml:space="preserve"> </v>
      </c>
      <c r="C550" s="172" t="str">
        <f ca="1">Start.listina!W169</f>
        <v xml:space="preserve"> </v>
      </c>
      <c r="D550" s="172" t="str">
        <f ca="1">Start.listina!X169</f>
        <v xml:space="preserve"> </v>
      </c>
      <c r="E550" s="172">
        <f ca="1">Start.listina!Y169</f>
        <v>9999</v>
      </c>
      <c r="F550" s="172">
        <f ca="1">Start.listina!Z169</f>
        <v>0</v>
      </c>
      <c r="G550" s="174"/>
    </row>
    <row r="551" spans="1:7">
      <c r="A551" s="172" t="str">
        <f ca="1">Start.listina!U170</f>
        <v/>
      </c>
      <c r="B551" s="173" t="str">
        <f ca="1">Start.listina!V170</f>
        <v xml:space="preserve"> </v>
      </c>
      <c r="C551" s="172" t="str">
        <f ca="1">Start.listina!W170</f>
        <v xml:space="preserve"> </v>
      </c>
      <c r="D551" s="172" t="str">
        <f ca="1">Start.listina!X170</f>
        <v xml:space="preserve"> </v>
      </c>
      <c r="E551" s="172">
        <f ca="1">Start.listina!Y170</f>
        <v>9999</v>
      </c>
      <c r="F551" s="172">
        <f ca="1">Start.listina!Z170</f>
        <v>0</v>
      </c>
      <c r="G551" s="174"/>
    </row>
    <row r="552" spans="1:7">
      <c r="A552" s="172" t="str">
        <f ca="1">Start.listina!U171</f>
        <v/>
      </c>
      <c r="B552" s="173" t="str">
        <f ca="1">Start.listina!V171</f>
        <v xml:space="preserve"> </v>
      </c>
      <c r="C552" s="172" t="str">
        <f ca="1">Start.listina!W171</f>
        <v xml:space="preserve"> </v>
      </c>
      <c r="D552" s="172" t="str">
        <f ca="1">Start.listina!X171</f>
        <v xml:space="preserve"> </v>
      </c>
      <c r="E552" s="172">
        <f ca="1">Start.listina!Y171</f>
        <v>9999</v>
      </c>
      <c r="F552" s="172">
        <f ca="1">Start.listina!Z171</f>
        <v>0</v>
      </c>
      <c r="G552" s="174"/>
    </row>
    <row r="553" spans="1:7">
      <c r="A553" s="172" t="str">
        <f ca="1">Start.listina!U172</f>
        <v/>
      </c>
      <c r="B553" s="173" t="str">
        <f ca="1">Start.listina!V172</f>
        <v xml:space="preserve"> </v>
      </c>
      <c r="C553" s="172" t="str">
        <f ca="1">Start.listina!W172</f>
        <v xml:space="preserve"> </v>
      </c>
      <c r="D553" s="172" t="str">
        <f ca="1">Start.listina!X172</f>
        <v xml:space="preserve"> </v>
      </c>
      <c r="E553" s="172">
        <f ca="1">Start.listina!Y172</f>
        <v>9999</v>
      </c>
      <c r="F553" s="172">
        <f ca="1">Start.listina!Z172</f>
        <v>0</v>
      </c>
      <c r="G553" s="174"/>
    </row>
    <row r="554" spans="1:7">
      <c r="A554" s="172" t="str">
        <f ca="1">Start.listina!U173</f>
        <v/>
      </c>
      <c r="B554" s="173" t="str">
        <f ca="1">Start.listina!V173</f>
        <v xml:space="preserve"> </v>
      </c>
      <c r="C554" s="172" t="str">
        <f ca="1">Start.listina!W173</f>
        <v xml:space="preserve"> </v>
      </c>
      <c r="D554" s="172" t="str">
        <f ca="1">Start.listina!X173</f>
        <v xml:space="preserve"> </v>
      </c>
      <c r="E554" s="172">
        <f ca="1">Start.listina!Y173</f>
        <v>9999</v>
      </c>
      <c r="F554" s="172">
        <f ca="1">Start.listina!Z173</f>
        <v>0</v>
      </c>
      <c r="G554" s="174"/>
    </row>
    <row r="555" spans="1:7">
      <c r="A555" s="172" t="str">
        <f ca="1">Start.listina!U174</f>
        <v/>
      </c>
      <c r="B555" s="173" t="str">
        <f ca="1">Start.listina!V174</f>
        <v xml:space="preserve"> </v>
      </c>
      <c r="C555" s="172" t="str">
        <f ca="1">Start.listina!W174</f>
        <v xml:space="preserve"> </v>
      </c>
      <c r="D555" s="172" t="str">
        <f ca="1">Start.listina!X174</f>
        <v xml:space="preserve"> </v>
      </c>
      <c r="E555" s="172">
        <f ca="1">Start.listina!Y174</f>
        <v>9999</v>
      </c>
      <c r="F555" s="172">
        <f ca="1">Start.listina!Z174</f>
        <v>0</v>
      </c>
      <c r="G555" s="174"/>
    </row>
    <row r="556" spans="1:7">
      <c r="A556" s="172" t="str">
        <f ca="1">Start.listina!U175</f>
        <v/>
      </c>
      <c r="B556" s="173" t="str">
        <f ca="1">Start.listina!V175</f>
        <v xml:space="preserve"> </v>
      </c>
      <c r="C556" s="172" t="str">
        <f ca="1">Start.listina!W175</f>
        <v xml:space="preserve"> </v>
      </c>
      <c r="D556" s="172" t="str">
        <f ca="1">Start.listina!X175</f>
        <v xml:space="preserve"> </v>
      </c>
      <c r="E556" s="172">
        <f ca="1">Start.listina!Y175</f>
        <v>9999</v>
      </c>
      <c r="F556" s="172">
        <f ca="1">Start.listina!Z175</f>
        <v>0</v>
      </c>
      <c r="G556" s="174"/>
    </row>
    <row r="557" spans="1:7">
      <c r="A557" s="172" t="str">
        <f ca="1">Start.listina!U176</f>
        <v/>
      </c>
      <c r="B557" s="173" t="str">
        <f ca="1">Start.listina!V176</f>
        <v xml:space="preserve"> </v>
      </c>
      <c r="C557" s="172" t="str">
        <f ca="1">Start.listina!W176</f>
        <v xml:space="preserve"> </v>
      </c>
      <c r="D557" s="172" t="str">
        <f ca="1">Start.listina!X176</f>
        <v xml:space="preserve"> </v>
      </c>
      <c r="E557" s="172">
        <f ca="1">Start.listina!Y176</f>
        <v>9999</v>
      </c>
      <c r="F557" s="172">
        <f ca="1">Start.listina!Z176</f>
        <v>0</v>
      </c>
      <c r="G557" s="174"/>
    </row>
    <row r="558" spans="1:7">
      <c r="A558" s="172" t="str">
        <f ca="1">Start.listina!U177</f>
        <v/>
      </c>
      <c r="B558" s="173" t="str">
        <f ca="1">Start.listina!V177</f>
        <v xml:space="preserve"> </v>
      </c>
      <c r="C558" s="172" t="str">
        <f ca="1">Start.listina!W177</f>
        <v xml:space="preserve"> </v>
      </c>
      <c r="D558" s="172" t="str">
        <f ca="1">Start.listina!X177</f>
        <v xml:space="preserve"> </v>
      </c>
      <c r="E558" s="172">
        <f ca="1">Start.listina!Y177</f>
        <v>9999</v>
      </c>
      <c r="F558" s="172">
        <f ca="1">Start.listina!Z177</f>
        <v>0</v>
      </c>
      <c r="G558" s="174"/>
    </row>
    <row r="559" spans="1:7">
      <c r="A559" s="172" t="str">
        <f ca="1">Start.listina!U178</f>
        <v/>
      </c>
      <c r="B559" s="173" t="str">
        <f ca="1">Start.listina!V178</f>
        <v xml:space="preserve"> </v>
      </c>
      <c r="C559" s="172" t="str">
        <f ca="1">Start.listina!W178</f>
        <v xml:space="preserve"> </v>
      </c>
      <c r="D559" s="172" t="str">
        <f ca="1">Start.listina!X178</f>
        <v xml:space="preserve"> </v>
      </c>
      <c r="E559" s="172">
        <f ca="1">Start.listina!Y178</f>
        <v>9999</v>
      </c>
      <c r="F559" s="172">
        <f ca="1">Start.listina!Z178</f>
        <v>0</v>
      </c>
      <c r="G559" s="174"/>
    </row>
    <row r="560" spans="1:7">
      <c r="A560" s="172" t="str">
        <f ca="1">Start.listina!U179</f>
        <v/>
      </c>
      <c r="B560" s="173" t="str">
        <f ca="1">Start.listina!V179</f>
        <v xml:space="preserve"> </v>
      </c>
      <c r="C560" s="172" t="str">
        <f ca="1">Start.listina!W179</f>
        <v xml:space="preserve"> </v>
      </c>
      <c r="D560" s="172" t="str">
        <f ca="1">Start.listina!X179</f>
        <v xml:space="preserve"> </v>
      </c>
      <c r="E560" s="172">
        <f ca="1">Start.listina!Y179</f>
        <v>9999</v>
      </c>
      <c r="F560" s="172">
        <f ca="1">Start.listina!Z179</f>
        <v>0</v>
      </c>
      <c r="G560" s="174"/>
    </row>
    <row r="561" spans="1:7">
      <c r="A561" s="172" t="str">
        <f ca="1">Start.listina!U180</f>
        <v/>
      </c>
      <c r="B561" s="173" t="str">
        <f ca="1">Start.listina!V180</f>
        <v xml:space="preserve"> </v>
      </c>
      <c r="C561" s="172" t="str">
        <f ca="1">Start.listina!W180</f>
        <v xml:space="preserve"> </v>
      </c>
      <c r="D561" s="172" t="str">
        <f ca="1">Start.listina!X180</f>
        <v xml:space="preserve"> </v>
      </c>
      <c r="E561" s="172">
        <f ca="1">Start.listina!Y180</f>
        <v>9999</v>
      </c>
      <c r="F561" s="172">
        <f ca="1">Start.listina!Z180</f>
        <v>0</v>
      </c>
      <c r="G561" s="174"/>
    </row>
    <row r="562" spans="1:7">
      <c r="A562" s="172" t="str">
        <f ca="1">Start.listina!U181</f>
        <v/>
      </c>
      <c r="B562" s="173" t="str">
        <f ca="1">Start.listina!V181</f>
        <v xml:space="preserve"> </v>
      </c>
      <c r="C562" s="172" t="str">
        <f ca="1">Start.listina!W181</f>
        <v xml:space="preserve"> </v>
      </c>
      <c r="D562" s="172" t="str">
        <f ca="1">Start.listina!X181</f>
        <v xml:space="preserve"> </v>
      </c>
      <c r="E562" s="172">
        <f ca="1">Start.listina!Y181</f>
        <v>9999</v>
      </c>
      <c r="F562" s="172">
        <f ca="1">Start.listina!Z181</f>
        <v>0</v>
      </c>
      <c r="G562" s="174"/>
    </row>
    <row r="563" spans="1:7">
      <c r="A563" s="172" t="str">
        <f ca="1">Start.listina!U182</f>
        <v/>
      </c>
      <c r="B563" s="173" t="str">
        <f ca="1">Start.listina!V182</f>
        <v xml:space="preserve"> </v>
      </c>
      <c r="C563" s="172" t="str">
        <f ca="1">Start.listina!W182</f>
        <v xml:space="preserve"> </v>
      </c>
      <c r="D563" s="172" t="str">
        <f ca="1">Start.listina!X182</f>
        <v xml:space="preserve"> </v>
      </c>
      <c r="E563" s="172">
        <f ca="1">Start.listina!Y182</f>
        <v>9999</v>
      </c>
      <c r="F563" s="172">
        <f ca="1">Start.listina!Z182</f>
        <v>0</v>
      </c>
      <c r="G563" s="174"/>
    </row>
    <row r="564" spans="1:7">
      <c r="A564" s="172" t="str">
        <f ca="1">Start.listina!U183</f>
        <v/>
      </c>
      <c r="B564" s="173" t="str">
        <f ca="1">Start.listina!V183</f>
        <v xml:space="preserve"> </v>
      </c>
      <c r="C564" s="172" t="str">
        <f ca="1">Start.listina!W183</f>
        <v xml:space="preserve"> </v>
      </c>
      <c r="D564" s="172" t="str">
        <f ca="1">Start.listina!X183</f>
        <v xml:space="preserve"> </v>
      </c>
      <c r="E564" s="172">
        <f ca="1">Start.listina!Y183</f>
        <v>9999</v>
      </c>
      <c r="F564" s="172">
        <f ca="1">Start.listina!Z183</f>
        <v>0</v>
      </c>
      <c r="G564" s="174"/>
    </row>
    <row r="565" spans="1:7">
      <c r="A565" s="172" t="str">
        <f ca="1">Start.listina!U184</f>
        <v/>
      </c>
      <c r="B565" s="173" t="str">
        <f ca="1">Start.listina!V184</f>
        <v xml:space="preserve"> </v>
      </c>
      <c r="C565" s="172" t="str">
        <f ca="1">Start.listina!W184</f>
        <v xml:space="preserve"> </v>
      </c>
      <c r="D565" s="172" t="str">
        <f ca="1">Start.listina!X184</f>
        <v xml:space="preserve"> </v>
      </c>
      <c r="E565" s="172">
        <f ca="1">Start.listina!Y184</f>
        <v>9999</v>
      </c>
      <c r="F565" s="172">
        <f ca="1">Start.listina!Z184</f>
        <v>0</v>
      </c>
      <c r="G565" s="174"/>
    </row>
    <row r="566" spans="1:7">
      <c r="A566" s="172" t="str">
        <f ca="1">Start.listina!U185</f>
        <v/>
      </c>
      <c r="B566" s="173" t="str">
        <f ca="1">Start.listina!V185</f>
        <v xml:space="preserve"> </v>
      </c>
      <c r="C566" s="172" t="str">
        <f ca="1">Start.listina!W185</f>
        <v xml:space="preserve"> </v>
      </c>
      <c r="D566" s="172" t="str">
        <f ca="1">Start.listina!X185</f>
        <v xml:space="preserve"> </v>
      </c>
      <c r="E566" s="172">
        <f ca="1">Start.listina!Y185</f>
        <v>9999</v>
      </c>
      <c r="F566" s="172">
        <f ca="1">Start.listina!Z185</f>
        <v>0</v>
      </c>
      <c r="G566" s="174"/>
    </row>
    <row r="567" spans="1:7">
      <c r="A567" s="172" t="str">
        <f ca="1">Start.listina!U186</f>
        <v/>
      </c>
      <c r="B567" s="173" t="str">
        <f ca="1">Start.listina!V186</f>
        <v xml:space="preserve"> </v>
      </c>
      <c r="C567" s="172" t="str">
        <f ca="1">Start.listina!W186</f>
        <v xml:space="preserve"> </v>
      </c>
      <c r="D567" s="172" t="str">
        <f ca="1">Start.listina!X186</f>
        <v xml:space="preserve"> </v>
      </c>
      <c r="E567" s="172">
        <f ca="1">Start.listina!Y186</f>
        <v>9999</v>
      </c>
      <c r="F567" s="172">
        <f ca="1">Start.listina!Z186</f>
        <v>0</v>
      </c>
      <c r="G567" s="174"/>
    </row>
    <row r="568" spans="1:7">
      <c r="A568" s="172" t="str">
        <f ca="1">Start.listina!U187</f>
        <v/>
      </c>
      <c r="B568" s="173" t="str">
        <f ca="1">Start.listina!V187</f>
        <v xml:space="preserve"> </v>
      </c>
      <c r="C568" s="172" t="str">
        <f ca="1">Start.listina!W187</f>
        <v xml:space="preserve"> </v>
      </c>
      <c r="D568" s="172" t="str">
        <f ca="1">Start.listina!X187</f>
        <v xml:space="preserve"> </v>
      </c>
      <c r="E568" s="172">
        <f ca="1">Start.listina!Y187</f>
        <v>9999</v>
      </c>
      <c r="F568" s="172">
        <f ca="1">Start.listina!Z187</f>
        <v>0</v>
      </c>
      <c r="G568" s="174"/>
    </row>
    <row r="569" spans="1:7">
      <c r="A569" s="172" t="str">
        <f ca="1">Start.listina!U188</f>
        <v/>
      </c>
      <c r="B569" s="173" t="str">
        <f ca="1">Start.listina!V188</f>
        <v xml:space="preserve"> </v>
      </c>
      <c r="C569" s="172" t="str">
        <f ca="1">Start.listina!W188</f>
        <v xml:space="preserve"> </v>
      </c>
      <c r="D569" s="172" t="str">
        <f ca="1">Start.listina!X188</f>
        <v xml:space="preserve"> </v>
      </c>
      <c r="E569" s="172">
        <f ca="1">Start.listina!Y188</f>
        <v>9999</v>
      </c>
      <c r="F569" s="172">
        <f ca="1">Start.listina!Z188</f>
        <v>0</v>
      </c>
      <c r="G569" s="174"/>
    </row>
    <row r="570" spans="1:7">
      <c r="A570" s="172" t="str">
        <f ca="1">Start.listina!U189</f>
        <v/>
      </c>
      <c r="B570" s="173" t="str">
        <f ca="1">Start.listina!V189</f>
        <v xml:space="preserve"> </v>
      </c>
      <c r="C570" s="172" t="str">
        <f ca="1">Start.listina!W189</f>
        <v xml:space="preserve"> </v>
      </c>
      <c r="D570" s="172" t="str">
        <f ca="1">Start.listina!X189</f>
        <v xml:space="preserve"> </v>
      </c>
      <c r="E570" s="172">
        <f ca="1">Start.listina!Y189</f>
        <v>9999</v>
      </c>
      <c r="F570" s="172">
        <f ca="1">Start.listina!Z189</f>
        <v>0</v>
      </c>
      <c r="G570" s="174"/>
    </row>
    <row r="571" spans="1:7">
      <c r="A571" s="172" t="str">
        <f ca="1">Start.listina!U190</f>
        <v/>
      </c>
      <c r="B571" s="173" t="str">
        <f ca="1">Start.listina!V190</f>
        <v xml:space="preserve"> </v>
      </c>
      <c r="C571" s="172" t="str">
        <f ca="1">Start.listina!W190</f>
        <v xml:space="preserve"> </v>
      </c>
      <c r="D571" s="172" t="str">
        <f ca="1">Start.listina!X190</f>
        <v xml:space="preserve"> </v>
      </c>
      <c r="E571" s="172">
        <f ca="1">Start.listina!Y190</f>
        <v>9999</v>
      </c>
      <c r="F571" s="172">
        <f ca="1">Start.listina!Z190</f>
        <v>0</v>
      </c>
      <c r="G571" s="174"/>
    </row>
    <row r="572" spans="1:7">
      <c r="A572" s="172" t="str">
        <f ca="1">Start.listina!U191</f>
        <v/>
      </c>
      <c r="B572" s="173" t="str">
        <f ca="1">Start.listina!V191</f>
        <v xml:space="preserve"> </v>
      </c>
      <c r="C572" s="172" t="str">
        <f ca="1">Start.listina!W191</f>
        <v xml:space="preserve"> </v>
      </c>
      <c r="D572" s="172" t="str">
        <f ca="1">Start.listina!X191</f>
        <v xml:space="preserve"> </v>
      </c>
      <c r="E572" s="172">
        <f ca="1">Start.listina!Y191</f>
        <v>9999</v>
      </c>
      <c r="F572" s="172">
        <f ca="1">Start.listina!Z191</f>
        <v>0</v>
      </c>
      <c r="G572" s="174"/>
    </row>
    <row r="573" spans="1:7">
      <c r="A573" s="172" t="str">
        <f ca="1">Start.listina!U192</f>
        <v/>
      </c>
      <c r="B573" s="173" t="str">
        <f ca="1">Start.listina!V192</f>
        <v xml:space="preserve"> </v>
      </c>
      <c r="C573" s="172" t="str">
        <f ca="1">Start.listina!W192</f>
        <v xml:space="preserve"> </v>
      </c>
      <c r="D573" s="172" t="str">
        <f ca="1">Start.listina!X192</f>
        <v xml:space="preserve"> </v>
      </c>
      <c r="E573" s="172">
        <f ca="1">Start.listina!Y192</f>
        <v>9999</v>
      </c>
      <c r="F573" s="172">
        <f ca="1">Start.listina!Z192</f>
        <v>0</v>
      </c>
      <c r="G573" s="174"/>
    </row>
    <row r="574" spans="1:7">
      <c r="A574" s="172" t="str">
        <f ca="1">Start.listina!U193</f>
        <v/>
      </c>
      <c r="B574" s="173" t="str">
        <f ca="1">Start.listina!V193</f>
        <v xml:space="preserve"> </v>
      </c>
      <c r="C574" s="172" t="str">
        <f ca="1">Start.listina!W193</f>
        <v xml:space="preserve"> </v>
      </c>
      <c r="D574" s="172" t="str">
        <f ca="1">Start.listina!X193</f>
        <v xml:space="preserve"> </v>
      </c>
      <c r="E574" s="172">
        <f ca="1">Start.listina!Y193</f>
        <v>9999</v>
      </c>
      <c r="F574" s="172">
        <f ca="1">Start.listina!Z193</f>
        <v>0</v>
      </c>
      <c r="G574" s="174"/>
    </row>
    <row r="575" spans="1:7">
      <c r="A575" s="172" t="str">
        <f ca="1">Start.listina!U194</f>
        <v/>
      </c>
      <c r="B575" s="173" t="str">
        <f ca="1">Start.listina!V194</f>
        <v xml:space="preserve"> </v>
      </c>
      <c r="C575" s="172" t="str">
        <f ca="1">Start.listina!W194</f>
        <v xml:space="preserve"> </v>
      </c>
      <c r="D575" s="172" t="str">
        <f ca="1">Start.listina!X194</f>
        <v xml:space="preserve"> </v>
      </c>
      <c r="E575" s="172">
        <f ca="1">Start.listina!Y194</f>
        <v>9999</v>
      </c>
      <c r="F575" s="172">
        <f ca="1">Start.listina!Z194</f>
        <v>0</v>
      </c>
      <c r="G575" s="174"/>
    </row>
    <row r="576" spans="1:7">
      <c r="A576" s="172" t="str">
        <f ca="1">Start.listina!U195</f>
        <v/>
      </c>
      <c r="B576" s="173" t="str">
        <f ca="1">Start.listina!V195</f>
        <v xml:space="preserve"> </v>
      </c>
      <c r="C576" s="172" t="str">
        <f ca="1">Start.listina!W195</f>
        <v xml:space="preserve"> </v>
      </c>
      <c r="D576" s="172" t="str">
        <f ca="1">Start.listina!X195</f>
        <v xml:space="preserve"> </v>
      </c>
      <c r="E576" s="172">
        <f ca="1">Start.listina!Y195</f>
        <v>9999</v>
      </c>
      <c r="F576" s="172">
        <f ca="1">Start.listina!Z195</f>
        <v>0</v>
      </c>
      <c r="G576" s="174"/>
    </row>
    <row r="577" spans="1:7">
      <c r="A577" s="172" t="str">
        <f ca="1">Start.listina!U196</f>
        <v/>
      </c>
      <c r="B577" s="173" t="str">
        <f ca="1">Start.listina!V196</f>
        <v xml:space="preserve"> </v>
      </c>
      <c r="C577" s="172" t="str">
        <f ca="1">Start.listina!W196</f>
        <v xml:space="preserve"> </v>
      </c>
      <c r="D577" s="172" t="str">
        <f ca="1">Start.listina!X196</f>
        <v xml:space="preserve"> </v>
      </c>
      <c r="E577" s="172">
        <f ca="1">Start.listina!Y196</f>
        <v>9999</v>
      </c>
      <c r="F577" s="172">
        <f ca="1">Start.listina!Z196</f>
        <v>0</v>
      </c>
      <c r="G577" s="174"/>
    </row>
    <row r="578" spans="1:7">
      <c r="A578" s="172" t="str">
        <f ca="1">Start.listina!U197</f>
        <v/>
      </c>
      <c r="B578" s="173" t="str">
        <f ca="1">Start.listina!V197</f>
        <v xml:space="preserve"> </v>
      </c>
      <c r="C578" s="172" t="str">
        <f ca="1">Start.listina!W197</f>
        <v xml:space="preserve"> </v>
      </c>
      <c r="D578" s="172" t="str">
        <f ca="1">Start.listina!X197</f>
        <v xml:space="preserve"> </v>
      </c>
      <c r="E578" s="172">
        <f ca="1">Start.listina!Y197</f>
        <v>9999</v>
      </c>
      <c r="F578" s="172">
        <f ca="1">Start.listina!Z197</f>
        <v>0</v>
      </c>
      <c r="G578" s="174"/>
    </row>
    <row r="579" spans="1:7">
      <c r="A579" s="172" t="str">
        <f ca="1">Start.listina!U198</f>
        <v/>
      </c>
      <c r="B579" s="173" t="str">
        <f ca="1">Start.listina!V198</f>
        <v xml:space="preserve"> </v>
      </c>
      <c r="C579" s="172" t="str">
        <f ca="1">Start.listina!W198</f>
        <v xml:space="preserve"> </v>
      </c>
      <c r="D579" s="172" t="str">
        <f ca="1">Start.listina!X198</f>
        <v xml:space="preserve"> </v>
      </c>
      <c r="E579" s="172">
        <f ca="1">Start.listina!Y198</f>
        <v>9999</v>
      </c>
      <c r="F579" s="172">
        <f ca="1">Start.listina!Z198</f>
        <v>0</v>
      </c>
      <c r="G579" s="174"/>
    </row>
    <row r="580" spans="1:7">
      <c r="A580" s="172" t="str">
        <f ca="1">Start.listina!U199</f>
        <v/>
      </c>
      <c r="B580" s="173" t="str">
        <f ca="1">Start.listina!V199</f>
        <v xml:space="preserve"> </v>
      </c>
      <c r="C580" s="172" t="str">
        <f ca="1">Start.listina!W199</f>
        <v xml:space="preserve"> </v>
      </c>
      <c r="D580" s="172" t="str">
        <f ca="1">Start.listina!X199</f>
        <v xml:space="preserve"> </v>
      </c>
      <c r="E580" s="172">
        <f ca="1">Start.listina!Y199</f>
        <v>9999</v>
      </c>
      <c r="F580" s="172">
        <f ca="1">Start.listina!Z199</f>
        <v>0</v>
      </c>
      <c r="G580" s="174"/>
    </row>
    <row r="581" spans="1:7">
      <c r="A581" s="172" t="str">
        <f ca="1">Start.listina!U200</f>
        <v/>
      </c>
      <c r="B581" s="173" t="str">
        <f ca="1">Start.listina!V200</f>
        <v xml:space="preserve"> </v>
      </c>
      <c r="C581" s="172" t="str">
        <f ca="1">Start.listina!W200</f>
        <v xml:space="preserve"> </v>
      </c>
      <c r="D581" s="172" t="str">
        <f ca="1">Start.listina!X200</f>
        <v xml:space="preserve"> </v>
      </c>
      <c r="E581" s="172">
        <f ca="1">Start.listina!Y200</f>
        <v>9999</v>
      </c>
      <c r="F581" s="172">
        <f ca="1">Start.listina!Z200</f>
        <v>0</v>
      </c>
      <c r="G581" s="174"/>
    </row>
    <row r="582" spans="1:7">
      <c r="A582" s="172" t="str">
        <f ca="1">Start.listina!U201</f>
        <v/>
      </c>
      <c r="B582" s="173" t="str">
        <f ca="1">Start.listina!V201</f>
        <v xml:space="preserve"> </v>
      </c>
      <c r="C582" s="172" t="str">
        <f ca="1">Start.listina!W201</f>
        <v xml:space="preserve"> </v>
      </c>
      <c r="D582" s="172" t="str">
        <f ca="1">Start.listina!X201</f>
        <v xml:space="preserve"> </v>
      </c>
      <c r="E582" s="172">
        <f ca="1">Start.listina!Y201</f>
        <v>9999</v>
      </c>
      <c r="F582" s="172">
        <f ca="1">Start.listina!Z201</f>
        <v>0</v>
      </c>
      <c r="G582" s="174"/>
    </row>
    <row r="583" spans="1:7">
      <c r="A583" s="172" t="str">
        <f ca="1">Start.listina!U202</f>
        <v/>
      </c>
      <c r="B583" s="173" t="str">
        <f ca="1">Start.listina!V202</f>
        <v xml:space="preserve"> </v>
      </c>
      <c r="C583" s="172" t="str">
        <f ca="1">Start.listina!W202</f>
        <v xml:space="preserve"> </v>
      </c>
      <c r="D583" s="172" t="str">
        <f ca="1">Start.listina!X202</f>
        <v xml:space="preserve"> </v>
      </c>
      <c r="E583" s="172">
        <f ca="1">Start.listina!Y202</f>
        <v>9999</v>
      </c>
      <c r="F583" s="172">
        <f ca="1">Start.listina!Z202</f>
        <v>0</v>
      </c>
      <c r="G583" s="174"/>
    </row>
    <row r="584" spans="1:7">
      <c r="A584" s="174"/>
      <c r="B584" s="174"/>
      <c r="C584" s="174"/>
      <c r="D584" s="174"/>
      <c r="E584" s="174"/>
      <c r="F584" s="174"/>
      <c r="G584" s="174"/>
    </row>
    <row r="585" spans="1:7">
      <c r="A585" s="174"/>
      <c r="B585" s="174"/>
      <c r="C585" s="174"/>
      <c r="D585" s="174"/>
      <c r="E585" s="174"/>
      <c r="F585" s="174"/>
      <c r="G585" s="174"/>
    </row>
    <row r="586" spans="1:7">
      <c r="A586" s="174"/>
      <c r="B586" s="174"/>
      <c r="C586" s="174"/>
      <c r="D586" s="174"/>
      <c r="E586" s="174"/>
      <c r="F586" s="174"/>
      <c r="G586" s="174"/>
    </row>
    <row r="587" spans="1:7">
      <c r="A587" s="174"/>
      <c r="B587" s="174"/>
      <c r="C587" s="174"/>
      <c r="D587" s="174"/>
      <c r="E587" s="174"/>
      <c r="F587" s="174"/>
      <c r="G587" s="174"/>
    </row>
    <row r="588" spans="1:7">
      <c r="A588" s="174"/>
      <c r="B588" s="174"/>
      <c r="C588" s="174"/>
      <c r="D588" s="174"/>
      <c r="E588" s="174"/>
      <c r="F588" s="174"/>
      <c r="G588" s="174"/>
    </row>
    <row r="589" spans="1:7">
      <c r="A589" s="174"/>
      <c r="B589" s="174"/>
      <c r="C589" s="174"/>
      <c r="D589" s="174"/>
      <c r="E589" s="174"/>
      <c r="F589" s="174"/>
      <c r="G589" s="174"/>
    </row>
    <row r="590" spans="1:7">
      <c r="A590" s="174"/>
      <c r="B590" s="174"/>
      <c r="C590" s="174"/>
      <c r="D590" s="174"/>
      <c r="E590" s="174"/>
      <c r="F590" s="174"/>
      <c r="G590" s="174"/>
    </row>
    <row r="591" spans="1:7">
      <c r="A591" s="174"/>
      <c r="B591" s="174"/>
      <c r="C591" s="174"/>
      <c r="D591" s="174"/>
      <c r="E591" s="174"/>
      <c r="F591" s="174"/>
      <c r="G591" s="174"/>
    </row>
    <row r="592" spans="1:7">
      <c r="A592" s="174"/>
      <c r="B592" s="174"/>
      <c r="C592" s="174"/>
      <c r="D592" s="174"/>
      <c r="E592" s="174"/>
      <c r="F592" s="174"/>
      <c r="G592" s="174"/>
    </row>
    <row r="593" spans="1:7">
      <c r="A593" s="174"/>
      <c r="B593" s="174"/>
      <c r="C593" s="174"/>
      <c r="D593" s="174"/>
      <c r="E593" s="174"/>
      <c r="F593" s="174"/>
      <c r="G593" s="174"/>
    </row>
    <row r="594" spans="1:7">
      <c r="A594" s="174"/>
      <c r="B594" s="174"/>
      <c r="C594" s="174"/>
      <c r="D594" s="174"/>
      <c r="E594" s="174"/>
      <c r="F594" s="174"/>
      <c r="G594" s="174"/>
    </row>
    <row r="595" spans="1:7">
      <c r="A595" s="174"/>
      <c r="B595" s="174"/>
      <c r="C595" s="174"/>
      <c r="D595" s="174"/>
      <c r="E595" s="174"/>
      <c r="F595" s="174"/>
      <c r="G595" s="174"/>
    </row>
    <row r="596" spans="1:7">
      <c r="A596" s="174"/>
      <c r="B596" s="174"/>
      <c r="C596" s="174"/>
      <c r="D596" s="174"/>
      <c r="E596" s="174"/>
      <c r="F596" s="174"/>
      <c r="G596" s="174"/>
    </row>
    <row r="597" spans="1:7">
      <c r="A597" s="174"/>
      <c r="B597" s="174"/>
      <c r="C597" s="174"/>
      <c r="D597" s="174"/>
      <c r="E597" s="174"/>
      <c r="F597" s="174"/>
      <c r="G597" s="174"/>
    </row>
    <row r="598" spans="1:7">
      <c r="A598" s="174"/>
      <c r="B598" s="174"/>
      <c r="C598" s="174"/>
      <c r="D598" s="174"/>
      <c r="E598" s="174"/>
      <c r="F598" s="174"/>
      <c r="G598" s="174"/>
    </row>
    <row r="599" spans="1:7">
      <c r="A599" s="174"/>
      <c r="B599" s="174"/>
      <c r="C599" s="174"/>
      <c r="D599" s="174"/>
      <c r="E599" s="174"/>
      <c r="F599" s="174"/>
      <c r="G599" s="174"/>
    </row>
    <row r="600" spans="1:7">
      <c r="A600" s="174"/>
      <c r="B600" s="174"/>
      <c r="C600" s="174"/>
      <c r="D600" s="174"/>
      <c r="E600" s="174"/>
      <c r="F600" s="174"/>
      <c r="G600" s="174"/>
    </row>
    <row r="601" spans="1:7">
      <c r="A601" s="174"/>
      <c r="B601" s="174"/>
      <c r="C601" s="174"/>
      <c r="D601" s="174"/>
      <c r="E601" s="174"/>
      <c r="F601" s="174"/>
      <c r="G601" s="174"/>
    </row>
    <row r="602" spans="1:7">
      <c r="A602" s="174"/>
      <c r="B602" s="174"/>
      <c r="C602" s="174"/>
      <c r="D602" s="174"/>
      <c r="E602" s="174"/>
      <c r="F602" s="174"/>
      <c r="G602" s="174"/>
    </row>
    <row r="603" spans="1:7">
      <c r="A603" s="174"/>
      <c r="B603" s="174"/>
      <c r="C603" s="174"/>
      <c r="D603" s="174"/>
      <c r="E603" s="174"/>
      <c r="F603" s="174"/>
      <c r="G603" s="174"/>
    </row>
    <row r="604" spans="1:7">
      <c r="A604" s="174"/>
      <c r="B604" s="174"/>
      <c r="C604" s="174"/>
      <c r="D604" s="174"/>
      <c r="E604" s="174"/>
      <c r="F604" s="174"/>
      <c r="G604" s="174"/>
    </row>
    <row r="605" spans="1:7">
      <c r="A605" s="174"/>
      <c r="B605" s="174"/>
      <c r="C605" s="174"/>
      <c r="D605" s="174"/>
      <c r="E605" s="174"/>
      <c r="F605" s="174"/>
      <c r="G605" s="174"/>
    </row>
    <row r="606" spans="1:7">
      <c r="A606" s="174"/>
      <c r="B606" s="174"/>
      <c r="C606" s="174"/>
      <c r="D606" s="174"/>
      <c r="E606" s="174"/>
      <c r="F606" s="174"/>
      <c r="G606" s="174"/>
    </row>
    <row r="607" spans="1:7">
      <c r="A607" s="174"/>
      <c r="B607" s="174"/>
      <c r="C607" s="174"/>
      <c r="D607" s="174"/>
      <c r="E607" s="174"/>
      <c r="F607" s="174"/>
      <c r="G607" s="174"/>
    </row>
    <row r="608" spans="1:7">
      <c r="A608" s="174"/>
      <c r="B608" s="174"/>
      <c r="C608" s="174"/>
      <c r="D608" s="174"/>
      <c r="E608" s="174"/>
      <c r="F608" s="174"/>
      <c r="G608" s="174"/>
    </row>
    <row r="609" spans="1:7">
      <c r="A609" s="174"/>
      <c r="B609" s="174"/>
      <c r="C609" s="174"/>
      <c r="D609" s="174"/>
      <c r="E609" s="174"/>
      <c r="F609" s="174"/>
      <c r="G609" s="174"/>
    </row>
    <row r="610" spans="1:7">
      <c r="A610" s="174"/>
      <c r="B610" s="174"/>
      <c r="C610" s="174"/>
      <c r="D610" s="174"/>
      <c r="E610" s="174"/>
      <c r="F610" s="174"/>
      <c r="G610" s="174"/>
    </row>
    <row r="611" spans="1:7">
      <c r="A611" s="174"/>
      <c r="B611" s="174"/>
      <c r="C611" s="174"/>
      <c r="D611" s="174"/>
      <c r="E611" s="174"/>
      <c r="F611" s="174"/>
      <c r="G611" s="174"/>
    </row>
    <row r="612" spans="1:7">
      <c r="A612" s="174"/>
      <c r="B612" s="174"/>
      <c r="C612" s="174"/>
      <c r="D612" s="174"/>
      <c r="E612" s="174"/>
      <c r="F612" s="174"/>
      <c r="G612" s="174"/>
    </row>
    <row r="613" spans="1:7">
      <c r="A613" s="174"/>
      <c r="B613" s="174"/>
      <c r="C613" s="174"/>
      <c r="D613" s="174"/>
      <c r="E613" s="174"/>
      <c r="F613" s="174"/>
      <c r="G613" s="174"/>
    </row>
    <row r="614" spans="1:7">
      <c r="A614" s="174"/>
      <c r="B614" s="174"/>
      <c r="C614" s="174"/>
      <c r="D614" s="174"/>
      <c r="E614" s="174"/>
      <c r="F614" s="174"/>
      <c r="G614" s="174"/>
    </row>
    <row r="615" spans="1:7">
      <c r="A615" s="174"/>
      <c r="B615" s="174"/>
      <c r="C615" s="174"/>
      <c r="D615" s="174"/>
      <c r="E615" s="174"/>
      <c r="F615" s="174"/>
      <c r="G615" s="174"/>
    </row>
    <row r="616" spans="1:7">
      <c r="A616" s="174"/>
      <c r="B616" s="174"/>
      <c r="C616" s="174"/>
      <c r="D616" s="174"/>
      <c r="E616" s="174"/>
      <c r="F616" s="174"/>
      <c r="G616" s="174"/>
    </row>
    <row r="617" spans="1:7">
      <c r="A617" s="174"/>
      <c r="B617" s="174"/>
      <c r="C617" s="174"/>
      <c r="D617" s="174"/>
      <c r="E617" s="174"/>
      <c r="F617" s="174"/>
      <c r="G617" s="174"/>
    </row>
    <row r="618" spans="1:7">
      <c r="A618" s="174"/>
      <c r="B618" s="174"/>
      <c r="C618" s="174"/>
      <c r="D618" s="174"/>
      <c r="E618" s="174"/>
      <c r="F618" s="174"/>
      <c r="G618" s="174"/>
    </row>
    <row r="619" spans="1:7">
      <c r="A619" s="174"/>
      <c r="B619" s="174"/>
      <c r="C619" s="174"/>
      <c r="D619" s="174"/>
      <c r="E619" s="174"/>
      <c r="F619" s="174"/>
      <c r="G619" s="174"/>
    </row>
    <row r="620" spans="1:7">
      <c r="A620" s="174"/>
      <c r="B620" s="174"/>
      <c r="C620" s="174"/>
      <c r="D620" s="174"/>
      <c r="E620" s="174"/>
      <c r="F620" s="174"/>
      <c r="G620" s="174"/>
    </row>
    <row r="621" spans="1:7">
      <c r="A621" s="174"/>
      <c r="B621" s="174"/>
      <c r="C621" s="174"/>
      <c r="D621" s="174"/>
      <c r="E621" s="174"/>
      <c r="F621" s="174"/>
      <c r="G621" s="174"/>
    </row>
    <row r="622" spans="1:7">
      <c r="A622" s="174"/>
      <c r="B622" s="174"/>
      <c r="C622" s="174"/>
      <c r="D622" s="174"/>
      <c r="E622" s="174"/>
      <c r="F622" s="174"/>
      <c r="G622" s="174"/>
    </row>
    <row r="623" spans="1:7">
      <c r="A623" s="174"/>
      <c r="B623" s="174"/>
      <c r="C623" s="174"/>
      <c r="D623" s="174"/>
      <c r="E623" s="174"/>
      <c r="F623" s="174"/>
      <c r="G623" s="174"/>
    </row>
    <row r="624" spans="1:7">
      <c r="A624" s="174"/>
      <c r="B624" s="174"/>
      <c r="C624" s="174"/>
      <c r="D624" s="174"/>
      <c r="E624" s="174"/>
      <c r="F624" s="174"/>
      <c r="G624" s="174"/>
    </row>
    <row r="625" spans="1:7">
      <c r="A625" s="174"/>
      <c r="B625" s="174"/>
      <c r="C625" s="174"/>
      <c r="D625" s="174"/>
      <c r="E625" s="174"/>
      <c r="F625" s="174"/>
      <c r="G625" s="174"/>
    </row>
    <row r="626" spans="1:7">
      <c r="A626" s="174"/>
      <c r="B626" s="174"/>
      <c r="C626" s="174"/>
      <c r="D626" s="174"/>
      <c r="E626" s="174"/>
      <c r="F626" s="174"/>
      <c r="G626" s="174"/>
    </row>
    <row r="627" spans="1:7">
      <c r="A627" s="174"/>
      <c r="B627" s="174"/>
      <c r="C627" s="174"/>
      <c r="D627" s="174"/>
      <c r="E627" s="174"/>
      <c r="F627" s="174"/>
      <c r="G627" s="174"/>
    </row>
    <row r="628" spans="1:7">
      <c r="A628" s="174"/>
      <c r="B628" s="174"/>
      <c r="C628" s="174"/>
      <c r="D628" s="174"/>
      <c r="E628" s="174"/>
      <c r="F628" s="174"/>
      <c r="G628" s="174"/>
    </row>
    <row r="629" spans="1:7">
      <c r="A629" s="174"/>
      <c r="B629" s="174"/>
      <c r="C629" s="174"/>
      <c r="D629" s="174"/>
      <c r="E629" s="174"/>
      <c r="F629" s="174"/>
      <c r="G629" s="174"/>
    </row>
    <row r="630" spans="1:7">
      <c r="A630" s="174"/>
      <c r="B630" s="174"/>
      <c r="C630" s="174"/>
      <c r="D630" s="174"/>
      <c r="E630" s="174"/>
      <c r="F630" s="174"/>
      <c r="G630" s="174"/>
    </row>
    <row r="631" spans="1:7">
      <c r="A631" s="174"/>
      <c r="B631" s="174"/>
      <c r="C631" s="174"/>
      <c r="D631" s="174"/>
      <c r="E631" s="174"/>
      <c r="F631" s="174"/>
      <c r="G631" s="174"/>
    </row>
    <row r="632" spans="1:7">
      <c r="A632" s="174"/>
      <c r="B632" s="174"/>
      <c r="C632" s="174"/>
      <c r="D632" s="174"/>
      <c r="E632" s="174"/>
      <c r="F632" s="174"/>
      <c r="G632" s="174"/>
    </row>
    <row r="633" spans="1:7">
      <c r="A633" s="174"/>
      <c r="B633" s="174"/>
      <c r="C633" s="174"/>
      <c r="D633" s="174"/>
      <c r="E633" s="174"/>
      <c r="F633" s="174"/>
      <c r="G633" s="174"/>
    </row>
    <row r="634" spans="1:7">
      <c r="A634" s="174"/>
      <c r="B634" s="174"/>
      <c r="C634" s="174"/>
      <c r="D634" s="174"/>
      <c r="E634" s="174"/>
      <c r="F634" s="174"/>
      <c r="G634" s="174"/>
    </row>
    <row r="635" spans="1:7">
      <c r="A635" s="174"/>
      <c r="B635" s="174"/>
      <c r="C635" s="174"/>
      <c r="D635" s="174"/>
      <c r="E635" s="174"/>
      <c r="F635" s="174"/>
      <c r="G635" s="174"/>
    </row>
    <row r="636" spans="1:7">
      <c r="A636" s="174"/>
      <c r="B636" s="174"/>
      <c r="C636" s="174"/>
      <c r="D636" s="174"/>
      <c r="E636" s="174"/>
      <c r="F636" s="174"/>
      <c r="G636" s="174"/>
    </row>
    <row r="637" spans="1:7">
      <c r="A637" s="174"/>
      <c r="B637" s="174"/>
      <c r="C637" s="174"/>
      <c r="D637" s="174"/>
      <c r="E637" s="174"/>
      <c r="F637" s="174"/>
      <c r="G637" s="174"/>
    </row>
    <row r="638" spans="1:7">
      <c r="A638" s="174"/>
      <c r="B638" s="174"/>
      <c r="C638" s="174"/>
      <c r="D638" s="174"/>
      <c r="E638" s="174"/>
      <c r="F638" s="174"/>
      <c r="G638" s="174"/>
    </row>
    <row r="639" spans="1:7">
      <c r="A639" s="174"/>
      <c r="B639" s="174"/>
      <c r="C639" s="174"/>
      <c r="D639" s="174"/>
      <c r="E639" s="174"/>
      <c r="F639" s="174"/>
      <c r="G639" s="174"/>
    </row>
    <row r="640" spans="1:7">
      <c r="A640" s="174"/>
      <c r="B640" s="174"/>
      <c r="C640" s="174"/>
      <c r="D640" s="174"/>
      <c r="E640" s="174"/>
      <c r="F640" s="174"/>
      <c r="G640" s="174"/>
    </row>
    <row r="641" spans="1:7">
      <c r="A641" s="174"/>
      <c r="B641" s="174"/>
      <c r="C641" s="174"/>
      <c r="D641" s="174"/>
      <c r="E641" s="174"/>
      <c r="F641" s="174"/>
      <c r="G641" s="174"/>
    </row>
    <row r="642" spans="1:7">
      <c r="A642" s="174"/>
      <c r="B642" s="174"/>
      <c r="C642" s="174"/>
      <c r="D642" s="174"/>
      <c r="E642" s="174"/>
      <c r="F642" s="174"/>
      <c r="G642" s="174"/>
    </row>
    <row r="643" spans="1:7">
      <c r="A643" s="174"/>
      <c r="B643" s="174"/>
      <c r="C643" s="174"/>
      <c r="D643" s="174"/>
      <c r="E643" s="174"/>
      <c r="F643" s="174"/>
      <c r="G643" s="174"/>
    </row>
    <row r="644" spans="1:7">
      <c r="A644" s="174"/>
      <c r="B644" s="174"/>
      <c r="C644" s="174"/>
      <c r="D644" s="174"/>
      <c r="E644" s="174"/>
      <c r="F644" s="174"/>
      <c r="G644" s="174"/>
    </row>
    <row r="645" spans="1:7">
      <c r="A645" s="174"/>
      <c r="B645" s="174"/>
      <c r="C645" s="174"/>
      <c r="D645" s="174"/>
      <c r="E645" s="174"/>
      <c r="F645" s="174"/>
      <c r="G645" s="174"/>
    </row>
    <row r="646" spans="1:7">
      <c r="A646" s="174"/>
      <c r="B646" s="174"/>
      <c r="C646" s="174"/>
      <c r="D646" s="174"/>
      <c r="E646" s="174"/>
      <c r="F646" s="174"/>
      <c r="G646" s="174"/>
    </row>
    <row r="647" spans="1:7">
      <c r="A647" s="174"/>
      <c r="B647" s="174"/>
      <c r="C647" s="174"/>
      <c r="D647" s="174"/>
      <c r="E647" s="174"/>
      <c r="F647" s="174"/>
      <c r="G647" s="174"/>
    </row>
    <row r="648" spans="1:7">
      <c r="A648" s="174"/>
      <c r="B648" s="174"/>
      <c r="C648" s="174"/>
      <c r="D648" s="174"/>
      <c r="E648" s="174"/>
      <c r="F648" s="174"/>
      <c r="G648" s="174"/>
    </row>
    <row r="649" spans="1:7">
      <c r="A649" s="174"/>
      <c r="B649" s="174"/>
      <c r="C649" s="174"/>
      <c r="D649" s="174"/>
      <c r="E649" s="174"/>
      <c r="F649" s="174"/>
      <c r="G649" s="174"/>
    </row>
    <row r="650" spans="1:7">
      <c r="A650" s="174"/>
      <c r="B650" s="174"/>
      <c r="C650" s="174"/>
      <c r="D650" s="174"/>
      <c r="E650" s="174"/>
      <c r="F650" s="174"/>
      <c r="G650" s="174"/>
    </row>
    <row r="651" spans="1:7">
      <c r="A651" s="174"/>
      <c r="B651" s="174"/>
      <c r="C651" s="174"/>
      <c r="D651" s="174"/>
      <c r="E651" s="174"/>
      <c r="F651" s="174"/>
      <c r="G651" s="174"/>
    </row>
    <row r="652" spans="1:7">
      <c r="A652" s="174"/>
      <c r="B652" s="174"/>
      <c r="C652" s="174"/>
      <c r="D652" s="174"/>
      <c r="E652" s="174"/>
      <c r="F652" s="174"/>
      <c r="G652" s="174"/>
    </row>
    <row r="653" spans="1:7">
      <c r="A653" s="174"/>
      <c r="B653" s="174"/>
      <c r="C653" s="174"/>
      <c r="D653" s="174"/>
      <c r="E653" s="174"/>
      <c r="F653" s="174"/>
      <c r="G653" s="174"/>
    </row>
    <row r="654" spans="1:7">
      <c r="A654" s="174"/>
      <c r="B654" s="174"/>
      <c r="C654" s="174"/>
      <c r="D654" s="174"/>
      <c r="E654" s="174"/>
      <c r="F654" s="174"/>
      <c r="G654" s="174"/>
    </row>
    <row r="655" spans="1:7">
      <c r="A655" s="174"/>
      <c r="B655" s="174"/>
      <c r="C655" s="174"/>
      <c r="D655" s="174"/>
      <c r="E655" s="174"/>
      <c r="F655" s="174"/>
      <c r="G655" s="174"/>
    </row>
    <row r="656" spans="1:7">
      <c r="A656" s="174"/>
      <c r="B656" s="174"/>
      <c r="C656" s="174"/>
      <c r="D656" s="174"/>
      <c r="E656" s="174"/>
      <c r="F656" s="174"/>
      <c r="G656" s="174"/>
    </row>
    <row r="657" spans="1:7">
      <c r="A657" s="174"/>
      <c r="B657" s="174"/>
      <c r="C657" s="174"/>
      <c r="D657" s="174"/>
      <c r="E657" s="174"/>
      <c r="F657" s="174"/>
      <c r="G657" s="174"/>
    </row>
    <row r="658" spans="1:7">
      <c r="A658" s="174"/>
      <c r="B658" s="174"/>
      <c r="C658" s="174"/>
      <c r="D658" s="174"/>
      <c r="E658" s="174"/>
      <c r="F658" s="174"/>
      <c r="G658" s="174"/>
    </row>
    <row r="659" spans="1:7">
      <c r="A659" s="174"/>
      <c r="B659" s="174"/>
      <c r="C659" s="174"/>
      <c r="D659" s="174"/>
      <c r="E659" s="174"/>
      <c r="F659" s="174"/>
      <c r="G659" s="174"/>
    </row>
    <row r="660" spans="1:7">
      <c r="A660" s="174"/>
      <c r="B660" s="174"/>
      <c r="C660" s="174"/>
      <c r="D660" s="174"/>
      <c r="E660" s="174"/>
      <c r="F660" s="174"/>
      <c r="G660" s="174"/>
    </row>
    <row r="661" spans="1:7">
      <c r="A661" s="174"/>
      <c r="B661" s="174"/>
      <c r="C661" s="174"/>
      <c r="D661" s="174"/>
      <c r="E661" s="174"/>
      <c r="F661" s="174"/>
      <c r="G661" s="174"/>
    </row>
    <row r="662" spans="1:7">
      <c r="A662" s="174"/>
      <c r="B662" s="174"/>
      <c r="C662" s="174"/>
      <c r="D662" s="174"/>
      <c r="E662" s="174"/>
      <c r="F662" s="174"/>
      <c r="G662" s="174"/>
    </row>
    <row r="663" spans="1:7">
      <c r="A663" s="174"/>
      <c r="B663" s="174"/>
      <c r="C663" s="174"/>
      <c r="D663" s="174"/>
      <c r="E663" s="174"/>
      <c r="F663" s="174"/>
      <c r="G663" s="174"/>
    </row>
    <row r="664" spans="1:7">
      <c r="A664" s="174"/>
      <c r="B664" s="174"/>
      <c r="C664" s="174"/>
      <c r="D664" s="174"/>
      <c r="E664" s="174"/>
      <c r="F664" s="174"/>
      <c r="G664" s="174"/>
    </row>
    <row r="665" spans="1:7">
      <c r="A665" s="174"/>
      <c r="B665" s="174"/>
      <c r="C665" s="174"/>
      <c r="D665" s="174"/>
      <c r="E665" s="174"/>
      <c r="F665" s="174"/>
      <c r="G665" s="174"/>
    </row>
    <row r="666" spans="1:7">
      <c r="A666" s="174"/>
      <c r="B666" s="174"/>
      <c r="C666" s="174"/>
      <c r="D666" s="174"/>
      <c r="E666" s="174"/>
      <c r="F666" s="174"/>
      <c r="G666" s="174"/>
    </row>
    <row r="667" spans="1:7">
      <c r="A667" s="174"/>
      <c r="B667" s="174"/>
      <c r="C667" s="174"/>
      <c r="D667" s="174"/>
      <c r="E667" s="174"/>
      <c r="F667" s="174"/>
      <c r="G667" s="174"/>
    </row>
    <row r="668" spans="1:7">
      <c r="A668" s="174"/>
      <c r="B668" s="174"/>
      <c r="C668" s="174"/>
      <c r="D668" s="174"/>
      <c r="E668" s="174"/>
      <c r="F668" s="174"/>
      <c r="G668" s="174"/>
    </row>
    <row r="669" spans="1:7">
      <c r="A669" s="174"/>
      <c r="B669" s="174"/>
      <c r="C669" s="174"/>
      <c r="D669" s="174"/>
      <c r="E669" s="174"/>
      <c r="F669" s="174"/>
      <c r="G669" s="174"/>
    </row>
    <row r="670" spans="1:7">
      <c r="A670" s="174"/>
      <c r="B670" s="174"/>
      <c r="C670" s="174"/>
      <c r="D670" s="174"/>
      <c r="E670" s="174"/>
      <c r="F670" s="174"/>
      <c r="G670" s="174"/>
    </row>
    <row r="671" spans="1:7">
      <c r="A671" s="174"/>
      <c r="B671" s="174"/>
      <c r="C671" s="174"/>
      <c r="D671" s="174"/>
      <c r="E671" s="174"/>
      <c r="F671" s="174"/>
      <c r="G671" s="174"/>
    </row>
    <row r="672" spans="1:7">
      <c r="A672" s="174"/>
      <c r="B672" s="174"/>
      <c r="C672" s="174"/>
      <c r="D672" s="174"/>
      <c r="E672" s="174"/>
      <c r="F672" s="174"/>
      <c r="G672" s="174"/>
    </row>
    <row r="673" spans="1:7">
      <c r="A673" s="174"/>
      <c r="B673" s="174"/>
      <c r="C673" s="174"/>
      <c r="D673" s="174"/>
      <c r="E673" s="174"/>
      <c r="F673" s="174"/>
      <c r="G673" s="174"/>
    </row>
    <row r="674" spans="1:7">
      <c r="A674" s="174"/>
      <c r="B674" s="174"/>
      <c r="C674" s="174"/>
      <c r="D674" s="174"/>
      <c r="E674" s="174"/>
      <c r="F674" s="174"/>
      <c r="G674" s="174"/>
    </row>
    <row r="675" spans="1:7">
      <c r="A675" s="174"/>
      <c r="B675" s="174"/>
      <c r="C675" s="174"/>
      <c r="D675" s="174"/>
      <c r="E675" s="174"/>
      <c r="F675" s="174"/>
      <c r="G675" s="174"/>
    </row>
    <row r="676" spans="1:7">
      <c r="A676" s="174"/>
      <c r="B676" s="174"/>
      <c r="C676" s="174"/>
      <c r="D676" s="174"/>
      <c r="E676" s="174"/>
      <c r="F676" s="174"/>
      <c r="G676" s="174"/>
    </row>
    <row r="677" spans="1:7">
      <c r="A677" s="174"/>
      <c r="B677" s="174"/>
      <c r="C677" s="174"/>
      <c r="D677" s="174"/>
      <c r="E677" s="174"/>
      <c r="F677" s="174"/>
      <c r="G677" s="174"/>
    </row>
    <row r="678" spans="1:7">
      <c r="A678" s="174"/>
      <c r="B678" s="174"/>
      <c r="C678" s="174"/>
      <c r="D678" s="174"/>
      <c r="E678" s="174"/>
      <c r="F678" s="174"/>
      <c r="G678" s="174"/>
    </row>
    <row r="679" spans="1:7">
      <c r="A679" s="174"/>
      <c r="B679" s="174"/>
      <c r="C679" s="174"/>
      <c r="D679" s="174"/>
      <c r="E679" s="174"/>
      <c r="F679" s="174"/>
      <c r="G679" s="174"/>
    </row>
    <row r="680" spans="1:7">
      <c r="A680" s="174"/>
      <c r="B680" s="174"/>
      <c r="C680" s="174"/>
      <c r="D680" s="174"/>
      <c r="E680" s="174"/>
      <c r="F680" s="174"/>
      <c r="G680" s="174"/>
    </row>
    <row r="681" spans="1:7">
      <c r="A681" s="174"/>
      <c r="B681" s="174"/>
      <c r="C681" s="174"/>
      <c r="D681" s="174"/>
      <c r="E681" s="174"/>
      <c r="F681" s="174"/>
      <c r="G681" s="174"/>
    </row>
    <row r="682" spans="1:7">
      <c r="A682" s="174"/>
      <c r="B682" s="174"/>
      <c r="C682" s="174"/>
      <c r="D682" s="174"/>
      <c r="E682" s="174"/>
      <c r="F682" s="174"/>
      <c r="G682" s="174"/>
    </row>
    <row r="683" spans="1:7">
      <c r="A683" s="174"/>
      <c r="B683" s="174"/>
      <c r="C683" s="174"/>
      <c r="D683" s="174"/>
      <c r="E683" s="174"/>
      <c r="F683" s="174"/>
      <c r="G683" s="174"/>
    </row>
    <row r="684" spans="1:7">
      <c r="A684" s="174"/>
      <c r="B684" s="174"/>
      <c r="C684" s="174"/>
      <c r="D684" s="174"/>
      <c r="E684" s="174"/>
      <c r="F684" s="174"/>
      <c r="G684" s="174"/>
    </row>
    <row r="685" spans="1:7">
      <c r="A685" s="174"/>
      <c r="B685" s="174"/>
      <c r="C685" s="174"/>
      <c r="D685" s="174"/>
      <c r="E685" s="174"/>
      <c r="F685" s="174"/>
      <c r="G685" s="174"/>
    </row>
    <row r="686" spans="1:7">
      <c r="A686" s="174"/>
      <c r="B686" s="174"/>
      <c r="C686" s="174"/>
      <c r="D686" s="174"/>
      <c r="E686" s="174"/>
      <c r="F686" s="174"/>
      <c r="G686" s="174"/>
    </row>
    <row r="687" spans="1:7">
      <c r="A687" s="174"/>
      <c r="B687" s="174"/>
      <c r="C687" s="174"/>
      <c r="D687" s="174"/>
      <c r="E687" s="174"/>
      <c r="F687" s="174"/>
      <c r="G687" s="174"/>
    </row>
    <row r="688" spans="1:7">
      <c r="A688" s="174"/>
      <c r="B688" s="174"/>
      <c r="C688" s="174"/>
      <c r="D688" s="174"/>
      <c r="E688" s="174"/>
      <c r="F688" s="174"/>
      <c r="G688" s="174"/>
    </row>
    <row r="689" spans="1:7">
      <c r="A689" s="174"/>
      <c r="B689" s="174"/>
      <c r="C689" s="174"/>
      <c r="D689" s="174"/>
      <c r="E689" s="174"/>
      <c r="F689" s="174"/>
      <c r="G689" s="174"/>
    </row>
    <row r="690" spans="1:7">
      <c r="A690" s="174"/>
      <c r="B690" s="174"/>
      <c r="C690" s="174"/>
      <c r="D690" s="174"/>
      <c r="E690" s="174"/>
      <c r="F690" s="174"/>
      <c r="G690" s="174"/>
    </row>
    <row r="691" spans="1:7">
      <c r="A691" s="174"/>
      <c r="B691" s="174"/>
      <c r="C691" s="174"/>
      <c r="D691" s="174"/>
      <c r="E691" s="174"/>
      <c r="F691" s="174"/>
      <c r="G691" s="174"/>
    </row>
    <row r="692" spans="1:7">
      <c r="A692" s="174"/>
      <c r="B692" s="174"/>
      <c r="C692" s="174"/>
      <c r="D692" s="174"/>
      <c r="E692" s="174"/>
      <c r="F692" s="174"/>
      <c r="G692" s="174"/>
    </row>
    <row r="693" spans="1:7">
      <c r="A693" s="174"/>
      <c r="B693" s="174"/>
      <c r="C693" s="174"/>
      <c r="D693" s="174"/>
      <c r="E693" s="174"/>
      <c r="F693" s="174"/>
      <c r="G693" s="174"/>
    </row>
    <row r="694" spans="1:7">
      <c r="A694" s="174"/>
      <c r="B694" s="174"/>
      <c r="C694" s="174"/>
      <c r="D694" s="174"/>
      <c r="E694" s="174"/>
      <c r="F694" s="174"/>
      <c r="G694" s="174"/>
    </row>
    <row r="695" spans="1:7">
      <c r="A695" s="174"/>
      <c r="B695" s="174"/>
      <c r="C695" s="174"/>
      <c r="D695" s="174"/>
      <c r="E695" s="174"/>
      <c r="F695" s="174"/>
      <c r="G695" s="174"/>
    </row>
    <row r="696" spans="1:7">
      <c r="A696" s="174"/>
      <c r="B696" s="174"/>
      <c r="C696" s="174"/>
      <c r="D696" s="174"/>
      <c r="E696" s="174"/>
      <c r="F696" s="174"/>
      <c r="G696" s="174"/>
    </row>
    <row r="697" spans="1:7">
      <c r="A697" s="174"/>
      <c r="B697" s="174"/>
      <c r="C697" s="174"/>
      <c r="D697" s="174"/>
      <c r="E697" s="174"/>
      <c r="F697" s="174"/>
      <c r="G697" s="174"/>
    </row>
    <row r="698" spans="1:7">
      <c r="A698" s="174"/>
      <c r="B698" s="174"/>
      <c r="C698" s="174"/>
      <c r="D698" s="174"/>
      <c r="E698" s="174"/>
      <c r="F698" s="174"/>
      <c r="G698" s="174"/>
    </row>
    <row r="699" spans="1:7">
      <c r="A699" s="174"/>
      <c r="B699" s="174"/>
      <c r="C699" s="174"/>
      <c r="D699" s="174"/>
      <c r="E699" s="174"/>
      <c r="F699" s="174"/>
      <c r="G699" s="174"/>
    </row>
    <row r="700" spans="1:7">
      <c r="A700" s="174"/>
      <c r="B700" s="174"/>
      <c r="C700" s="174"/>
      <c r="D700" s="174"/>
      <c r="E700" s="174"/>
      <c r="F700" s="174"/>
      <c r="G700" s="174"/>
    </row>
    <row r="701" spans="1:7">
      <c r="A701" s="174"/>
      <c r="B701" s="174"/>
      <c r="C701" s="174"/>
      <c r="D701" s="174"/>
      <c r="E701" s="174"/>
      <c r="F701" s="174"/>
      <c r="G701" s="174"/>
    </row>
    <row r="702" spans="1:7">
      <c r="A702" s="174"/>
      <c r="B702" s="174"/>
      <c r="C702" s="174"/>
      <c r="D702" s="174"/>
      <c r="E702" s="174"/>
      <c r="F702" s="174"/>
      <c r="G702" s="174"/>
    </row>
    <row r="703" spans="1:7">
      <c r="A703" s="174"/>
      <c r="B703" s="174"/>
      <c r="C703" s="174"/>
      <c r="D703" s="174"/>
      <c r="E703" s="174"/>
      <c r="F703" s="174"/>
      <c r="G703" s="174"/>
    </row>
    <row r="704" spans="1:7">
      <c r="A704" s="174"/>
      <c r="B704" s="174"/>
      <c r="C704" s="174"/>
      <c r="D704" s="174"/>
      <c r="E704" s="174"/>
      <c r="F704" s="174"/>
      <c r="G704" s="174"/>
    </row>
    <row r="705" spans="1:7">
      <c r="A705" s="174"/>
      <c r="B705" s="174"/>
      <c r="C705" s="174"/>
      <c r="D705" s="174"/>
      <c r="E705" s="174"/>
      <c r="F705" s="174"/>
      <c r="G705" s="174"/>
    </row>
    <row r="706" spans="1:7">
      <c r="A706" s="174"/>
      <c r="B706" s="174"/>
      <c r="C706" s="174"/>
      <c r="D706" s="174"/>
      <c r="E706" s="174"/>
      <c r="F706" s="174"/>
      <c r="G706" s="174"/>
    </row>
    <row r="707" spans="1:7">
      <c r="A707" s="174"/>
      <c r="B707" s="174"/>
      <c r="C707" s="174"/>
      <c r="D707" s="174"/>
      <c r="E707" s="174"/>
      <c r="F707" s="174"/>
      <c r="G707" s="174"/>
    </row>
    <row r="708" spans="1:7">
      <c r="A708" s="174"/>
      <c r="B708" s="174"/>
      <c r="C708" s="174"/>
      <c r="D708" s="174"/>
      <c r="E708" s="174"/>
      <c r="F708" s="174"/>
      <c r="G708" s="174"/>
    </row>
    <row r="709" spans="1:7">
      <c r="A709" s="174"/>
      <c r="B709" s="174"/>
      <c r="C709" s="174"/>
      <c r="D709" s="174"/>
      <c r="E709" s="174"/>
      <c r="F709" s="174"/>
      <c r="G709" s="174"/>
    </row>
    <row r="710" spans="1:7">
      <c r="A710" s="174"/>
      <c r="B710" s="174"/>
      <c r="C710" s="174"/>
      <c r="D710" s="174"/>
      <c r="E710" s="174"/>
      <c r="F710" s="174"/>
      <c r="G710" s="174"/>
    </row>
    <row r="711" spans="1:7">
      <c r="A711" s="174"/>
      <c r="B711" s="174"/>
      <c r="C711" s="174"/>
      <c r="D711" s="174"/>
      <c r="E711" s="174"/>
      <c r="F711" s="174"/>
      <c r="G711" s="174"/>
    </row>
    <row r="712" spans="1:7">
      <c r="A712" s="174"/>
      <c r="B712" s="174"/>
      <c r="C712" s="174"/>
      <c r="D712" s="174"/>
      <c r="E712" s="174"/>
      <c r="F712" s="174"/>
      <c r="G712" s="174"/>
    </row>
    <row r="713" spans="1:7">
      <c r="A713" s="174"/>
      <c r="B713" s="174"/>
      <c r="C713" s="174"/>
      <c r="D713" s="174"/>
      <c r="E713" s="174"/>
      <c r="F713" s="174"/>
      <c r="G713" s="174"/>
    </row>
    <row r="714" spans="1:7">
      <c r="A714" s="174"/>
      <c r="B714" s="174"/>
      <c r="C714" s="174"/>
      <c r="D714" s="174"/>
      <c r="E714" s="174"/>
      <c r="F714" s="174"/>
      <c r="G714" s="174"/>
    </row>
    <row r="715" spans="1:7">
      <c r="A715" s="174"/>
      <c r="B715" s="174"/>
      <c r="C715" s="174"/>
      <c r="D715" s="174"/>
      <c r="E715" s="174"/>
      <c r="F715" s="174"/>
      <c r="G715" s="174"/>
    </row>
    <row r="716" spans="1:7">
      <c r="A716" s="174"/>
      <c r="B716" s="174"/>
      <c r="C716" s="174"/>
      <c r="D716" s="174"/>
      <c r="E716" s="174"/>
      <c r="F716" s="174"/>
      <c r="G716" s="174"/>
    </row>
    <row r="717" spans="1:7">
      <c r="A717" s="174"/>
      <c r="B717" s="174"/>
      <c r="C717" s="174"/>
      <c r="D717" s="174"/>
      <c r="E717" s="174"/>
      <c r="F717" s="174"/>
      <c r="G717" s="174"/>
    </row>
    <row r="718" spans="1:7">
      <c r="A718" s="174"/>
      <c r="B718" s="174"/>
      <c r="C718" s="174"/>
      <c r="D718" s="174"/>
      <c r="E718" s="174"/>
      <c r="F718" s="174"/>
      <c r="G718" s="174"/>
    </row>
    <row r="719" spans="1:7">
      <c r="A719" s="174"/>
      <c r="B719" s="174"/>
      <c r="C719" s="174"/>
      <c r="D719" s="174"/>
      <c r="E719" s="174"/>
      <c r="F719" s="174"/>
      <c r="G719" s="174"/>
    </row>
    <row r="720" spans="1:7">
      <c r="A720" s="174"/>
      <c r="B720" s="174"/>
      <c r="C720" s="174"/>
      <c r="D720" s="174"/>
      <c r="E720" s="174"/>
      <c r="F720" s="174"/>
      <c r="G720" s="174"/>
    </row>
    <row r="721" spans="1:7">
      <c r="A721" s="174"/>
      <c r="B721" s="174"/>
      <c r="C721" s="174"/>
      <c r="D721" s="174"/>
      <c r="E721" s="174"/>
      <c r="F721" s="174"/>
      <c r="G721" s="174"/>
    </row>
    <row r="722" spans="1:7">
      <c r="A722" s="174"/>
      <c r="B722" s="174"/>
      <c r="C722" s="174"/>
      <c r="D722" s="174"/>
      <c r="E722" s="174"/>
      <c r="F722" s="174"/>
      <c r="G722" s="174"/>
    </row>
    <row r="723" spans="1:7">
      <c r="A723" s="174"/>
      <c r="B723" s="174"/>
      <c r="C723" s="174"/>
      <c r="D723" s="174"/>
      <c r="E723" s="174"/>
      <c r="F723" s="174"/>
      <c r="G723" s="174"/>
    </row>
    <row r="724" spans="1:7">
      <c r="A724" s="174"/>
      <c r="B724" s="174"/>
      <c r="C724" s="174"/>
      <c r="D724" s="174"/>
      <c r="E724" s="174"/>
      <c r="F724" s="174"/>
      <c r="G724" s="174"/>
    </row>
    <row r="725" spans="1:7">
      <c r="A725" s="174"/>
      <c r="B725" s="174"/>
      <c r="C725" s="174"/>
      <c r="D725" s="174"/>
      <c r="E725" s="174"/>
      <c r="F725" s="174"/>
      <c r="G725" s="174"/>
    </row>
    <row r="726" spans="1:7">
      <c r="A726" s="174"/>
      <c r="B726" s="174"/>
      <c r="C726" s="174"/>
      <c r="D726" s="174"/>
      <c r="E726" s="174"/>
      <c r="F726" s="174"/>
      <c r="G726" s="174"/>
    </row>
    <row r="727" spans="1:7">
      <c r="A727" s="174"/>
      <c r="B727" s="174"/>
      <c r="C727" s="174"/>
      <c r="D727" s="174"/>
      <c r="E727" s="174"/>
      <c r="F727" s="174"/>
      <c r="G727" s="174"/>
    </row>
    <row r="728" spans="1:7">
      <c r="A728" s="174"/>
      <c r="B728" s="174"/>
      <c r="C728" s="174"/>
      <c r="D728" s="174"/>
      <c r="E728" s="174"/>
      <c r="F728" s="174"/>
      <c r="G728" s="174"/>
    </row>
    <row r="729" spans="1:7">
      <c r="A729" s="174"/>
      <c r="B729" s="174"/>
      <c r="C729" s="174"/>
      <c r="D729" s="174"/>
      <c r="E729" s="174"/>
      <c r="F729" s="174"/>
      <c r="G729" s="174"/>
    </row>
    <row r="730" spans="1:7">
      <c r="A730" s="174"/>
      <c r="B730" s="174"/>
      <c r="C730" s="174"/>
      <c r="D730" s="174"/>
      <c r="E730" s="174"/>
      <c r="F730" s="174"/>
      <c r="G730" s="174"/>
    </row>
    <row r="731" spans="1:7">
      <c r="A731" s="174"/>
      <c r="B731" s="174"/>
      <c r="C731" s="174"/>
      <c r="D731" s="174"/>
      <c r="E731" s="174"/>
      <c r="F731" s="174"/>
      <c r="G731" s="174"/>
    </row>
    <row r="732" spans="1:7">
      <c r="A732" s="174"/>
      <c r="B732" s="174"/>
      <c r="C732" s="174"/>
      <c r="D732" s="174"/>
      <c r="E732" s="174"/>
      <c r="F732" s="174"/>
      <c r="G732" s="174"/>
    </row>
    <row r="733" spans="1:7">
      <c r="A733" s="174"/>
      <c r="B733" s="174"/>
      <c r="C733" s="174"/>
      <c r="D733" s="174"/>
      <c r="E733" s="174"/>
      <c r="F733" s="174"/>
      <c r="G733" s="174"/>
    </row>
    <row r="734" spans="1:7">
      <c r="A734" s="174"/>
      <c r="B734" s="174"/>
      <c r="C734" s="174"/>
      <c r="D734" s="174"/>
      <c r="E734" s="174"/>
      <c r="F734" s="174"/>
      <c r="G734" s="174"/>
    </row>
    <row r="735" spans="1:7">
      <c r="A735" s="174"/>
      <c r="B735" s="174"/>
      <c r="C735" s="174"/>
      <c r="D735" s="174"/>
      <c r="E735" s="174"/>
      <c r="F735" s="174"/>
      <c r="G735" s="174"/>
    </row>
    <row r="736" spans="1:7">
      <c r="A736" s="174"/>
      <c r="B736" s="174"/>
      <c r="C736" s="174"/>
      <c r="D736" s="174"/>
      <c r="E736" s="174"/>
      <c r="F736" s="174"/>
      <c r="G736" s="174"/>
    </row>
    <row r="737" spans="1:7">
      <c r="A737" s="174"/>
      <c r="B737" s="174"/>
      <c r="C737" s="174"/>
      <c r="D737" s="174"/>
      <c r="E737" s="174"/>
      <c r="F737" s="174"/>
      <c r="G737" s="174"/>
    </row>
    <row r="738" spans="1:7">
      <c r="A738" s="174"/>
      <c r="B738" s="174"/>
      <c r="C738" s="174"/>
      <c r="D738" s="174"/>
      <c r="E738" s="174"/>
      <c r="F738" s="174"/>
      <c r="G738" s="174"/>
    </row>
    <row r="739" spans="1:7">
      <c r="A739" s="174"/>
      <c r="B739" s="174"/>
      <c r="C739" s="174"/>
      <c r="D739" s="174"/>
      <c r="E739" s="174"/>
      <c r="F739" s="174"/>
      <c r="G739" s="174"/>
    </row>
    <row r="740" spans="1:7">
      <c r="A740" s="174"/>
      <c r="B740" s="174"/>
      <c r="C740" s="174"/>
      <c r="D740" s="174"/>
      <c r="E740" s="174"/>
      <c r="F740" s="174"/>
      <c r="G740" s="174"/>
    </row>
    <row r="741" spans="1:7">
      <c r="A741" s="174"/>
      <c r="B741" s="174"/>
      <c r="C741" s="174"/>
      <c r="D741" s="174"/>
      <c r="E741" s="174"/>
      <c r="F741" s="174"/>
      <c r="G741" s="174"/>
    </row>
    <row r="742" spans="1:7">
      <c r="A742" s="174"/>
      <c r="B742" s="174"/>
      <c r="C742" s="174"/>
      <c r="D742" s="174"/>
      <c r="E742" s="174"/>
      <c r="F742" s="174"/>
      <c r="G742" s="174"/>
    </row>
    <row r="743" spans="1:7">
      <c r="A743" s="174"/>
      <c r="B743" s="174"/>
      <c r="C743" s="174"/>
      <c r="D743" s="174"/>
      <c r="E743" s="174"/>
      <c r="F743" s="174"/>
      <c r="G743" s="174"/>
    </row>
    <row r="744" spans="1:7">
      <c r="A744" s="174"/>
      <c r="B744" s="174"/>
      <c r="C744" s="174"/>
      <c r="D744" s="174"/>
      <c r="E744" s="174"/>
      <c r="F744" s="174"/>
      <c r="G744" s="174"/>
    </row>
    <row r="745" spans="1:7">
      <c r="A745" s="174"/>
      <c r="B745" s="174"/>
      <c r="C745" s="174"/>
      <c r="D745" s="174"/>
      <c r="E745" s="174"/>
      <c r="F745" s="174"/>
      <c r="G745" s="174"/>
    </row>
    <row r="746" spans="1:7">
      <c r="A746" s="174"/>
      <c r="B746" s="174"/>
      <c r="C746" s="174"/>
      <c r="D746" s="174"/>
      <c r="E746" s="174"/>
      <c r="F746" s="174"/>
      <c r="G746" s="174"/>
    </row>
    <row r="747" spans="1:7">
      <c r="A747" s="174"/>
      <c r="B747" s="174"/>
      <c r="C747" s="174"/>
      <c r="D747" s="174"/>
      <c r="E747" s="174"/>
      <c r="F747" s="174"/>
      <c r="G747" s="174"/>
    </row>
    <row r="748" spans="1:7">
      <c r="A748" s="174"/>
      <c r="B748" s="174"/>
      <c r="C748" s="174"/>
      <c r="D748" s="174"/>
      <c r="E748" s="174"/>
      <c r="F748" s="174"/>
      <c r="G748" s="174"/>
    </row>
    <row r="749" spans="1:7">
      <c r="A749" s="174"/>
      <c r="B749" s="174"/>
      <c r="C749" s="174"/>
      <c r="D749" s="174"/>
      <c r="E749" s="174"/>
      <c r="F749" s="174"/>
      <c r="G749" s="174"/>
    </row>
    <row r="750" spans="1:7">
      <c r="A750" s="174"/>
      <c r="B750" s="174"/>
      <c r="C750" s="174"/>
      <c r="D750" s="174"/>
      <c r="E750" s="174"/>
      <c r="F750" s="174"/>
      <c r="G750" s="174"/>
    </row>
    <row r="751" spans="1:7">
      <c r="A751" s="174"/>
      <c r="B751" s="174"/>
      <c r="C751" s="174"/>
      <c r="D751" s="174"/>
      <c r="E751" s="174"/>
      <c r="F751" s="174"/>
      <c r="G751" s="174"/>
    </row>
    <row r="752" spans="1:7">
      <c r="A752" s="174"/>
      <c r="B752" s="174"/>
      <c r="C752" s="174"/>
      <c r="D752" s="174"/>
      <c r="E752" s="174"/>
      <c r="F752" s="174"/>
      <c r="G752" s="174"/>
    </row>
    <row r="753" spans="1:7">
      <c r="A753" s="174"/>
      <c r="B753" s="174"/>
      <c r="C753" s="174"/>
      <c r="D753" s="174"/>
      <c r="E753" s="174"/>
      <c r="F753" s="174"/>
      <c r="G753" s="174"/>
    </row>
    <row r="754" spans="1:7">
      <c r="A754" s="174"/>
      <c r="B754" s="174"/>
      <c r="C754" s="174"/>
      <c r="D754" s="174"/>
      <c r="E754" s="174"/>
      <c r="F754" s="174"/>
      <c r="G754" s="174"/>
    </row>
    <row r="755" spans="1:7">
      <c r="A755" s="174"/>
      <c r="B755" s="174"/>
      <c r="C755" s="174"/>
      <c r="D755" s="174"/>
      <c r="E755" s="174"/>
      <c r="F755" s="174"/>
      <c r="G755" s="174"/>
    </row>
    <row r="756" spans="1:7">
      <c r="A756" s="174"/>
      <c r="B756" s="174"/>
      <c r="C756" s="174"/>
      <c r="D756" s="174"/>
      <c r="E756" s="174"/>
      <c r="F756" s="174"/>
      <c r="G756" s="174"/>
    </row>
    <row r="757" spans="1:7">
      <c r="A757" s="174"/>
      <c r="B757" s="174"/>
      <c r="C757" s="174"/>
      <c r="D757" s="174"/>
      <c r="E757" s="174"/>
      <c r="F757" s="174"/>
      <c r="G757" s="174"/>
    </row>
    <row r="758" spans="1:7">
      <c r="A758" s="174"/>
      <c r="B758" s="174"/>
      <c r="C758" s="174"/>
      <c r="D758" s="174"/>
      <c r="E758" s="174"/>
      <c r="F758" s="174"/>
      <c r="G758" s="174"/>
    </row>
    <row r="759" spans="1:7">
      <c r="A759" s="174"/>
      <c r="B759" s="174"/>
      <c r="C759" s="174"/>
      <c r="D759" s="174"/>
      <c r="E759" s="174"/>
      <c r="F759" s="174"/>
      <c r="G759" s="174"/>
    </row>
    <row r="760" spans="1:7">
      <c r="A760" s="174"/>
      <c r="B760" s="174"/>
      <c r="C760" s="174"/>
      <c r="D760" s="174"/>
      <c r="E760" s="174"/>
      <c r="F760" s="174"/>
      <c r="G760" s="174"/>
    </row>
    <row r="761" spans="1:7">
      <c r="A761" s="174"/>
      <c r="B761" s="174"/>
      <c r="C761" s="174"/>
      <c r="D761" s="174"/>
      <c r="E761" s="174"/>
      <c r="F761" s="174"/>
      <c r="G761" s="174"/>
    </row>
    <row r="762" spans="1:7">
      <c r="A762" s="174"/>
      <c r="B762" s="174"/>
      <c r="C762" s="174"/>
      <c r="D762" s="174"/>
      <c r="E762" s="174"/>
      <c r="F762" s="174"/>
      <c r="G762" s="174"/>
    </row>
    <row r="763" spans="1:7">
      <c r="A763" s="174"/>
      <c r="B763" s="174"/>
      <c r="C763" s="174"/>
      <c r="D763" s="174"/>
      <c r="E763" s="174"/>
      <c r="F763" s="174"/>
      <c r="G763" s="174"/>
    </row>
    <row r="764" spans="1:7">
      <c r="A764" s="174"/>
      <c r="B764" s="174"/>
      <c r="C764" s="174"/>
      <c r="D764" s="174"/>
      <c r="E764" s="174"/>
      <c r="F764" s="174"/>
      <c r="G764" s="174"/>
    </row>
    <row r="765" spans="1:7">
      <c r="A765" s="174"/>
      <c r="B765" s="174"/>
      <c r="C765" s="174"/>
      <c r="D765" s="174"/>
      <c r="E765" s="174"/>
      <c r="F765" s="174"/>
      <c r="G765" s="174"/>
    </row>
    <row r="766" spans="1:7">
      <c r="A766" s="174"/>
      <c r="B766" s="174"/>
      <c r="C766" s="174"/>
      <c r="D766" s="174"/>
      <c r="E766" s="174"/>
      <c r="F766" s="174"/>
      <c r="G766" s="174"/>
    </row>
    <row r="767" spans="1:7">
      <c r="A767" s="174"/>
      <c r="B767" s="174"/>
      <c r="C767" s="174"/>
      <c r="D767" s="174"/>
      <c r="E767" s="174"/>
      <c r="F767" s="174"/>
      <c r="G767" s="174"/>
    </row>
    <row r="768" spans="1:7">
      <c r="A768" s="174"/>
      <c r="B768" s="174"/>
      <c r="C768" s="174"/>
      <c r="D768" s="174"/>
      <c r="E768" s="174"/>
      <c r="F768" s="174"/>
      <c r="G768" s="174"/>
    </row>
    <row r="769" spans="1:7">
      <c r="A769" s="174"/>
      <c r="B769" s="174"/>
      <c r="C769" s="174"/>
      <c r="D769" s="174"/>
      <c r="E769" s="174"/>
      <c r="F769" s="174"/>
      <c r="G769" s="174"/>
    </row>
    <row r="770" spans="1:7">
      <c r="A770" s="174"/>
      <c r="B770" s="174"/>
      <c r="C770" s="174"/>
      <c r="D770" s="174"/>
      <c r="E770" s="174"/>
      <c r="F770" s="174"/>
      <c r="G770" s="174"/>
    </row>
    <row r="771" spans="1:7">
      <c r="A771" s="174"/>
      <c r="B771" s="174"/>
      <c r="C771" s="174"/>
      <c r="D771" s="174"/>
      <c r="E771" s="174"/>
      <c r="F771" s="174"/>
      <c r="G771" s="174"/>
    </row>
    <row r="772" spans="1:7">
      <c r="A772" s="174"/>
      <c r="B772" s="174"/>
      <c r="C772" s="174"/>
      <c r="D772" s="174"/>
      <c r="E772" s="174"/>
      <c r="F772" s="174"/>
      <c r="G772" s="174"/>
    </row>
    <row r="773" spans="1:7">
      <c r="A773" s="174"/>
      <c r="B773" s="174"/>
      <c r="C773" s="174"/>
      <c r="D773" s="174"/>
      <c r="E773" s="174"/>
      <c r="F773" s="174"/>
      <c r="G773" s="174"/>
    </row>
    <row r="774" spans="1:7">
      <c r="A774" s="174"/>
      <c r="B774" s="174"/>
      <c r="C774" s="174"/>
      <c r="D774" s="174"/>
      <c r="E774" s="174"/>
      <c r="F774" s="174"/>
      <c r="G774" s="174"/>
    </row>
    <row r="775" spans="1:7">
      <c r="A775" s="174"/>
      <c r="B775" s="174"/>
      <c r="C775" s="174"/>
      <c r="D775" s="174"/>
      <c r="E775" s="174"/>
      <c r="F775" s="174"/>
      <c r="G775" s="174"/>
    </row>
    <row r="776" spans="1:7">
      <c r="A776" s="174"/>
      <c r="B776" s="174"/>
      <c r="C776" s="174"/>
      <c r="D776" s="174"/>
      <c r="E776" s="174"/>
      <c r="F776" s="174"/>
      <c r="G776" s="174"/>
    </row>
    <row r="777" spans="1:7">
      <c r="A777" s="174"/>
      <c r="B777" s="174"/>
      <c r="C777" s="174"/>
      <c r="D777" s="174"/>
      <c r="E777" s="174"/>
      <c r="F777" s="174"/>
      <c r="G777" s="174"/>
    </row>
    <row r="778" spans="1:7">
      <c r="A778" s="174"/>
      <c r="B778" s="174"/>
      <c r="C778" s="174"/>
      <c r="D778" s="174"/>
      <c r="E778" s="174"/>
      <c r="F778" s="174"/>
      <c r="G778" s="174"/>
    </row>
    <row r="779" spans="1:7">
      <c r="A779" s="174"/>
      <c r="B779" s="174"/>
      <c r="C779" s="174"/>
      <c r="D779" s="174"/>
      <c r="E779" s="174"/>
      <c r="F779" s="174"/>
      <c r="G779" s="174"/>
    </row>
    <row r="780" spans="1:7">
      <c r="A780" s="174"/>
      <c r="B780" s="174"/>
      <c r="C780" s="174"/>
      <c r="D780" s="174"/>
      <c r="E780" s="174"/>
      <c r="F780" s="174"/>
      <c r="G780" s="174"/>
    </row>
    <row r="781" spans="1:7">
      <c r="A781" s="174"/>
      <c r="B781" s="174"/>
      <c r="C781" s="174"/>
      <c r="D781" s="174"/>
      <c r="E781" s="174"/>
      <c r="F781" s="174"/>
      <c r="G781" s="174"/>
    </row>
    <row r="782" spans="1:7">
      <c r="A782" s="174"/>
      <c r="B782" s="174"/>
      <c r="C782" s="174"/>
      <c r="D782" s="174"/>
      <c r="E782" s="174"/>
      <c r="F782" s="174"/>
      <c r="G782" s="174"/>
    </row>
    <row r="783" spans="1:7">
      <c r="A783" s="174"/>
      <c r="B783" s="174"/>
      <c r="C783" s="174"/>
      <c r="D783" s="174"/>
      <c r="E783" s="174"/>
      <c r="F783" s="174"/>
      <c r="G783" s="174"/>
    </row>
    <row r="784" spans="1:7">
      <c r="A784" s="174"/>
      <c r="B784" s="174"/>
      <c r="C784" s="174"/>
      <c r="D784" s="174"/>
      <c r="E784" s="174"/>
      <c r="F784" s="174"/>
      <c r="G784" s="174"/>
    </row>
    <row r="785" spans="1:7">
      <c r="A785" s="174"/>
      <c r="B785" s="174"/>
      <c r="C785" s="174"/>
      <c r="D785" s="174"/>
      <c r="E785" s="174"/>
      <c r="F785" s="174"/>
      <c r="G785" s="174"/>
    </row>
    <row r="786" spans="1:7">
      <c r="A786" s="174"/>
      <c r="B786" s="174"/>
      <c r="C786" s="174"/>
      <c r="D786" s="174"/>
      <c r="E786" s="174"/>
      <c r="F786" s="174"/>
      <c r="G786" s="174"/>
    </row>
    <row r="787" spans="1:7">
      <c r="A787" s="174"/>
      <c r="B787" s="174"/>
      <c r="C787" s="174"/>
      <c r="D787" s="174"/>
      <c r="E787" s="174"/>
      <c r="F787" s="174"/>
      <c r="G787" s="174"/>
    </row>
    <row r="788" spans="1:7">
      <c r="A788" s="174"/>
      <c r="B788" s="174"/>
      <c r="C788" s="174"/>
      <c r="D788" s="174"/>
      <c r="E788" s="174"/>
      <c r="F788" s="174"/>
      <c r="G788" s="174"/>
    </row>
    <row r="789" spans="1:7">
      <c r="A789" s="174"/>
      <c r="B789" s="174"/>
      <c r="C789" s="174"/>
      <c r="D789" s="174"/>
      <c r="E789" s="174"/>
      <c r="F789" s="174"/>
      <c r="G789" s="174"/>
    </row>
    <row r="790" spans="1:7">
      <c r="A790" s="174"/>
      <c r="B790" s="174"/>
      <c r="C790" s="174"/>
      <c r="D790" s="174"/>
      <c r="E790" s="174"/>
      <c r="F790" s="174"/>
      <c r="G790" s="174"/>
    </row>
    <row r="791" spans="1:7">
      <c r="A791" s="174"/>
      <c r="B791" s="174"/>
      <c r="C791" s="174"/>
      <c r="D791" s="174"/>
      <c r="E791" s="174"/>
      <c r="F791" s="174"/>
      <c r="G791" s="174"/>
    </row>
    <row r="792" spans="1:7">
      <c r="A792" s="174"/>
      <c r="B792" s="174"/>
      <c r="C792" s="174"/>
      <c r="D792" s="174"/>
      <c r="E792" s="174"/>
      <c r="F792" s="174"/>
      <c r="G792" s="174"/>
    </row>
    <row r="793" spans="1:7">
      <c r="A793" s="174"/>
      <c r="B793" s="174"/>
      <c r="C793" s="174"/>
      <c r="D793" s="174"/>
      <c r="E793" s="174"/>
      <c r="F793" s="174"/>
      <c r="G793" s="174"/>
    </row>
    <row r="794" spans="1:7">
      <c r="A794" s="174"/>
      <c r="B794" s="174"/>
      <c r="C794" s="174"/>
      <c r="D794" s="174"/>
      <c r="E794" s="174"/>
      <c r="F794" s="174"/>
      <c r="G794" s="174"/>
    </row>
    <row r="795" spans="1:7">
      <c r="A795" s="174"/>
      <c r="B795" s="174"/>
      <c r="C795" s="174"/>
      <c r="D795" s="174"/>
      <c r="E795" s="174"/>
      <c r="F795" s="174"/>
      <c r="G795" s="174"/>
    </row>
    <row r="796" spans="1:7">
      <c r="A796" s="174"/>
      <c r="B796" s="174"/>
      <c r="C796" s="174"/>
      <c r="D796" s="174"/>
      <c r="E796" s="174"/>
      <c r="F796" s="174"/>
      <c r="G796" s="174"/>
    </row>
    <row r="797" spans="1:7">
      <c r="A797" s="174"/>
      <c r="B797" s="174"/>
      <c r="C797" s="174"/>
      <c r="D797" s="174"/>
      <c r="E797" s="174"/>
      <c r="F797" s="174"/>
      <c r="G797" s="174"/>
    </row>
    <row r="798" spans="1:7">
      <c r="A798" s="174"/>
      <c r="B798" s="174"/>
      <c r="C798" s="174"/>
      <c r="D798" s="174"/>
      <c r="E798" s="174"/>
      <c r="F798" s="174"/>
      <c r="G798" s="174"/>
    </row>
    <row r="799" spans="1:7">
      <c r="A799" s="174"/>
      <c r="B799" s="174"/>
      <c r="C799" s="174"/>
      <c r="D799" s="174"/>
      <c r="E799" s="174"/>
      <c r="F799" s="174"/>
      <c r="G799" s="174"/>
    </row>
    <row r="800" spans="1:7">
      <c r="A800" s="174"/>
      <c r="B800" s="174"/>
      <c r="C800" s="174"/>
      <c r="D800" s="174"/>
      <c r="E800" s="174"/>
      <c r="F800" s="174"/>
      <c r="G800" s="174"/>
    </row>
    <row r="801" spans="1:7">
      <c r="A801" s="174"/>
      <c r="B801" s="174"/>
      <c r="C801" s="174"/>
      <c r="D801" s="174"/>
      <c r="E801" s="174"/>
      <c r="F801" s="174"/>
      <c r="G801" s="174"/>
    </row>
    <row r="802" spans="1:7">
      <c r="A802" s="174"/>
      <c r="B802" s="174"/>
      <c r="C802" s="174"/>
      <c r="D802" s="174"/>
      <c r="E802" s="174"/>
      <c r="F802" s="174"/>
      <c r="G802" s="174"/>
    </row>
    <row r="803" spans="1:7">
      <c r="A803" s="174"/>
      <c r="B803" s="174"/>
      <c r="C803" s="174"/>
      <c r="D803" s="174"/>
      <c r="E803" s="174"/>
      <c r="F803" s="174"/>
      <c r="G803" s="174"/>
    </row>
    <row r="804" spans="1:7">
      <c r="A804" s="174"/>
      <c r="B804" s="174"/>
      <c r="C804" s="174"/>
      <c r="D804" s="174"/>
      <c r="E804" s="174"/>
      <c r="F804" s="174"/>
      <c r="G804" s="174"/>
    </row>
    <row r="805" spans="1:7">
      <c r="A805" s="174"/>
      <c r="B805" s="174"/>
      <c r="C805" s="174"/>
      <c r="D805" s="174"/>
      <c r="E805" s="174"/>
      <c r="F805" s="174"/>
      <c r="G805" s="174"/>
    </row>
    <row r="806" spans="1:7">
      <c r="A806" s="174"/>
      <c r="B806" s="174"/>
      <c r="C806" s="174"/>
      <c r="D806" s="174"/>
      <c r="E806" s="174"/>
      <c r="F806" s="174"/>
      <c r="G806" s="174"/>
    </row>
    <row r="807" spans="1:7">
      <c r="A807" s="174"/>
      <c r="B807" s="174"/>
      <c r="C807" s="174"/>
      <c r="D807" s="174"/>
      <c r="E807" s="174"/>
      <c r="F807" s="174"/>
      <c r="G807" s="174"/>
    </row>
    <row r="808" spans="1:7">
      <c r="A808" s="174"/>
      <c r="B808" s="174"/>
      <c r="C808" s="174"/>
      <c r="D808" s="174"/>
      <c r="E808" s="174"/>
      <c r="F808" s="174"/>
      <c r="G808" s="174"/>
    </row>
    <row r="809" spans="1:7">
      <c r="A809" s="174"/>
      <c r="B809" s="174"/>
      <c r="C809" s="174"/>
      <c r="D809" s="174"/>
      <c r="E809" s="174"/>
      <c r="F809" s="174"/>
      <c r="G809" s="174"/>
    </row>
    <row r="810" spans="1:7">
      <c r="A810" s="174"/>
      <c r="B810" s="174"/>
      <c r="C810" s="174"/>
      <c r="D810" s="174"/>
      <c r="E810" s="174"/>
      <c r="F810" s="174"/>
      <c r="G810" s="174"/>
    </row>
    <row r="811" spans="1:7">
      <c r="A811" s="174"/>
      <c r="B811" s="174"/>
      <c r="C811" s="174"/>
      <c r="D811" s="174"/>
      <c r="E811" s="174"/>
      <c r="F811" s="174"/>
      <c r="G811" s="174"/>
    </row>
    <row r="812" spans="1:7">
      <c r="A812" s="174"/>
      <c r="B812" s="174"/>
      <c r="C812" s="174"/>
      <c r="D812" s="174"/>
      <c r="E812" s="174"/>
      <c r="F812" s="174"/>
      <c r="G812" s="174"/>
    </row>
    <row r="813" spans="1:7">
      <c r="A813" s="174"/>
      <c r="B813" s="174"/>
      <c r="C813" s="174"/>
      <c r="D813" s="174"/>
      <c r="E813" s="174"/>
      <c r="F813" s="174"/>
      <c r="G813" s="174"/>
    </row>
    <row r="814" spans="1:7">
      <c r="A814" s="174"/>
      <c r="B814" s="174"/>
      <c r="C814" s="174"/>
      <c r="D814" s="174"/>
      <c r="E814" s="174"/>
      <c r="F814" s="174"/>
      <c r="G814" s="174"/>
    </row>
    <row r="815" spans="1:7">
      <c r="A815" s="174"/>
      <c r="B815" s="174"/>
      <c r="C815" s="174"/>
      <c r="D815" s="174"/>
      <c r="E815" s="174"/>
      <c r="F815" s="174"/>
      <c r="G815" s="174"/>
    </row>
    <row r="816" spans="1:7">
      <c r="A816" s="174"/>
      <c r="B816" s="174"/>
      <c r="C816" s="174"/>
      <c r="D816" s="174"/>
      <c r="E816" s="174"/>
      <c r="F816" s="174"/>
      <c r="G816" s="174"/>
    </row>
    <row r="817" spans="1:7">
      <c r="A817" s="174"/>
      <c r="B817" s="174"/>
      <c r="C817" s="174"/>
      <c r="D817" s="174"/>
      <c r="E817" s="174"/>
      <c r="F817" s="174"/>
      <c r="G817" s="174"/>
    </row>
    <row r="818" spans="1:7">
      <c r="A818" s="174"/>
      <c r="B818" s="174"/>
      <c r="C818" s="174"/>
      <c r="D818" s="174"/>
      <c r="E818" s="174"/>
      <c r="F818" s="174"/>
      <c r="G818" s="174"/>
    </row>
    <row r="819" spans="1:7">
      <c r="A819" s="174"/>
      <c r="B819" s="174"/>
      <c r="C819" s="174"/>
      <c r="D819" s="174"/>
      <c r="E819" s="174"/>
      <c r="F819" s="174"/>
      <c r="G819" s="174"/>
    </row>
    <row r="820" spans="1:7">
      <c r="A820" s="174"/>
      <c r="B820" s="174"/>
      <c r="C820" s="174"/>
      <c r="D820" s="174"/>
      <c r="E820" s="174"/>
      <c r="F820" s="174"/>
      <c r="G820" s="174"/>
    </row>
    <row r="821" spans="1:7">
      <c r="A821" s="174"/>
      <c r="B821" s="174"/>
      <c r="C821" s="174"/>
      <c r="D821" s="174"/>
      <c r="E821" s="174"/>
      <c r="F821" s="174"/>
      <c r="G821" s="174"/>
    </row>
    <row r="822" spans="1:7">
      <c r="A822" s="174"/>
      <c r="B822" s="174"/>
      <c r="C822" s="174"/>
      <c r="D822" s="174"/>
      <c r="E822" s="174"/>
      <c r="F822" s="174"/>
      <c r="G822" s="174"/>
    </row>
    <row r="823" spans="1:7">
      <c r="A823" s="174"/>
      <c r="B823" s="174"/>
      <c r="C823" s="174"/>
      <c r="D823" s="174"/>
      <c r="E823" s="174"/>
      <c r="F823" s="174"/>
      <c r="G823" s="174"/>
    </row>
    <row r="824" spans="1:7">
      <c r="A824" s="174"/>
      <c r="B824" s="174"/>
      <c r="C824" s="174"/>
      <c r="D824" s="174"/>
      <c r="E824" s="174"/>
      <c r="F824" s="174"/>
      <c r="G824" s="174"/>
    </row>
    <row r="825" spans="1:7">
      <c r="A825" s="174"/>
      <c r="B825" s="174"/>
      <c r="C825" s="174"/>
      <c r="D825" s="174"/>
      <c r="E825" s="174"/>
      <c r="F825" s="174"/>
      <c r="G825" s="174"/>
    </row>
    <row r="826" spans="1:7">
      <c r="A826" s="174"/>
      <c r="B826" s="174"/>
      <c r="C826" s="174"/>
      <c r="D826" s="174"/>
      <c r="E826" s="174"/>
      <c r="F826" s="174"/>
      <c r="G826" s="174"/>
    </row>
    <row r="827" spans="1:7">
      <c r="A827" s="174"/>
      <c r="B827" s="174"/>
      <c r="C827" s="174"/>
      <c r="D827" s="174"/>
      <c r="E827" s="174"/>
      <c r="F827" s="174"/>
      <c r="G827" s="174"/>
    </row>
    <row r="828" spans="1:7">
      <c r="A828" s="174"/>
      <c r="B828" s="174"/>
      <c r="C828" s="174"/>
      <c r="D828" s="174"/>
      <c r="E828" s="174"/>
      <c r="F828" s="174"/>
      <c r="G828" s="174"/>
    </row>
    <row r="829" spans="1:7">
      <c r="A829" s="174"/>
      <c r="B829" s="174"/>
      <c r="C829" s="174"/>
      <c r="D829" s="174"/>
      <c r="E829" s="174"/>
      <c r="F829" s="174"/>
      <c r="G829" s="174"/>
    </row>
    <row r="830" spans="1:7">
      <c r="A830" s="174"/>
      <c r="B830" s="174"/>
      <c r="C830" s="174"/>
      <c r="D830" s="174"/>
      <c r="E830" s="174"/>
      <c r="F830" s="174"/>
      <c r="G830" s="174"/>
    </row>
    <row r="831" spans="1:7">
      <c r="A831" s="174"/>
      <c r="B831" s="174"/>
      <c r="C831" s="174"/>
      <c r="D831" s="174"/>
      <c r="E831" s="174"/>
      <c r="F831" s="174"/>
      <c r="G831" s="174"/>
    </row>
    <row r="832" spans="1:7">
      <c r="A832" s="174"/>
      <c r="B832" s="174"/>
      <c r="C832" s="174"/>
      <c r="D832" s="174"/>
      <c r="E832" s="174"/>
      <c r="F832" s="174"/>
      <c r="G832" s="174"/>
    </row>
    <row r="833" spans="1:7">
      <c r="A833" s="174"/>
      <c r="B833" s="174"/>
      <c r="C833" s="174"/>
      <c r="D833" s="174"/>
      <c r="E833" s="174"/>
      <c r="F833" s="174"/>
      <c r="G833" s="174"/>
    </row>
    <row r="834" spans="1:7">
      <c r="A834" s="174"/>
      <c r="B834" s="174"/>
      <c r="C834" s="174"/>
      <c r="D834" s="174"/>
      <c r="E834" s="174"/>
      <c r="F834" s="174"/>
      <c r="G834" s="174"/>
    </row>
    <row r="835" spans="1:7">
      <c r="A835" s="174"/>
      <c r="B835" s="174"/>
      <c r="C835" s="174"/>
      <c r="D835" s="174"/>
      <c r="E835" s="174"/>
      <c r="F835" s="174"/>
      <c r="G835" s="174"/>
    </row>
    <row r="836" spans="1:7">
      <c r="A836" s="174"/>
      <c r="B836" s="174"/>
      <c r="C836" s="174"/>
      <c r="D836" s="174"/>
      <c r="E836" s="174"/>
      <c r="F836" s="174"/>
      <c r="G836" s="174"/>
    </row>
    <row r="837" spans="1:7">
      <c r="A837" s="174"/>
      <c r="B837" s="174"/>
      <c r="C837" s="174"/>
      <c r="D837" s="174"/>
      <c r="E837" s="174"/>
      <c r="F837" s="174"/>
      <c r="G837" s="174"/>
    </row>
    <row r="838" spans="1:7">
      <c r="A838" s="174"/>
      <c r="B838" s="174"/>
      <c r="C838" s="174"/>
      <c r="D838" s="174"/>
      <c r="E838" s="174"/>
      <c r="F838" s="174"/>
      <c r="G838" s="174"/>
    </row>
    <row r="839" spans="1:7">
      <c r="A839" s="174"/>
      <c r="B839" s="174"/>
      <c r="C839" s="174"/>
      <c r="D839" s="174"/>
      <c r="E839" s="174"/>
      <c r="F839" s="174"/>
      <c r="G839" s="174"/>
    </row>
  </sheetData>
  <pageMargins left="0.78749999999999998" right="0.78749999999999998" top="0.98402777777777795" bottom="0.98402777777777795" header="0.51180555555555496" footer="0.51180555555555496"/>
  <pageSetup paperSize="9" firstPageNumber="0"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8"/>
  <sheetViews>
    <sheetView zoomScaleNormal="100" workbookViewId="0">
      <pane xSplit="1" ySplit="2" topLeftCell="B3" activePane="bottomRight" state="frozen"/>
      <selection pane="topRight" activeCell="B1" sqref="B1"/>
      <selection pane="bottomLeft" activeCell="A3" sqref="A3"/>
      <selection pane="bottomRight" activeCell="B3" sqref="B3"/>
    </sheetView>
  </sheetViews>
  <sheetFormatPr defaultColWidth="8.7109375" defaultRowHeight="12.75"/>
  <cols>
    <col min="2" max="2" width="47.7109375" customWidth="1"/>
    <col min="3" max="3" width="2" hidden="1" customWidth="1"/>
  </cols>
  <sheetData>
    <row r="1" spans="1:43" ht="15">
      <c r="B1" s="175" t="s">
        <v>1630</v>
      </c>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row>
    <row r="2" spans="1:43" ht="42.6" customHeight="1">
      <c r="A2" s="177" t="s">
        <v>1631</v>
      </c>
      <c r="B2" s="177" t="s">
        <v>1620</v>
      </c>
    </row>
    <row r="3" spans="1:43">
      <c r="A3" s="176" t="str">
        <f ca="1">Nasazení!B3</f>
        <v>A1</v>
      </c>
      <c r="B3" s="178" t="str">
        <f ca="1">Nasazení!C3</f>
        <v>SKP Kulová osma - Chmelař Ivo</v>
      </c>
      <c r="C3" t="str">
        <f t="shared" ref="C3:C66" ca="1" si="0">IF(T(A3)="","X"," ")</f>
        <v xml:space="preserve"> </v>
      </c>
    </row>
    <row r="4" spans="1:43">
      <c r="A4" s="176" t="str">
        <f ca="1">Nasazení!B66</f>
        <v/>
      </c>
      <c r="B4" s="178" t="str">
        <f ca="1">Nasazení!C66</f>
        <v/>
      </c>
      <c r="C4" t="str">
        <f t="shared" ca="1" si="0"/>
        <v>X</v>
      </c>
    </row>
    <row r="5" spans="1:43">
      <c r="A5" s="176" t="str">
        <f ca="1">Nasazení!B67</f>
        <v/>
      </c>
      <c r="B5" s="178" t="str">
        <f ca="1">Nasazení!C67</f>
        <v/>
      </c>
      <c r="C5" t="str">
        <f t="shared" ca="1" si="0"/>
        <v>X</v>
      </c>
    </row>
    <row r="6" spans="1:43">
      <c r="A6" s="176" t="str">
        <f ca="1">Nasazení!B130</f>
        <v/>
      </c>
      <c r="B6" s="178" t="str">
        <f ca="1">Nasazení!C130</f>
        <v/>
      </c>
      <c r="C6" t="str">
        <f t="shared" ca="1" si="0"/>
        <v>X</v>
      </c>
    </row>
    <row r="7" spans="1:43">
      <c r="A7" s="176" t="str">
        <f ca="1">Nasazení!B131</f>
        <v/>
      </c>
      <c r="B7" s="178" t="str">
        <f ca="1">Nasazení!C131</f>
        <v/>
      </c>
      <c r="C7" t="str">
        <f t="shared" ca="1" si="0"/>
        <v>X</v>
      </c>
    </row>
    <row r="8" spans="1:43">
      <c r="A8" s="176" t="str">
        <f ca="1">Nasazení!B29</f>
        <v/>
      </c>
      <c r="B8" s="178" t="str">
        <f ca="1">Nasazení!C29</f>
        <v/>
      </c>
      <c r="C8" t="str">
        <f t="shared" ca="1" si="0"/>
        <v>X</v>
      </c>
    </row>
    <row r="9" spans="1:43">
      <c r="A9" s="176" t="str">
        <f ca="1">Nasazení!B40</f>
        <v/>
      </c>
      <c r="B9" s="178" t="str">
        <f ca="1">Nasazení!C40</f>
        <v/>
      </c>
      <c r="C9" t="str">
        <f t="shared" ca="1" si="0"/>
        <v>X</v>
      </c>
    </row>
    <row r="10" spans="1:43">
      <c r="A10" s="176" t="str">
        <f ca="1">Nasazení!B93</f>
        <v/>
      </c>
      <c r="B10" s="178" t="str">
        <f ca="1">Nasazení!C93</f>
        <v/>
      </c>
      <c r="C10" t="str">
        <f t="shared" ca="1" si="0"/>
        <v>X</v>
      </c>
    </row>
    <row r="11" spans="1:43">
      <c r="A11" s="176" t="str">
        <f ca="1">Nasazení!B104</f>
        <v/>
      </c>
      <c r="B11" s="178" t="str">
        <f ca="1">Nasazení!C104</f>
        <v/>
      </c>
      <c r="C11" t="str">
        <f t="shared" ca="1" si="0"/>
        <v>X</v>
      </c>
    </row>
    <row r="12" spans="1:43">
      <c r="A12" s="176" t="str">
        <f ca="1">Nasazení!B30</f>
        <v/>
      </c>
      <c r="B12" s="178" t="str">
        <f ca="1">Nasazení!C30</f>
        <v/>
      </c>
      <c r="C12" t="str">
        <f t="shared" ca="1" si="0"/>
        <v>X</v>
      </c>
    </row>
    <row r="13" spans="1:43">
      <c r="A13" s="176" t="str">
        <f ca="1">Nasazení!B39</f>
        <v/>
      </c>
      <c r="B13" s="178" t="str">
        <f ca="1">Nasazení!C39</f>
        <v/>
      </c>
      <c r="C13" t="str">
        <f t="shared" ca="1" si="0"/>
        <v>X</v>
      </c>
    </row>
    <row r="14" spans="1:43">
      <c r="A14" s="176" t="str">
        <f ca="1">Nasazení!B94</f>
        <v/>
      </c>
      <c r="B14" s="178" t="str">
        <f ca="1">Nasazení!C94</f>
        <v/>
      </c>
      <c r="C14" t="str">
        <f t="shared" ca="1" si="0"/>
        <v>X</v>
      </c>
    </row>
    <row r="15" spans="1:43">
      <c r="A15" s="176" t="str">
        <f ca="1">Nasazení!B103</f>
        <v/>
      </c>
      <c r="B15" s="178" t="str">
        <f ca="1">Nasazení!C103</f>
        <v/>
      </c>
      <c r="C15" t="str">
        <f t="shared" ca="1" si="0"/>
        <v>X</v>
      </c>
    </row>
    <row r="16" spans="1:43">
      <c r="A16" s="176" t="str">
        <f ca="1">Nasazení!B31</f>
        <v/>
      </c>
      <c r="B16" s="178" t="str">
        <f ca="1">Nasazení!C31</f>
        <v/>
      </c>
      <c r="C16" t="str">
        <f t="shared" ca="1" si="0"/>
        <v>X</v>
      </c>
    </row>
    <row r="17" spans="1:3">
      <c r="A17" s="176" t="str">
        <f ca="1">Nasazení!B38</f>
        <v/>
      </c>
      <c r="B17" s="178" t="str">
        <f ca="1">Nasazení!C38</f>
        <v/>
      </c>
      <c r="C17" t="str">
        <f t="shared" ca="1" si="0"/>
        <v>X</v>
      </c>
    </row>
    <row r="18" spans="1:3">
      <c r="A18" s="176" t="str">
        <f ca="1">Nasazení!B95</f>
        <v/>
      </c>
      <c r="B18" s="178" t="str">
        <f ca="1">Nasazení!C95</f>
        <v/>
      </c>
      <c r="C18" t="str">
        <f t="shared" ca="1" si="0"/>
        <v>X</v>
      </c>
    </row>
    <row r="19" spans="1:3">
      <c r="A19" s="176" t="str">
        <f ca="1">Nasazení!B102</f>
        <v/>
      </c>
      <c r="B19" s="178" t="str">
        <f ca="1">Nasazení!C102</f>
        <v/>
      </c>
      <c r="C19" t="str">
        <f t="shared" ca="1" si="0"/>
        <v>X</v>
      </c>
    </row>
    <row r="20" spans="1:3">
      <c r="A20" s="176" t="str">
        <f ca="1">Nasazení!B32</f>
        <v/>
      </c>
      <c r="B20" s="178" t="str">
        <f ca="1">Nasazení!C32</f>
        <v/>
      </c>
      <c r="C20" t="str">
        <f t="shared" ca="1" si="0"/>
        <v>X</v>
      </c>
    </row>
    <row r="21" spans="1:3">
      <c r="A21" s="176" t="str">
        <f ca="1">Nasazení!B37</f>
        <v/>
      </c>
      <c r="B21" s="178" t="str">
        <f ca="1">Nasazení!C37</f>
        <v/>
      </c>
      <c r="C21" t="str">
        <f t="shared" ca="1" si="0"/>
        <v>X</v>
      </c>
    </row>
    <row r="22" spans="1:3">
      <c r="A22" s="176" t="str">
        <f ca="1">Nasazení!B96</f>
        <v/>
      </c>
      <c r="B22" s="178" t="str">
        <f ca="1">Nasazení!C96</f>
        <v/>
      </c>
      <c r="C22" t="str">
        <f t="shared" ca="1" si="0"/>
        <v>X</v>
      </c>
    </row>
    <row r="23" spans="1:3">
      <c r="A23" s="176" t="str">
        <f ca="1">Nasazení!B101</f>
        <v/>
      </c>
      <c r="B23" s="178" t="str">
        <f ca="1">Nasazení!C101</f>
        <v/>
      </c>
      <c r="C23" t="str">
        <f t="shared" ca="1" si="0"/>
        <v>X</v>
      </c>
    </row>
    <row r="24" spans="1:3">
      <c r="A24" s="176" t="str">
        <f ca="1">Nasazení!B33</f>
        <v/>
      </c>
      <c r="B24" s="178" t="str">
        <f ca="1">Nasazení!C33</f>
        <v/>
      </c>
      <c r="C24" t="str">
        <f t="shared" ca="1" si="0"/>
        <v>X</v>
      </c>
    </row>
    <row r="25" spans="1:3">
      <c r="A25" s="176" t="str">
        <f ca="1">Nasazení!B36</f>
        <v/>
      </c>
      <c r="B25" s="178" t="str">
        <f ca="1">Nasazení!C36</f>
        <v/>
      </c>
      <c r="C25" t="str">
        <f t="shared" ca="1" si="0"/>
        <v>X</v>
      </c>
    </row>
    <row r="26" spans="1:3">
      <c r="A26" s="176" t="str">
        <f ca="1">Nasazení!B97</f>
        <v/>
      </c>
      <c r="B26" s="178" t="str">
        <f ca="1">Nasazení!C97</f>
        <v/>
      </c>
      <c r="C26" t="str">
        <f t="shared" ca="1" si="0"/>
        <v>X</v>
      </c>
    </row>
    <row r="27" spans="1:3">
      <c r="A27" s="176" t="str">
        <f ca="1">Nasazení!B100</f>
        <v/>
      </c>
      <c r="B27" s="178" t="str">
        <f ca="1">Nasazení!C100</f>
        <v/>
      </c>
      <c r="C27" t="str">
        <f t="shared" ca="1" si="0"/>
        <v>X</v>
      </c>
    </row>
    <row r="28" spans="1:3">
      <c r="A28" s="176" t="str">
        <f ca="1">Nasazení!B34</f>
        <v/>
      </c>
      <c r="B28" s="178" t="str">
        <f ca="1">Nasazení!C34</f>
        <v/>
      </c>
      <c r="C28" t="str">
        <f t="shared" ca="1" si="0"/>
        <v>X</v>
      </c>
    </row>
    <row r="29" spans="1:3">
      <c r="A29" s="176" t="str">
        <f ca="1">Nasazení!B35</f>
        <v/>
      </c>
      <c r="B29" s="178" t="str">
        <f ca="1">Nasazení!C35</f>
        <v/>
      </c>
      <c r="C29" t="str">
        <f t="shared" ca="1" si="0"/>
        <v>X</v>
      </c>
    </row>
    <row r="30" spans="1:3">
      <c r="A30" s="176" t="str">
        <f ca="1">Nasazení!B98</f>
        <v/>
      </c>
      <c r="B30" s="178" t="str">
        <f ca="1">Nasazení!C98</f>
        <v/>
      </c>
      <c r="C30" t="str">
        <f t="shared" ca="1" si="0"/>
        <v>X</v>
      </c>
    </row>
    <row r="31" spans="1:3">
      <c r="A31" s="176" t="str">
        <f ca="1">Nasazení!B99</f>
        <v/>
      </c>
      <c r="B31" s="178" t="str">
        <f ca="1">Nasazení!C99</f>
        <v/>
      </c>
      <c r="C31" t="str">
        <f t="shared" ca="1" si="0"/>
        <v>X</v>
      </c>
    </row>
    <row r="32" spans="1:3">
      <c r="A32" s="176" t="str">
        <f ca="1">Nasazení!B4</f>
        <v>B1</v>
      </c>
      <c r="B32" s="178" t="str">
        <f ca="1">Nasazení!C4</f>
        <v>HAPEK - Bureš Pavel st.</v>
      </c>
      <c r="C32" t="str">
        <f t="shared" ca="1" si="0"/>
        <v xml:space="preserve"> </v>
      </c>
    </row>
    <row r="33" spans="1:3">
      <c r="A33" s="176" t="str">
        <f ca="1">Nasazení!B65</f>
        <v/>
      </c>
      <c r="B33" s="178" t="str">
        <f ca="1">Nasazení!C65</f>
        <v/>
      </c>
      <c r="C33" t="str">
        <f t="shared" ca="1" si="0"/>
        <v>X</v>
      </c>
    </row>
    <row r="34" spans="1:3">
      <c r="A34" s="176" t="str">
        <f ca="1">Nasazení!B68</f>
        <v/>
      </c>
      <c r="B34" s="178" t="str">
        <f ca="1">Nasazení!C68</f>
        <v/>
      </c>
      <c r="C34" t="str">
        <f t="shared" ca="1" si="0"/>
        <v>X</v>
      </c>
    </row>
    <row r="35" spans="1:3">
      <c r="A35" s="176" t="str">
        <f ca="1">Nasazení!B129</f>
        <v/>
      </c>
      <c r="B35" s="178" t="str">
        <f ca="1">Nasazení!C129</f>
        <v/>
      </c>
      <c r="C35" t="str">
        <f t="shared" ca="1" si="0"/>
        <v>X</v>
      </c>
    </row>
    <row r="36" spans="1:3">
      <c r="A36" s="176" t="str">
        <f ca="1">Nasazení!B132</f>
        <v/>
      </c>
      <c r="B36" s="178" t="str">
        <f ca="1">Nasazení!C132</f>
        <v/>
      </c>
      <c r="C36" t="str">
        <f t="shared" ca="1" si="0"/>
        <v>X</v>
      </c>
    </row>
    <row r="37" spans="1:3">
      <c r="A37" s="176" t="str">
        <f ca="1">Nasazení!B5</f>
        <v>C1</v>
      </c>
      <c r="B37" s="178" t="str">
        <f ca="1">Nasazení!C5</f>
        <v>TOP - ORLOVÁ - Ulmann Jiří</v>
      </c>
      <c r="C37" t="str">
        <f t="shared" ca="1" si="0"/>
        <v xml:space="preserve"> </v>
      </c>
    </row>
    <row r="38" spans="1:3">
      <c r="A38" s="176" t="str">
        <f ca="1">Nasazení!B64</f>
        <v/>
      </c>
      <c r="B38" s="178" t="str">
        <f ca="1">Nasazení!C64</f>
        <v/>
      </c>
      <c r="C38" t="str">
        <f t="shared" ca="1" si="0"/>
        <v>X</v>
      </c>
    </row>
    <row r="39" spans="1:3">
      <c r="A39" s="176" t="str">
        <f ca="1">Nasazení!B69</f>
        <v/>
      </c>
      <c r="B39" s="178" t="str">
        <f ca="1">Nasazení!C69</f>
        <v/>
      </c>
      <c r="C39" t="str">
        <f t="shared" ca="1" si="0"/>
        <v>X</v>
      </c>
    </row>
    <row r="40" spans="1:3">
      <c r="A40" s="176" t="str">
        <f ca="1">Nasazení!B128</f>
        <v/>
      </c>
      <c r="B40" s="178" t="str">
        <f ca="1">Nasazení!C128</f>
        <v/>
      </c>
      <c r="C40" t="str">
        <f t="shared" ca="1" si="0"/>
        <v>X</v>
      </c>
    </row>
    <row r="41" spans="1:3">
      <c r="A41" s="176" t="str">
        <f ca="1">Nasazení!B133</f>
        <v/>
      </c>
      <c r="B41" s="178" t="str">
        <f ca="1">Nasazení!C133</f>
        <v/>
      </c>
      <c r="C41" t="str">
        <f t="shared" ca="1" si="0"/>
        <v>X</v>
      </c>
    </row>
    <row r="42" spans="1:3">
      <c r="A42" s="176" t="str">
        <f ca="1">Nasazení!B6</f>
        <v>D1</v>
      </c>
      <c r="B42" s="178" t="str">
        <f ca="1">Nasazení!C6</f>
        <v>HRODE KRUMSÍN - Krpec František</v>
      </c>
      <c r="C42" t="str">
        <f t="shared" ca="1" si="0"/>
        <v xml:space="preserve"> </v>
      </c>
    </row>
    <row r="43" spans="1:3">
      <c r="A43" s="176" t="str">
        <f ca="1">Nasazení!B63</f>
        <v/>
      </c>
      <c r="B43" s="178" t="str">
        <f ca="1">Nasazení!C63</f>
        <v/>
      </c>
      <c r="C43" t="str">
        <f t="shared" ca="1" si="0"/>
        <v>X</v>
      </c>
    </row>
    <row r="44" spans="1:3">
      <c r="A44" s="176" t="str">
        <f ca="1">Nasazení!B70</f>
        <v/>
      </c>
      <c r="B44" s="178" t="str">
        <f ca="1">Nasazení!C70</f>
        <v/>
      </c>
      <c r="C44" t="str">
        <f t="shared" ca="1" si="0"/>
        <v>X</v>
      </c>
    </row>
    <row r="45" spans="1:3">
      <c r="A45" s="176" t="str">
        <f ca="1">Nasazení!B127</f>
        <v/>
      </c>
      <c r="B45" s="178" t="str">
        <f ca="1">Nasazení!C127</f>
        <v/>
      </c>
      <c r="C45" t="str">
        <f t="shared" ca="1" si="0"/>
        <v>X</v>
      </c>
    </row>
    <row r="46" spans="1:3">
      <c r="A46" s="176" t="str">
        <f ca="1">Nasazení!B134</f>
        <v/>
      </c>
      <c r="B46" s="178" t="str">
        <f ca="1">Nasazení!C134</f>
        <v/>
      </c>
      <c r="C46" t="str">
        <f t="shared" ca="1" si="0"/>
        <v>X</v>
      </c>
    </row>
    <row r="47" spans="1:3">
      <c r="A47" s="176" t="str">
        <f ca="1">Nasazení!B7</f>
        <v>D2</v>
      </c>
      <c r="B47" s="178" t="str">
        <f ca="1">Nasazení!C7</f>
        <v>HRODE KRUMSÍN - Karásek Jiří</v>
      </c>
      <c r="C47" t="str">
        <f t="shared" ca="1" si="0"/>
        <v xml:space="preserve"> </v>
      </c>
    </row>
    <row r="48" spans="1:3">
      <c r="A48" s="176" t="str">
        <f ca="1">Nasazení!B62</f>
        <v/>
      </c>
      <c r="B48" s="178" t="str">
        <f ca="1">Nasazení!C62</f>
        <v/>
      </c>
      <c r="C48" t="str">
        <f t="shared" ca="1" si="0"/>
        <v>X</v>
      </c>
    </row>
    <row r="49" spans="1:3">
      <c r="A49" s="176" t="str">
        <f ca="1">Nasazení!B71</f>
        <v/>
      </c>
      <c r="B49" s="178" t="str">
        <f ca="1">Nasazení!C71</f>
        <v/>
      </c>
      <c r="C49" t="str">
        <f t="shared" ca="1" si="0"/>
        <v>X</v>
      </c>
    </row>
    <row r="50" spans="1:3">
      <c r="A50" s="176" t="str">
        <f ca="1">Nasazení!B126</f>
        <v/>
      </c>
      <c r="B50" s="178" t="str">
        <f ca="1">Nasazení!C126</f>
        <v/>
      </c>
      <c r="C50" t="str">
        <f t="shared" ca="1" si="0"/>
        <v>X</v>
      </c>
    </row>
    <row r="51" spans="1:3">
      <c r="A51" s="176" t="str">
        <f ca="1">Nasazení!B135</f>
        <v/>
      </c>
      <c r="B51" s="178" t="str">
        <f ca="1">Nasazení!C135</f>
        <v/>
      </c>
      <c r="C51" t="str">
        <f t="shared" ca="1" si="0"/>
        <v>X</v>
      </c>
    </row>
    <row r="52" spans="1:3">
      <c r="A52" s="176" t="str">
        <f ca="1">Nasazení!B8</f>
        <v>C2</v>
      </c>
      <c r="B52" s="178" t="str">
        <f ca="1">Nasazení!C8</f>
        <v>FENYX Adamov - Mrlina Karel</v>
      </c>
      <c r="C52" t="str">
        <f t="shared" ca="1" si="0"/>
        <v xml:space="preserve"> </v>
      </c>
    </row>
    <row r="53" spans="1:3">
      <c r="A53" s="176" t="str">
        <f ca="1">Nasazení!B61</f>
        <v/>
      </c>
      <c r="B53" s="178" t="str">
        <f ca="1">Nasazení!C61</f>
        <v/>
      </c>
      <c r="C53" t="str">
        <f t="shared" ca="1" si="0"/>
        <v>X</v>
      </c>
    </row>
    <row r="54" spans="1:3">
      <c r="A54" s="176" t="str">
        <f ca="1">Nasazení!B72</f>
        <v/>
      </c>
      <c r="B54" s="178" t="str">
        <f ca="1">Nasazení!C72</f>
        <v/>
      </c>
      <c r="C54" t="str">
        <f t="shared" ca="1" si="0"/>
        <v>X</v>
      </c>
    </row>
    <row r="55" spans="1:3">
      <c r="A55" s="176" t="str">
        <f ca="1">Nasazení!B125</f>
        <v/>
      </c>
      <c r="B55" s="178" t="str">
        <f ca="1">Nasazení!C125</f>
        <v/>
      </c>
      <c r="C55" t="str">
        <f t="shared" ca="1" si="0"/>
        <v>X</v>
      </c>
    </row>
    <row r="56" spans="1:3">
      <c r="A56" s="176" t="str">
        <f ca="1">Nasazení!B136</f>
        <v/>
      </c>
      <c r="B56" s="178" t="str">
        <f ca="1">Nasazení!C136</f>
        <v/>
      </c>
      <c r="C56" t="str">
        <f t="shared" ca="1" si="0"/>
        <v>X</v>
      </c>
    </row>
    <row r="57" spans="1:3">
      <c r="A57" s="176" t="str">
        <f ca="1">Nasazení!B9</f>
        <v>B2</v>
      </c>
      <c r="B57" s="178" t="str">
        <f ca="1">Nasazení!C9</f>
        <v>SKP Kulová osma - Sjögren Magda</v>
      </c>
      <c r="C57" t="str">
        <f t="shared" ca="1" si="0"/>
        <v xml:space="preserve"> </v>
      </c>
    </row>
    <row r="58" spans="1:3">
      <c r="A58" s="176" t="str">
        <f ca="1">Nasazení!B60</f>
        <v/>
      </c>
      <c r="B58" s="178" t="str">
        <f ca="1">Nasazení!C60</f>
        <v/>
      </c>
      <c r="C58" t="str">
        <f t="shared" ca="1" si="0"/>
        <v>X</v>
      </c>
    </row>
    <row r="59" spans="1:3">
      <c r="A59" s="176" t="str">
        <f ca="1">Nasazení!B73</f>
        <v/>
      </c>
      <c r="B59" s="178" t="str">
        <f ca="1">Nasazení!C73</f>
        <v/>
      </c>
      <c r="C59" t="str">
        <f t="shared" ca="1" si="0"/>
        <v>X</v>
      </c>
    </row>
    <row r="60" spans="1:3">
      <c r="A60" s="176" t="str">
        <f ca="1">Nasazení!B124</f>
        <v/>
      </c>
      <c r="B60" s="178" t="str">
        <f ca="1">Nasazení!C124</f>
        <v/>
      </c>
      <c r="C60" t="str">
        <f t="shared" ca="1" si="0"/>
        <v>X</v>
      </c>
    </row>
    <row r="61" spans="1:3">
      <c r="A61" s="176" t="str">
        <f ca="1">Nasazení!B10</f>
        <v>A2</v>
      </c>
      <c r="B61" s="178" t="str">
        <f ca="1">Nasazení!C10</f>
        <v>PAK Albrechtice - Bukovčík Jan</v>
      </c>
      <c r="C61" t="str">
        <f t="shared" ca="1" si="0"/>
        <v xml:space="preserve"> </v>
      </c>
    </row>
    <row r="62" spans="1:3">
      <c r="A62" s="176" t="str">
        <f ca="1">Nasazení!B59</f>
        <v/>
      </c>
      <c r="B62" s="178" t="str">
        <f ca="1">Nasazení!C59</f>
        <v/>
      </c>
      <c r="C62" t="str">
        <f t="shared" ca="1" si="0"/>
        <v>X</v>
      </c>
    </row>
    <row r="63" spans="1:3">
      <c r="A63" s="176" t="str">
        <f ca="1">Nasazení!B74</f>
        <v/>
      </c>
      <c r="B63" s="178" t="str">
        <f ca="1">Nasazení!C74</f>
        <v/>
      </c>
      <c r="C63" t="str">
        <f t="shared" ca="1" si="0"/>
        <v>X</v>
      </c>
    </row>
    <row r="64" spans="1:3">
      <c r="A64" s="176" t="str">
        <f ca="1">Nasazení!B123</f>
        <v/>
      </c>
      <c r="B64" s="178" t="str">
        <f ca="1">Nasazení!C123</f>
        <v/>
      </c>
      <c r="C64" t="str">
        <f t="shared" ca="1" si="0"/>
        <v>X</v>
      </c>
    </row>
    <row r="65" spans="1:3">
      <c r="A65" s="176" t="str">
        <f ca="1">Nasazení!B11</f>
        <v>A3</v>
      </c>
      <c r="B65" s="178" t="str">
        <f ca="1">Nasazení!C11</f>
        <v>PK Sokol Medlánky - Bejšovec Petr</v>
      </c>
      <c r="C65" t="str">
        <f t="shared" ca="1" si="0"/>
        <v xml:space="preserve"> </v>
      </c>
    </row>
    <row r="66" spans="1:3">
      <c r="A66" s="176" t="str">
        <f ca="1">Nasazení!B58</f>
        <v/>
      </c>
      <c r="B66" s="178" t="str">
        <f ca="1">Nasazení!C58</f>
        <v/>
      </c>
      <c r="C66" t="str">
        <f t="shared" ca="1" si="0"/>
        <v>X</v>
      </c>
    </row>
    <row r="67" spans="1:3">
      <c r="A67" s="176" t="str">
        <f ca="1">Nasazení!B75</f>
        <v/>
      </c>
      <c r="B67" s="178" t="str">
        <f ca="1">Nasazení!C75</f>
        <v/>
      </c>
      <c r="C67" t="str">
        <f t="shared" ref="C67:C130" ca="1" si="1">IF(T(A67)="","X"," ")</f>
        <v>X</v>
      </c>
    </row>
    <row r="68" spans="1:3">
      <c r="A68" s="176" t="str">
        <f ca="1">Nasazení!B122</f>
        <v/>
      </c>
      <c r="B68" s="178" t="str">
        <f ca="1">Nasazení!C122</f>
        <v/>
      </c>
      <c r="C68" t="str">
        <f t="shared" ca="1" si="1"/>
        <v>X</v>
      </c>
    </row>
    <row r="69" spans="1:3">
      <c r="A69" s="176" t="str">
        <f ca="1">Nasazení!B12</f>
        <v>B3</v>
      </c>
      <c r="B69" s="178" t="str">
        <f ca="1">Nasazení!C12</f>
        <v>1. Starobrněnský PK - Ilgner Vladimír</v>
      </c>
      <c r="C69" t="str">
        <f t="shared" ca="1" si="1"/>
        <v xml:space="preserve"> </v>
      </c>
    </row>
    <row r="70" spans="1:3">
      <c r="A70" s="176" t="str">
        <f ca="1">Nasazení!B57</f>
        <v/>
      </c>
      <c r="B70" s="178" t="str">
        <f ca="1">Nasazení!C57</f>
        <v/>
      </c>
      <c r="C70" t="str">
        <f t="shared" ca="1" si="1"/>
        <v>X</v>
      </c>
    </row>
    <row r="71" spans="1:3">
      <c r="A71" s="176" t="str">
        <f ca="1">Nasazení!B76</f>
        <v/>
      </c>
      <c r="B71" s="178" t="str">
        <f ca="1">Nasazení!C76</f>
        <v/>
      </c>
      <c r="C71" t="str">
        <f t="shared" ca="1" si="1"/>
        <v>X</v>
      </c>
    </row>
    <row r="72" spans="1:3">
      <c r="A72" s="176" t="str">
        <f ca="1">Nasazení!B121</f>
        <v/>
      </c>
      <c r="B72" s="178" t="str">
        <f ca="1">Nasazení!C121</f>
        <v/>
      </c>
      <c r="C72" t="str">
        <f t="shared" ca="1" si="1"/>
        <v>X</v>
      </c>
    </row>
    <row r="73" spans="1:3">
      <c r="A73" s="176" t="str">
        <f ca="1">Nasazení!B13</f>
        <v>C3</v>
      </c>
      <c r="B73" s="178" t="str">
        <f ca="1">Nasazení!C13</f>
        <v>PK Polouvsí - Koudelka Josef</v>
      </c>
      <c r="C73" t="str">
        <f t="shared" ca="1" si="1"/>
        <v xml:space="preserve"> </v>
      </c>
    </row>
    <row r="74" spans="1:3">
      <c r="A74" s="176" t="str">
        <f ca="1">Nasazení!B56</f>
        <v/>
      </c>
      <c r="B74" s="178" t="str">
        <f ca="1">Nasazení!C56</f>
        <v/>
      </c>
      <c r="C74" t="str">
        <f t="shared" ca="1" si="1"/>
        <v>X</v>
      </c>
    </row>
    <row r="75" spans="1:3">
      <c r="A75" s="176" t="str">
        <f ca="1">Nasazení!B77</f>
        <v/>
      </c>
      <c r="B75" s="178" t="str">
        <f ca="1">Nasazení!C77</f>
        <v/>
      </c>
      <c r="C75" t="str">
        <f t="shared" ca="1" si="1"/>
        <v>X</v>
      </c>
    </row>
    <row r="76" spans="1:3">
      <c r="A76" s="176" t="str">
        <f ca="1">Nasazení!B120</f>
        <v/>
      </c>
      <c r="B76" s="178" t="str">
        <f ca="1">Nasazení!C120</f>
        <v/>
      </c>
      <c r="C76" t="str">
        <f t="shared" ca="1" si="1"/>
        <v>X</v>
      </c>
    </row>
    <row r="77" spans="1:3">
      <c r="A77" s="176" t="str">
        <f ca="1">Nasazení!B14</f>
        <v>D3</v>
      </c>
      <c r="B77" s="178" t="str">
        <f ca="1">Nasazení!C14</f>
        <v>PK Polouvsí - Valošková Sára</v>
      </c>
      <c r="C77" t="str">
        <f t="shared" ca="1" si="1"/>
        <v xml:space="preserve"> </v>
      </c>
    </row>
    <row r="78" spans="1:3">
      <c r="A78" s="176" t="str">
        <f ca="1">Nasazení!B55</f>
        <v/>
      </c>
      <c r="B78" s="178" t="str">
        <f ca="1">Nasazení!C55</f>
        <v/>
      </c>
      <c r="C78" t="str">
        <f t="shared" ca="1" si="1"/>
        <v>X</v>
      </c>
    </row>
    <row r="79" spans="1:3">
      <c r="A79" s="176" t="str">
        <f ca="1">Nasazení!B78</f>
        <v/>
      </c>
      <c r="B79" s="178" t="str">
        <f ca="1">Nasazení!C78</f>
        <v/>
      </c>
      <c r="C79" t="str">
        <f t="shared" ca="1" si="1"/>
        <v>X</v>
      </c>
    </row>
    <row r="80" spans="1:3">
      <c r="A80" s="176" t="str">
        <f ca="1">Nasazení!B119</f>
        <v/>
      </c>
      <c r="B80" s="178" t="str">
        <f ca="1">Nasazení!C119</f>
        <v/>
      </c>
      <c r="C80" t="str">
        <f t="shared" ca="1" si="1"/>
        <v>X</v>
      </c>
    </row>
    <row r="81" spans="1:3">
      <c r="A81" s="176" t="str">
        <f ca="1">Nasazení!B15</f>
        <v>D4</v>
      </c>
      <c r="B81" s="178" t="str">
        <f ca="1">Nasazení!C15</f>
        <v>HAPEK - Navrátil Petr</v>
      </c>
      <c r="C81" t="str">
        <f t="shared" ca="1" si="1"/>
        <v xml:space="preserve"> </v>
      </c>
    </row>
    <row r="82" spans="1:3">
      <c r="A82" s="176" t="str">
        <f ca="1">Nasazení!B54</f>
        <v/>
      </c>
      <c r="B82" s="178" t="str">
        <f ca="1">Nasazení!C54</f>
        <v/>
      </c>
      <c r="C82" t="str">
        <f t="shared" ca="1" si="1"/>
        <v>X</v>
      </c>
    </row>
    <row r="83" spans="1:3">
      <c r="A83" s="176" t="str">
        <f ca="1">Nasazení!B79</f>
        <v/>
      </c>
      <c r="B83" s="178" t="str">
        <f ca="1">Nasazení!C79</f>
        <v/>
      </c>
      <c r="C83" t="str">
        <f t="shared" ca="1" si="1"/>
        <v>X</v>
      </c>
    </row>
    <row r="84" spans="1:3">
      <c r="A84" s="176" t="str">
        <f ca="1">Nasazení!B118</f>
        <v/>
      </c>
      <c r="B84" s="178" t="str">
        <f ca="1">Nasazení!C118</f>
        <v/>
      </c>
      <c r="C84" t="str">
        <f t="shared" ca="1" si="1"/>
        <v>X</v>
      </c>
    </row>
    <row r="85" spans="1:3">
      <c r="A85" s="176" t="str">
        <f ca="1">Nasazení!B16</f>
        <v>C4</v>
      </c>
      <c r="B85" s="178" t="str">
        <f ca="1">Nasazení!C16</f>
        <v>SKP Hranice VI-Valšovice - Suk Miroslav</v>
      </c>
      <c r="C85" t="str">
        <f t="shared" ca="1" si="1"/>
        <v xml:space="preserve"> </v>
      </c>
    </row>
    <row r="86" spans="1:3">
      <c r="A86" s="176" t="str">
        <f ca="1">Nasazení!B53</f>
        <v/>
      </c>
      <c r="B86" s="178" t="str">
        <f ca="1">Nasazení!C53</f>
        <v/>
      </c>
      <c r="C86" t="str">
        <f t="shared" ca="1" si="1"/>
        <v>X</v>
      </c>
    </row>
    <row r="87" spans="1:3">
      <c r="A87" s="176" t="str">
        <f ca="1">Nasazení!B80</f>
        <v/>
      </c>
      <c r="B87" s="178" t="str">
        <f ca="1">Nasazení!C80</f>
        <v/>
      </c>
      <c r="C87" t="str">
        <f t="shared" ca="1" si="1"/>
        <v>X</v>
      </c>
    </row>
    <row r="88" spans="1:3">
      <c r="A88" s="176" t="str">
        <f ca="1">Nasazení!B117</f>
        <v/>
      </c>
      <c r="B88" s="178" t="str">
        <f ca="1">Nasazení!C117</f>
        <v/>
      </c>
      <c r="C88" t="str">
        <f t="shared" ca="1" si="1"/>
        <v>X</v>
      </c>
    </row>
    <row r="89" spans="1:3">
      <c r="A89" s="176" t="str">
        <f ca="1">Nasazení!B17</f>
        <v>B4</v>
      </c>
      <c r="B89" s="178" t="str">
        <f ca="1">Nasazení!C17</f>
        <v>SKP Hranice VI-Valšovice - Suková Eva</v>
      </c>
      <c r="C89" t="str">
        <f t="shared" ca="1" si="1"/>
        <v xml:space="preserve"> </v>
      </c>
    </row>
    <row r="90" spans="1:3">
      <c r="A90" s="176" t="str">
        <f ca="1">Nasazení!B52</f>
        <v/>
      </c>
      <c r="B90" s="178" t="str">
        <f ca="1">Nasazení!C52</f>
        <v/>
      </c>
      <c r="C90" t="str">
        <f t="shared" ca="1" si="1"/>
        <v>X</v>
      </c>
    </row>
    <row r="91" spans="1:3">
      <c r="A91" s="176" t="str">
        <f ca="1">Nasazení!B81</f>
        <v/>
      </c>
      <c r="B91" s="178" t="str">
        <f ca="1">Nasazení!C81</f>
        <v/>
      </c>
      <c r="C91" t="str">
        <f t="shared" ca="1" si="1"/>
        <v>X</v>
      </c>
    </row>
    <row r="92" spans="1:3">
      <c r="A92" s="176" t="str">
        <f ca="1">Nasazení!B116</f>
        <v/>
      </c>
      <c r="B92" s="178" t="str">
        <f ca="1">Nasazení!C116</f>
        <v/>
      </c>
      <c r="C92" t="str">
        <f t="shared" ca="1" si="1"/>
        <v>X</v>
      </c>
    </row>
    <row r="93" spans="1:3">
      <c r="A93" s="176" t="str">
        <f ca="1">Nasazení!B18</f>
        <v>A4</v>
      </c>
      <c r="B93" s="178" t="str">
        <f ca="1">Nasazení!C18</f>
        <v>PK Polouvsí - Vrzal Radomír</v>
      </c>
      <c r="C93" t="str">
        <f t="shared" ca="1" si="1"/>
        <v xml:space="preserve"> </v>
      </c>
    </row>
    <row r="94" spans="1:3">
      <c r="A94" s="176" t="str">
        <f ca="1">Nasazení!B51</f>
        <v/>
      </c>
      <c r="B94" s="178" t="str">
        <f ca="1">Nasazení!C51</f>
        <v/>
      </c>
      <c r="C94" t="str">
        <f t="shared" ca="1" si="1"/>
        <v>X</v>
      </c>
    </row>
    <row r="95" spans="1:3">
      <c r="A95" s="176" t="str">
        <f ca="1">Nasazení!B82</f>
        <v/>
      </c>
      <c r="B95" s="178" t="str">
        <f ca="1">Nasazení!C82</f>
        <v/>
      </c>
      <c r="C95" t="str">
        <f t="shared" ca="1" si="1"/>
        <v>X</v>
      </c>
    </row>
    <row r="96" spans="1:3">
      <c r="A96" s="176" t="str">
        <f ca="1">Nasazení!B115</f>
        <v/>
      </c>
      <c r="B96" s="178" t="str">
        <f ca="1">Nasazení!C115</f>
        <v/>
      </c>
      <c r="C96" t="str">
        <f t="shared" ca="1" si="1"/>
        <v>X</v>
      </c>
    </row>
    <row r="97" spans="1:3">
      <c r="A97" s="176" t="str">
        <f ca="1">Nasazení!B19</f>
        <v/>
      </c>
      <c r="B97" s="178" t="str">
        <f ca="1">Nasazení!C19</f>
        <v/>
      </c>
      <c r="C97" t="str">
        <f t="shared" ca="1" si="1"/>
        <v>X</v>
      </c>
    </row>
    <row r="98" spans="1:3">
      <c r="A98" s="176" t="str">
        <f ca="1">Nasazení!B50</f>
        <v/>
      </c>
      <c r="B98" s="178" t="str">
        <f ca="1">Nasazení!C50</f>
        <v/>
      </c>
      <c r="C98" t="str">
        <f t="shared" ca="1" si="1"/>
        <v>X</v>
      </c>
    </row>
    <row r="99" spans="1:3">
      <c r="A99" s="176" t="str">
        <f ca="1">Nasazení!B83</f>
        <v/>
      </c>
      <c r="B99" s="178" t="str">
        <f ca="1">Nasazení!C83</f>
        <v/>
      </c>
      <c r="C99" t="str">
        <f t="shared" ca="1" si="1"/>
        <v>X</v>
      </c>
    </row>
    <row r="100" spans="1:3">
      <c r="A100" s="176" t="str">
        <f ca="1">Nasazení!B114</f>
        <v/>
      </c>
      <c r="B100" s="178" t="str">
        <f ca="1">Nasazení!C114</f>
        <v/>
      </c>
      <c r="C100" t="str">
        <f t="shared" ca="1" si="1"/>
        <v>X</v>
      </c>
    </row>
    <row r="101" spans="1:3">
      <c r="A101" s="176" t="str">
        <f ca="1">Nasazení!B20</f>
        <v/>
      </c>
      <c r="B101" s="178" t="str">
        <f ca="1">Nasazení!C20</f>
        <v/>
      </c>
      <c r="C101" t="str">
        <f t="shared" ca="1" si="1"/>
        <v>X</v>
      </c>
    </row>
    <row r="102" spans="1:3">
      <c r="A102" s="176" t="str">
        <f ca="1">Nasazení!B49</f>
        <v/>
      </c>
      <c r="B102" s="178" t="str">
        <f ca="1">Nasazení!C49</f>
        <v/>
      </c>
      <c r="C102" t="str">
        <f t="shared" ca="1" si="1"/>
        <v>X</v>
      </c>
    </row>
    <row r="103" spans="1:3">
      <c r="A103" s="176" t="str">
        <f ca="1">Nasazení!B84</f>
        <v/>
      </c>
      <c r="B103" s="178" t="str">
        <f ca="1">Nasazení!C84</f>
        <v/>
      </c>
      <c r="C103" t="str">
        <f t="shared" ca="1" si="1"/>
        <v>X</v>
      </c>
    </row>
    <row r="104" spans="1:3">
      <c r="A104" s="176" t="str">
        <f ca="1">Nasazení!B113</f>
        <v/>
      </c>
      <c r="B104" s="178" t="str">
        <f ca="1">Nasazení!C113</f>
        <v/>
      </c>
      <c r="C104" t="str">
        <f t="shared" ca="1" si="1"/>
        <v>X</v>
      </c>
    </row>
    <row r="105" spans="1:3">
      <c r="A105" s="176" t="str">
        <f ca="1">Nasazení!B21</f>
        <v/>
      </c>
      <c r="B105" s="178" t="str">
        <f ca="1">Nasazení!C21</f>
        <v/>
      </c>
      <c r="C105" t="str">
        <f t="shared" ca="1" si="1"/>
        <v>X</v>
      </c>
    </row>
    <row r="106" spans="1:3">
      <c r="A106" s="176" t="str">
        <f ca="1">Nasazení!B48</f>
        <v/>
      </c>
      <c r="B106" s="178" t="str">
        <f ca="1">Nasazení!C48</f>
        <v/>
      </c>
      <c r="C106" t="str">
        <f t="shared" ca="1" si="1"/>
        <v>X</v>
      </c>
    </row>
    <row r="107" spans="1:3">
      <c r="A107" s="176" t="str">
        <f ca="1">Nasazení!B85</f>
        <v/>
      </c>
      <c r="B107" s="178" t="str">
        <f ca="1">Nasazení!C85</f>
        <v/>
      </c>
      <c r="C107" t="str">
        <f t="shared" ca="1" si="1"/>
        <v>X</v>
      </c>
    </row>
    <row r="108" spans="1:3">
      <c r="A108" s="176" t="str">
        <f ca="1">Nasazení!B112</f>
        <v/>
      </c>
      <c r="B108" s="178" t="str">
        <f ca="1">Nasazení!C112</f>
        <v/>
      </c>
      <c r="C108" t="str">
        <f t="shared" ca="1" si="1"/>
        <v>X</v>
      </c>
    </row>
    <row r="109" spans="1:3">
      <c r="A109" s="176" t="str">
        <f ca="1">Nasazení!B22</f>
        <v/>
      </c>
      <c r="B109" s="178" t="str">
        <f ca="1">Nasazení!C22</f>
        <v/>
      </c>
      <c r="C109" t="str">
        <f t="shared" ca="1" si="1"/>
        <v>X</v>
      </c>
    </row>
    <row r="110" spans="1:3">
      <c r="A110" s="176" t="str">
        <f ca="1">Nasazení!B47</f>
        <v/>
      </c>
      <c r="B110" s="178" t="str">
        <f ca="1">Nasazení!C47</f>
        <v/>
      </c>
      <c r="C110" t="str">
        <f t="shared" ca="1" si="1"/>
        <v>X</v>
      </c>
    </row>
    <row r="111" spans="1:3">
      <c r="A111" s="176" t="str">
        <f ca="1">Nasazení!B86</f>
        <v/>
      </c>
      <c r="B111" s="178" t="str">
        <f ca="1">Nasazení!C86</f>
        <v/>
      </c>
      <c r="C111" t="str">
        <f t="shared" ca="1" si="1"/>
        <v>X</v>
      </c>
    </row>
    <row r="112" spans="1:3">
      <c r="A112" s="176" t="str">
        <f ca="1">Nasazení!B111</f>
        <v/>
      </c>
      <c r="B112" s="178" t="str">
        <f ca="1">Nasazení!C111</f>
        <v/>
      </c>
      <c r="C112" t="str">
        <f t="shared" ca="1" si="1"/>
        <v>X</v>
      </c>
    </row>
    <row r="113" spans="1:3">
      <c r="A113" s="176" t="str">
        <f ca="1">Nasazení!B23</f>
        <v/>
      </c>
      <c r="B113" s="178" t="str">
        <f ca="1">Nasazení!C23</f>
        <v/>
      </c>
      <c r="C113" t="str">
        <f t="shared" ca="1" si="1"/>
        <v>X</v>
      </c>
    </row>
    <row r="114" spans="1:3">
      <c r="A114" s="176" t="str">
        <f ca="1">Nasazení!B46</f>
        <v/>
      </c>
      <c r="B114" s="178" t="str">
        <f ca="1">Nasazení!C46</f>
        <v/>
      </c>
      <c r="C114" t="str">
        <f t="shared" ca="1" si="1"/>
        <v>X</v>
      </c>
    </row>
    <row r="115" spans="1:3">
      <c r="A115" s="176" t="str">
        <f ca="1">Nasazení!B87</f>
        <v/>
      </c>
      <c r="B115" s="178" t="str">
        <f ca="1">Nasazení!C87</f>
        <v/>
      </c>
      <c r="C115" t="str">
        <f t="shared" ca="1" si="1"/>
        <v>X</v>
      </c>
    </row>
    <row r="116" spans="1:3">
      <c r="A116" s="176" t="str">
        <f ca="1">Nasazení!B110</f>
        <v/>
      </c>
      <c r="B116" s="178" t="str">
        <f ca="1">Nasazení!C110</f>
        <v/>
      </c>
      <c r="C116" t="str">
        <f t="shared" ca="1" si="1"/>
        <v>X</v>
      </c>
    </row>
    <row r="117" spans="1:3">
      <c r="A117" s="176" t="str">
        <f ca="1">Nasazení!B24</f>
        <v/>
      </c>
      <c r="B117" s="178" t="str">
        <f ca="1">Nasazení!C24</f>
        <v/>
      </c>
      <c r="C117" t="str">
        <f t="shared" ca="1" si="1"/>
        <v>X</v>
      </c>
    </row>
    <row r="118" spans="1:3">
      <c r="A118" s="176" t="str">
        <f ca="1">Nasazení!B45</f>
        <v/>
      </c>
      <c r="B118" s="178" t="str">
        <f ca="1">Nasazení!C45</f>
        <v/>
      </c>
      <c r="C118" t="str">
        <f t="shared" ca="1" si="1"/>
        <v>X</v>
      </c>
    </row>
    <row r="119" spans="1:3">
      <c r="A119" s="176" t="str">
        <f ca="1">Nasazení!B88</f>
        <v/>
      </c>
      <c r="B119" s="178" t="str">
        <f ca="1">Nasazení!C88</f>
        <v/>
      </c>
      <c r="C119" t="str">
        <f t="shared" ca="1" si="1"/>
        <v>X</v>
      </c>
    </row>
    <row r="120" spans="1:3">
      <c r="A120" s="176" t="str">
        <f ca="1">Nasazení!B109</f>
        <v/>
      </c>
      <c r="B120" s="178" t="str">
        <f ca="1">Nasazení!C109</f>
        <v/>
      </c>
      <c r="C120" t="str">
        <f t="shared" ca="1" si="1"/>
        <v>X</v>
      </c>
    </row>
    <row r="121" spans="1:3">
      <c r="A121" s="176" t="str">
        <f ca="1">Nasazení!B25</f>
        <v/>
      </c>
      <c r="B121" s="178" t="str">
        <f ca="1">Nasazení!C25</f>
        <v/>
      </c>
      <c r="C121" t="str">
        <f t="shared" ca="1" si="1"/>
        <v>X</v>
      </c>
    </row>
    <row r="122" spans="1:3">
      <c r="A122" s="176" t="str">
        <f ca="1">Nasazení!B44</f>
        <v/>
      </c>
      <c r="B122" s="178" t="str">
        <f ca="1">Nasazení!C44</f>
        <v/>
      </c>
      <c r="C122" t="str">
        <f t="shared" ca="1" si="1"/>
        <v>X</v>
      </c>
    </row>
    <row r="123" spans="1:3">
      <c r="A123" s="176" t="str">
        <f ca="1">Nasazení!B89</f>
        <v/>
      </c>
      <c r="B123" s="178" t="str">
        <f ca="1">Nasazení!C89</f>
        <v/>
      </c>
      <c r="C123" t="str">
        <f t="shared" ca="1" si="1"/>
        <v>X</v>
      </c>
    </row>
    <row r="124" spans="1:3">
      <c r="A124" s="176" t="str">
        <f ca="1">Nasazení!B108</f>
        <v/>
      </c>
      <c r="B124" s="178" t="str">
        <f ca="1">Nasazení!C108</f>
        <v/>
      </c>
      <c r="C124" t="str">
        <f t="shared" ca="1" si="1"/>
        <v>X</v>
      </c>
    </row>
    <row r="125" spans="1:3">
      <c r="A125" s="176" t="str">
        <f ca="1">Nasazení!B26</f>
        <v/>
      </c>
      <c r="B125" s="178" t="str">
        <f ca="1">Nasazení!C26</f>
        <v/>
      </c>
      <c r="C125" t="str">
        <f t="shared" ca="1" si="1"/>
        <v>X</v>
      </c>
    </row>
    <row r="126" spans="1:3">
      <c r="A126" s="176" t="str">
        <f ca="1">Nasazení!B43</f>
        <v/>
      </c>
      <c r="B126" s="178" t="str">
        <f ca="1">Nasazení!C43</f>
        <v/>
      </c>
      <c r="C126" t="str">
        <f t="shared" ca="1" si="1"/>
        <v>X</v>
      </c>
    </row>
    <row r="127" spans="1:3">
      <c r="A127" s="176" t="str">
        <f ca="1">Nasazení!B90</f>
        <v/>
      </c>
      <c r="B127" s="178" t="str">
        <f ca="1">Nasazení!C90</f>
        <v/>
      </c>
      <c r="C127" t="str">
        <f t="shared" ca="1" si="1"/>
        <v>X</v>
      </c>
    </row>
    <row r="128" spans="1:3">
      <c r="A128" s="176" t="str">
        <f ca="1">Nasazení!B107</f>
        <v/>
      </c>
      <c r="B128" s="178" t="str">
        <f ca="1">Nasazení!C107</f>
        <v/>
      </c>
      <c r="C128" t="str">
        <f t="shared" ca="1" si="1"/>
        <v>X</v>
      </c>
    </row>
    <row r="129" spans="1:3">
      <c r="A129" s="176" t="str">
        <f ca="1">Nasazení!B27</f>
        <v/>
      </c>
      <c r="B129" s="178" t="str">
        <f ca="1">Nasazení!C27</f>
        <v/>
      </c>
      <c r="C129" t="str">
        <f t="shared" ca="1" si="1"/>
        <v>X</v>
      </c>
    </row>
    <row r="130" spans="1:3">
      <c r="A130" s="176" t="str">
        <f ca="1">Nasazení!B42</f>
        <v/>
      </c>
      <c r="B130" s="178" t="str">
        <f ca="1">Nasazení!C42</f>
        <v/>
      </c>
      <c r="C130" t="str">
        <f t="shared" ca="1" si="1"/>
        <v>X</v>
      </c>
    </row>
    <row r="131" spans="1:3">
      <c r="A131" s="176" t="str">
        <f ca="1">Nasazení!B91</f>
        <v/>
      </c>
      <c r="B131" s="178" t="str">
        <f ca="1">Nasazení!C91</f>
        <v/>
      </c>
      <c r="C131" t="str">
        <f t="shared" ref="C131:C194" ca="1" si="2">IF(T(A131)="","X"," ")</f>
        <v>X</v>
      </c>
    </row>
    <row r="132" spans="1:3">
      <c r="A132" s="176" t="str">
        <f ca="1">Nasazení!B106</f>
        <v/>
      </c>
      <c r="B132" s="178" t="str">
        <f ca="1">Nasazení!C106</f>
        <v/>
      </c>
      <c r="C132" t="str">
        <f t="shared" ca="1" si="2"/>
        <v>X</v>
      </c>
    </row>
    <row r="133" spans="1:3">
      <c r="A133" s="176" t="str">
        <f ca="1">Nasazení!B28</f>
        <v/>
      </c>
      <c r="B133" s="178" t="str">
        <f ca="1">Nasazení!C28</f>
        <v/>
      </c>
      <c r="C133" t="str">
        <f t="shared" ca="1" si="2"/>
        <v>X</v>
      </c>
    </row>
    <row r="134" spans="1:3">
      <c r="A134" s="176" t="str">
        <f ca="1">Nasazení!B41</f>
        <v/>
      </c>
      <c r="B134" s="178" t="str">
        <f ca="1">Nasazení!C41</f>
        <v/>
      </c>
      <c r="C134" t="str">
        <f t="shared" ca="1" si="2"/>
        <v>X</v>
      </c>
    </row>
    <row r="135" spans="1:3">
      <c r="A135" s="176" t="str">
        <f ca="1">Nasazení!B92</f>
        <v/>
      </c>
      <c r="B135" s="178" t="str">
        <f ca="1">Nasazení!C92</f>
        <v/>
      </c>
      <c r="C135" t="str">
        <f t="shared" ca="1" si="2"/>
        <v>X</v>
      </c>
    </row>
    <row r="136" spans="1:3">
      <c r="A136" s="176" t="str">
        <f ca="1">Nasazení!B105</f>
        <v/>
      </c>
      <c r="B136" s="178" t="str">
        <f ca="1">Nasazení!C105</f>
        <v/>
      </c>
      <c r="C136" t="str">
        <f t="shared" ca="1" si="2"/>
        <v>X</v>
      </c>
    </row>
    <row r="137" spans="1:3">
      <c r="A137" s="176">
        <f>Nasazení!B213</f>
        <v>0</v>
      </c>
      <c r="B137" s="178">
        <f>Nasazení!C213</f>
        <v>0</v>
      </c>
      <c r="C137" t="str">
        <f t="shared" si="2"/>
        <v>X</v>
      </c>
    </row>
    <row r="138" spans="1:3">
      <c r="A138" s="176">
        <f>Nasazení!B224</f>
        <v>0</v>
      </c>
      <c r="B138" s="178">
        <f>Nasazení!C224</f>
        <v>0</v>
      </c>
      <c r="C138" t="str">
        <f t="shared" si="2"/>
        <v>X</v>
      </c>
    </row>
    <row r="139" spans="1:3">
      <c r="A139" s="176">
        <f>Nasazení!B214</f>
        <v>0</v>
      </c>
      <c r="B139" s="178">
        <f>Nasazení!C214</f>
        <v>0</v>
      </c>
      <c r="C139" t="str">
        <f t="shared" si="2"/>
        <v>X</v>
      </c>
    </row>
    <row r="140" spans="1:3">
      <c r="A140" s="176">
        <f>Nasazení!B223</f>
        <v>0</v>
      </c>
      <c r="B140" s="178">
        <f>Nasazení!C223</f>
        <v>0</v>
      </c>
      <c r="C140" t="str">
        <f t="shared" si="2"/>
        <v>X</v>
      </c>
    </row>
    <row r="141" spans="1:3">
      <c r="A141" s="176">
        <f>Nasazení!B215</f>
        <v>0</v>
      </c>
      <c r="B141" s="178">
        <f>Nasazení!C215</f>
        <v>0</v>
      </c>
      <c r="C141" t="str">
        <f t="shared" si="2"/>
        <v>X</v>
      </c>
    </row>
    <row r="142" spans="1:3">
      <c r="A142" s="176">
        <f>Nasazení!B222</f>
        <v>0</v>
      </c>
      <c r="B142" s="178">
        <f>Nasazení!C222</f>
        <v>0</v>
      </c>
      <c r="C142" t="str">
        <f t="shared" si="2"/>
        <v>X</v>
      </c>
    </row>
    <row r="143" spans="1:3">
      <c r="A143" s="176">
        <f>Nasazení!B216</f>
        <v>0</v>
      </c>
      <c r="B143" s="178">
        <f>Nasazení!C216</f>
        <v>0</v>
      </c>
      <c r="C143" t="str">
        <f t="shared" si="2"/>
        <v>X</v>
      </c>
    </row>
    <row r="144" spans="1:3">
      <c r="A144" s="176">
        <f>Nasazení!B221</f>
        <v>0</v>
      </c>
      <c r="B144" s="178">
        <f>Nasazení!C221</f>
        <v>0</v>
      </c>
      <c r="C144" t="str">
        <f t="shared" si="2"/>
        <v>X</v>
      </c>
    </row>
    <row r="145" spans="1:3">
      <c r="A145" s="176">
        <f>Nasazení!B217</f>
        <v>0</v>
      </c>
      <c r="B145" s="178">
        <f>Nasazení!C217</f>
        <v>0</v>
      </c>
      <c r="C145" t="str">
        <f t="shared" si="2"/>
        <v>X</v>
      </c>
    </row>
    <row r="146" spans="1:3">
      <c r="A146" s="176">
        <f>Nasazení!B220</f>
        <v>0</v>
      </c>
      <c r="B146" s="178">
        <f>Nasazení!C220</f>
        <v>0</v>
      </c>
      <c r="C146" t="str">
        <f t="shared" si="2"/>
        <v>X</v>
      </c>
    </row>
    <row r="147" spans="1:3">
      <c r="A147" s="176">
        <f>Nasazení!B218</f>
        <v>0</v>
      </c>
      <c r="B147" s="178">
        <f>Nasazení!C218</f>
        <v>0</v>
      </c>
      <c r="C147" t="str">
        <f t="shared" si="2"/>
        <v>X</v>
      </c>
    </row>
    <row r="148" spans="1:3">
      <c r="A148" s="176">
        <f>Nasazení!B219</f>
        <v>0</v>
      </c>
      <c r="B148" s="178">
        <f>Nasazení!C219</f>
        <v>0</v>
      </c>
      <c r="C148" t="str">
        <f t="shared" si="2"/>
        <v>X</v>
      </c>
    </row>
    <row r="149" spans="1:3">
      <c r="A149" s="176" t="str">
        <f ca="1">Nasazení!B146</f>
        <v/>
      </c>
      <c r="B149" s="178" t="str">
        <f ca="1">Nasazení!C146</f>
        <v/>
      </c>
      <c r="C149" t="str">
        <f t="shared" ca="1" si="2"/>
        <v>X</v>
      </c>
    </row>
    <row r="150" spans="1:3">
      <c r="A150" s="176" t="str">
        <f ca="1">Nasazení!B147</f>
        <v/>
      </c>
      <c r="B150" s="178" t="str">
        <f ca="1">Nasazení!C147</f>
        <v/>
      </c>
      <c r="C150" t="str">
        <f t="shared" ca="1" si="2"/>
        <v>X</v>
      </c>
    </row>
    <row r="151" spans="1:3">
      <c r="A151" s="176" t="str">
        <f ca="1">Nasazení!B162</f>
        <v/>
      </c>
      <c r="B151" s="178" t="str">
        <f ca="1">Nasazení!C162</f>
        <v/>
      </c>
      <c r="C151" t="str">
        <f t="shared" ca="1" si="2"/>
        <v>X</v>
      </c>
    </row>
    <row r="152" spans="1:3">
      <c r="A152" s="176" t="str">
        <f ca="1">Nasazení!B145</f>
        <v/>
      </c>
      <c r="B152" s="178" t="str">
        <f ca="1">Nasazení!C145</f>
        <v/>
      </c>
      <c r="C152" t="str">
        <f t="shared" ca="1" si="2"/>
        <v>X</v>
      </c>
    </row>
    <row r="153" spans="1:3">
      <c r="A153" s="176" t="str">
        <f ca="1">Nasazení!B148</f>
        <v/>
      </c>
      <c r="B153" s="178" t="str">
        <f ca="1">Nasazení!C148</f>
        <v/>
      </c>
      <c r="C153" t="str">
        <f t="shared" ca="1" si="2"/>
        <v>X</v>
      </c>
    </row>
    <row r="154" spans="1:3">
      <c r="A154" s="176" t="str">
        <f ca="1">Nasazení!B161</f>
        <v/>
      </c>
      <c r="B154" s="178" t="str">
        <f ca="1">Nasazení!C161</f>
        <v/>
      </c>
      <c r="C154" t="str">
        <f t="shared" ca="1" si="2"/>
        <v>X</v>
      </c>
    </row>
    <row r="155" spans="1:3">
      <c r="A155" s="176" t="str">
        <f ca="1">Nasazení!B144</f>
        <v/>
      </c>
      <c r="B155" s="178" t="str">
        <f ca="1">Nasazení!C144</f>
        <v/>
      </c>
      <c r="C155" t="str">
        <f t="shared" ca="1" si="2"/>
        <v>X</v>
      </c>
    </row>
    <row r="156" spans="1:3">
      <c r="A156" s="176" t="str">
        <f ca="1">Nasazení!B149</f>
        <v/>
      </c>
      <c r="B156" s="178" t="str">
        <f ca="1">Nasazení!C149</f>
        <v/>
      </c>
      <c r="C156" t="str">
        <f t="shared" ca="1" si="2"/>
        <v>X</v>
      </c>
    </row>
    <row r="157" spans="1:3">
      <c r="A157" s="176" t="str">
        <f ca="1">Nasazení!B160</f>
        <v/>
      </c>
      <c r="B157" s="178" t="str">
        <f ca="1">Nasazení!C160</f>
        <v/>
      </c>
      <c r="C157" t="str">
        <f t="shared" ca="1" si="2"/>
        <v>X</v>
      </c>
    </row>
    <row r="158" spans="1:3">
      <c r="A158" s="176" t="str">
        <f ca="1">Nasazení!B143</f>
        <v/>
      </c>
      <c r="B158" s="178" t="str">
        <f ca="1">Nasazení!C143</f>
        <v/>
      </c>
      <c r="C158" t="str">
        <f t="shared" ca="1" si="2"/>
        <v>X</v>
      </c>
    </row>
    <row r="159" spans="1:3">
      <c r="A159" s="176" t="str">
        <f ca="1">Nasazení!B150</f>
        <v/>
      </c>
      <c r="B159" s="178" t="str">
        <f ca="1">Nasazení!C150</f>
        <v/>
      </c>
      <c r="C159" t="str">
        <f t="shared" ca="1" si="2"/>
        <v>X</v>
      </c>
    </row>
    <row r="160" spans="1:3">
      <c r="A160" s="176" t="str">
        <f ca="1">Nasazení!B159</f>
        <v/>
      </c>
      <c r="B160" s="178" t="str">
        <f ca="1">Nasazení!C159</f>
        <v/>
      </c>
      <c r="C160" t="str">
        <f t="shared" ca="1" si="2"/>
        <v>X</v>
      </c>
    </row>
    <row r="161" spans="1:3">
      <c r="A161" s="176" t="str">
        <f ca="1">Nasazení!B142</f>
        <v/>
      </c>
      <c r="B161" s="178" t="str">
        <f ca="1">Nasazení!C142</f>
        <v/>
      </c>
      <c r="C161" t="str">
        <f t="shared" ca="1" si="2"/>
        <v>X</v>
      </c>
    </row>
    <row r="162" spans="1:3">
      <c r="A162" s="176" t="str">
        <f ca="1">Nasazení!B151</f>
        <v/>
      </c>
      <c r="B162" s="178" t="str">
        <f ca="1">Nasazení!C151</f>
        <v/>
      </c>
      <c r="C162" t="str">
        <f t="shared" ca="1" si="2"/>
        <v>X</v>
      </c>
    </row>
    <row r="163" spans="1:3">
      <c r="A163" s="176" t="str">
        <f ca="1">Nasazení!B158</f>
        <v/>
      </c>
      <c r="B163" s="178" t="str">
        <f ca="1">Nasazení!C158</f>
        <v/>
      </c>
      <c r="C163" t="str">
        <f t="shared" ca="1" si="2"/>
        <v>X</v>
      </c>
    </row>
    <row r="164" spans="1:3">
      <c r="A164" s="176" t="str">
        <f ca="1">Nasazení!B141</f>
        <v/>
      </c>
      <c r="B164" s="178" t="str">
        <f ca="1">Nasazení!C141</f>
        <v/>
      </c>
      <c r="C164" t="str">
        <f t="shared" ca="1" si="2"/>
        <v>X</v>
      </c>
    </row>
    <row r="165" spans="1:3">
      <c r="A165" s="176" t="str">
        <f ca="1">Nasazení!B152</f>
        <v/>
      </c>
      <c r="B165" s="178" t="str">
        <f ca="1">Nasazení!C152</f>
        <v/>
      </c>
      <c r="C165" t="str">
        <f t="shared" ca="1" si="2"/>
        <v>X</v>
      </c>
    </row>
    <row r="166" spans="1:3">
      <c r="A166" s="176" t="str">
        <f ca="1">Nasazení!B157</f>
        <v/>
      </c>
      <c r="B166" s="178" t="str">
        <f ca="1">Nasazení!C157</f>
        <v/>
      </c>
      <c r="C166" t="str">
        <f t="shared" ca="1" si="2"/>
        <v>X</v>
      </c>
    </row>
    <row r="167" spans="1:3">
      <c r="A167" s="176" t="str">
        <f ca="1">Nasazení!B137</f>
        <v/>
      </c>
      <c r="B167" s="178" t="str">
        <f ca="1">Nasazení!C137</f>
        <v/>
      </c>
      <c r="C167" t="str">
        <f t="shared" ca="1" si="2"/>
        <v>X</v>
      </c>
    </row>
    <row r="168" spans="1:3">
      <c r="A168" s="176" t="str">
        <f ca="1">Nasazení!B140</f>
        <v/>
      </c>
      <c r="B168" s="178" t="str">
        <f ca="1">Nasazení!C140</f>
        <v/>
      </c>
      <c r="C168" t="str">
        <f t="shared" ca="1" si="2"/>
        <v>X</v>
      </c>
    </row>
    <row r="169" spans="1:3">
      <c r="A169" s="176" t="str">
        <f ca="1">Nasazení!B153</f>
        <v/>
      </c>
      <c r="B169" s="178" t="str">
        <f ca="1">Nasazení!C153</f>
        <v/>
      </c>
      <c r="C169" t="str">
        <f t="shared" ca="1" si="2"/>
        <v>X</v>
      </c>
    </row>
    <row r="170" spans="1:3">
      <c r="A170" s="176" t="str">
        <f ca="1">Nasazení!B156</f>
        <v/>
      </c>
      <c r="B170" s="178" t="str">
        <f ca="1">Nasazení!C156</f>
        <v/>
      </c>
      <c r="C170" t="str">
        <f t="shared" ca="1" si="2"/>
        <v>X</v>
      </c>
    </row>
    <row r="171" spans="1:3">
      <c r="A171" s="176" t="str">
        <f ca="1">Nasazení!B138</f>
        <v/>
      </c>
      <c r="B171" s="178" t="str">
        <f ca="1">Nasazení!C138</f>
        <v/>
      </c>
      <c r="C171" t="str">
        <f t="shared" ca="1" si="2"/>
        <v>X</v>
      </c>
    </row>
    <row r="172" spans="1:3">
      <c r="A172" s="176" t="str">
        <f ca="1">Nasazení!B139</f>
        <v/>
      </c>
      <c r="B172" s="178" t="str">
        <f ca="1">Nasazení!C139</f>
        <v/>
      </c>
      <c r="C172" t="str">
        <f t="shared" ca="1" si="2"/>
        <v>X</v>
      </c>
    </row>
    <row r="173" spans="1:3">
      <c r="A173" s="176" t="str">
        <f ca="1">Nasazení!B154</f>
        <v/>
      </c>
      <c r="B173" s="178" t="str">
        <f ca="1">Nasazení!C154</f>
        <v/>
      </c>
      <c r="C173" t="str">
        <f t="shared" ca="1" si="2"/>
        <v>X</v>
      </c>
    </row>
    <row r="174" spans="1:3">
      <c r="A174" s="176" t="str">
        <f ca="1">Nasazení!B155</f>
        <v/>
      </c>
      <c r="B174" s="178" t="str">
        <f ca="1">Nasazení!C155</f>
        <v/>
      </c>
      <c r="C174" t="str">
        <f t="shared" ca="1" si="2"/>
        <v>X</v>
      </c>
    </row>
    <row r="175" spans="1:3">
      <c r="A175" s="176" t="str">
        <f ca="1">Nasazení!B176</f>
        <v/>
      </c>
      <c r="B175" s="178" t="str">
        <f ca="1">Nasazení!C176</f>
        <v/>
      </c>
      <c r="C175" t="str">
        <f t="shared" ca="1" si="2"/>
        <v>X</v>
      </c>
    </row>
    <row r="176" spans="1:3">
      <c r="A176" s="176" t="str">
        <f ca="1">Nasazení!B175</f>
        <v/>
      </c>
      <c r="B176" s="178" t="str">
        <f ca="1">Nasazení!C175</f>
        <v/>
      </c>
      <c r="C176" t="str">
        <f t="shared" ca="1" si="2"/>
        <v>X</v>
      </c>
    </row>
    <row r="177" spans="1:3">
      <c r="A177" s="176" t="str">
        <f ca="1">Nasazení!B174</f>
        <v/>
      </c>
      <c r="B177" s="178" t="str">
        <f ca="1">Nasazení!C174</f>
        <v/>
      </c>
      <c r="C177" t="str">
        <f t="shared" ca="1" si="2"/>
        <v>X</v>
      </c>
    </row>
    <row r="178" spans="1:3">
      <c r="A178" s="176" t="str">
        <f ca="1">Nasazení!B173</f>
        <v/>
      </c>
      <c r="B178" s="178" t="str">
        <f ca="1">Nasazení!C173</f>
        <v/>
      </c>
      <c r="C178" t="str">
        <f t="shared" ca="1" si="2"/>
        <v>X</v>
      </c>
    </row>
    <row r="179" spans="1:3">
      <c r="A179" s="176" t="str">
        <f ca="1">Nasazení!B172</f>
        <v/>
      </c>
      <c r="B179" s="178" t="str">
        <f ca="1">Nasazení!C172</f>
        <v/>
      </c>
      <c r="C179" t="str">
        <f t="shared" ca="1" si="2"/>
        <v>X</v>
      </c>
    </row>
    <row r="180" spans="1:3">
      <c r="A180" s="176" t="str">
        <f ca="1">Nasazení!B171</f>
        <v/>
      </c>
      <c r="B180" s="178" t="str">
        <f ca="1">Nasazení!C171</f>
        <v/>
      </c>
      <c r="C180" t="str">
        <f t="shared" ca="1" si="2"/>
        <v>X</v>
      </c>
    </row>
    <row r="181" spans="1:3">
      <c r="A181" s="176" t="str">
        <f ca="1">Nasazení!B163</f>
        <v/>
      </c>
      <c r="B181" s="178" t="str">
        <f ca="1">Nasazení!C163</f>
        <v/>
      </c>
      <c r="C181" t="str">
        <f t="shared" ca="1" si="2"/>
        <v>X</v>
      </c>
    </row>
    <row r="182" spans="1:3">
      <c r="A182" s="176" t="str">
        <f ca="1">Nasazení!B170</f>
        <v/>
      </c>
      <c r="B182" s="178" t="str">
        <f ca="1">Nasazení!C170</f>
        <v/>
      </c>
      <c r="C182" t="str">
        <f t="shared" ca="1" si="2"/>
        <v>X</v>
      </c>
    </row>
    <row r="183" spans="1:3">
      <c r="A183" s="176" t="str">
        <f ca="1">Nasazení!B164</f>
        <v/>
      </c>
      <c r="B183" s="178" t="str">
        <f ca="1">Nasazení!C164</f>
        <v/>
      </c>
      <c r="C183" t="str">
        <f t="shared" ca="1" si="2"/>
        <v>X</v>
      </c>
    </row>
    <row r="184" spans="1:3">
      <c r="A184" s="176" t="str">
        <f ca="1">Nasazení!B169</f>
        <v/>
      </c>
      <c r="B184" s="178" t="str">
        <f ca="1">Nasazení!C169</f>
        <v/>
      </c>
      <c r="C184" t="str">
        <f t="shared" ca="1" si="2"/>
        <v>X</v>
      </c>
    </row>
    <row r="185" spans="1:3">
      <c r="A185" s="176" t="str">
        <f ca="1">Nasazení!B165</f>
        <v/>
      </c>
      <c r="B185" s="178" t="str">
        <f ca="1">Nasazení!C165</f>
        <v/>
      </c>
      <c r="C185" t="str">
        <f t="shared" ca="1" si="2"/>
        <v>X</v>
      </c>
    </row>
    <row r="186" spans="1:3">
      <c r="A186" s="176" t="str">
        <f ca="1">Nasazení!B168</f>
        <v/>
      </c>
      <c r="B186" s="178" t="str">
        <f ca="1">Nasazení!C168</f>
        <v/>
      </c>
      <c r="C186" t="str">
        <f t="shared" ca="1" si="2"/>
        <v>X</v>
      </c>
    </row>
    <row r="187" spans="1:3">
      <c r="A187" s="176" t="str">
        <f ca="1">Nasazení!B166</f>
        <v/>
      </c>
      <c r="B187" s="178" t="str">
        <f ca="1">Nasazení!C166</f>
        <v/>
      </c>
      <c r="C187" t="str">
        <f t="shared" ca="1" si="2"/>
        <v>X</v>
      </c>
    </row>
    <row r="188" spans="1:3">
      <c r="A188" s="176" t="str">
        <f ca="1">Nasazení!B167</f>
        <v/>
      </c>
      <c r="B188" s="178" t="str">
        <f ca="1">Nasazení!C167</f>
        <v/>
      </c>
      <c r="C188" t="str">
        <f t="shared" ca="1" si="2"/>
        <v>X</v>
      </c>
    </row>
    <row r="189" spans="1:3">
      <c r="A189" s="176" t="str">
        <f ca="1">Nasazení!B178</f>
        <v/>
      </c>
      <c r="B189" s="178" t="str">
        <f ca="1">Nasazení!C178</f>
        <v/>
      </c>
      <c r="C189" t="str">
        <f t="shared" ca="1" si="2"/>
        <v>X</v>
      </c>
    </row>
    <row r="190" spans="1:3">
      <c r="A190" s="176" t="str">
        <f ca="1">Nasazení!B177</f>
        <v/>
      </c>
      <c r="B190" s="178" t="str">
        <f ca="1">Nasazení!C177</f>
        <v/>
      </c>
      <c r="C190" t="str">
        <f t="shared" ca="1" si="2"/>
        <v>X</v>
      </c>
    </row>
    <row r="191" spans="1:3">
      <c r="A191" s="176" t="str">
        <f ca="1">Nasazení!B194</f>
        <v/>
      </c>
      <c r="B191" s="178" t="str">
        <f ca="1">Nasazení!C194</f>
        <v/>
      </c>
      <c r="C191" t="str">
        <f t="shared" ca="1" si="2"/>
        <v>X</v>
      </c>
    </row>
    <row r="192" spans="1:3">
      <c r="A192" s="176" t="str">
        <f ca="1">Nasazení!B193</f>
        <v/>
      </c>
      <c r="B192" s="178" t="str">
        <f ca="1">Nasazení!C193</f>
        <v/>
      </c>
      <c r="C192" t="str">
        <f t="shared" ca="1" si="2"/>
        <v>X</v>
      </c>
    </row>
    <row r="193" spans="1:3">
      <c r="A193" s="176" t="e">
        <f>Nasazení!#REF!</f>
        <v>#REF!</v>
      </c>
      <c r="B193" s="178" t="e">
        <f>Nasazení!#REF!</f>
        <v>#REF!</v>
      </c>
      <c r="C193" t="e">
        <f t="shared" si="2"/>
        <v>#REF!</v>
      </c>
    </row>
    <row r="194" spans="1:3">
      <c r="A194" s="176" t="e">
        <f>Nasazení!#REF!</f>
        <v>#REF!</v>
      </c>
      <c r="B194" s="178" t="e">
        <f>Nasazení!#REF!</f>
        <v>#REF!</v>
      </c>
      <c r="C194" t="e">
        <f t="shared" si="2"/>
        <v>#REF!</v>
      </c>
    </row>
    <row r="195" spans="1:3">
      <c r="A195" s="176" t="str">
        <f ca="1">Nasazení!B192</f>
        <v/>
      </c>
      <c r="B195" s="178" t="str">
        <f ca="1">Nasazení!C192</f>
        <v/>
      </c>
      <c r="C195" t="str">
        <f t="shared" ref="C195:C258" ca="1" si="3">IF(T(A195)="","X"," ")</f>
        <v>X</v>
      </c>
    </row>
    <row r="196" spans="1:3">
      <c r="A196" s="176" t="e">
        <f>Nasazení!#REF!</f>
        <v>#REF!</v>
      </c>
      <c r="B196" s="178" t="e">
        <f>Nasazení!#REF!</f>
        <v>#REF!</v>
      </c>
      <c r="C196" t="e">
        <f t="shared" si="3"/>
        <v>#REF!</v>
      </c>
    </row>
    <row r="197" spans="1:3">
      <c r="A197" s="176" t="str">
        <f ca="1">Nasazení!B191</f>
        <v/>
      </c>
      <c r="B197" s="178" t="str">
        <f ca="1">Nasazení!C191</f>
        <v/>
      </c>
      <c r="C197" t="str">
        <f t="shared" ca="1" si="3"/>
        <v>X</v>
      </c>
    </row>
    <row r="198" spans="1:3">
      <c r="A198" s="176" t="e">
        <f>Nasazení!#REF!</f>
        <v>#REF!</v>
      </c>
      <c r="B198" s="178" t="e">
        <f>Nasazení!#REF!</f>
        <v>#REF!</v>
      </c>
      <c r="C198" t="e">
        <f t="shared" si="3"/>
        <v>#REF!</v>
      </c>
    </row>
    <row r="199" spans="1:3">
      <c r="A199" s="176">
        <f>Nasazení!B247</f>
        <v>0</v>
      </c>
      <c r="B199" s="178">
        <f>Nasazení!C247</f>
        <v>0</v>
      </c>
      <c r="C199" t="str">
        <f t="shared" si="3"/>
        <v>X</v>
      </c>
    </row>
    <row r="200" spans="1:3">
      <c r="A200" s="176" t="str">
        <f ca="1">Nasazení!B190</f>
        <v/>
      </c>
      <c r="B200" s="178" t="str">
        <f ca="1">Nasazení!C190</f>
        <v/>
      </c>
      <c r="C200" t="str">
        <f t="shared" ca="1" si="3"/>
        <v>X</v>
      </c>
    </row>
    <row r="201" spans="1:3">
      <c r="A201" s="176" t="e">
        <f>Nasazení!#REF!</f>
        <v>#REF!</v>
      </c>
      <c r="B201" s="178" t="e">
        <f>Nasazení!#REF!</f>
        <v>#REF!</v>
      </c>
      <c r="C201" t="e">
        <f t="shared" si="3"/>
        <v>#REF!</v>
      </c>
    </row>
    <row r="202" spans="1:3">
      <c r="A202" s="176">
        <f>Nasazení!B246</f>
        <v>0</v>
      </c>
      <c r="B202" s="178">
        <f>Nasazení!C246</f>
        <v>0</v>
      </c>
      <c r="C202" t="str">
        <f t="shared" si="3"/>
        <v>X</v>
      </c>
    </row>
    <row r="203" spans="1:3">
      <c r="A203" s="176" t="str">
        <f ca="1">Nasazení!B189</f>
        <v/>
      </c>
      <c r="B203" s="178" t="str">
        <f ca="1">Nasazení!C189</f>
        <v/>
      </c>
      <c r="C203" t="str">
        <f t="shared" ca="1" si="3"/>
        <v>X</v>
      </c>
    </row>
    <row r="204" spans="1:3">
      <c r="A204" s="176" t="e">
        <f>Nasazení!#REF!</f>
        <v>#REF!</v>
      </c>
      <c r="B204" s="178" t="e">
        <f>Nasazení!#REF!</f>
        <v>#REF!</v>
      </c>
      <c r="C204" t="e">
        <f t="shared" si="3"/>
        <v>#REF!</v>
      </c>
    </row>
    <row r="205" spans="1:3">
      <c r="A205" s="176">
        <f>Nasazení!B245</f>
        <v>0</v>
      </c>
      <c r="B205" s="178">
        <f>Nasazení!C245</f>
        <v>0</v>
      </c>
      <c r="C205" t="str">
        <f t="shared" si="3"/>
        <v>X</v>
      </c>
    </row>
    <row r="206" spans="1:3">
      <c r="A206" s="176" t="str">
        <f ca="1">Nasazení!B188</f>
        <v/>
      </c>
      <c r="B206" s="178" t="str">
        <f ca="1">Nasazení!C188</f>
        <v/>
      </c>
      <c r="C206" t="str">
        <f t="shared" ca="1" si="3"/>
        <v>X</v>
      </c>
    </row>
    <row r="207" spans="1:3">
      <c r="A207" s="176" t="e">
        <f>Nasazení!#REF!</f>
        <v>#REF!</v>
      </c>
      <c r="B207" s="178" t="e">
        <f>Nasazení!#REF!</f>
        <v>#REF!</v>
      </c>
      <c r="C207" t="e">
        <f t="shared" si="3"/>
        <v>#REF!</v>
      </c>
    </row>
    <row r="208" spans="1:3">
      <c r="A208" s="176">
        <f>Nasazení!B244</f>
        <v>0</v>
      </c>
      <c r="B208" s="178">
        <f>Nasazení!C244</f>
        <v>0</v>
      </c>
      <c r="C208" t="str">
        <f t="shared" si="3"/>
        <v>X</v>
      </c>
    </row>
    <row r="209" spans="1:3">
      <c r="A209" s="176" t="str">
        <f ca="1">Nasazení!B187</f>
        <v/>
      </c>
      <c r="B209" s="178" t="str">
        <f ca="1">Nasazení!C187</f>
        <v/>
      </c>
      <c r="C209" t="str">
        <f t="shared" ca="1" si="3"/>
        <v>X</v>
      </c>
    </row>
    <row r="210" spans="1:3">
      <c r="A210" s="176" t="e">
        <f>Nasazení!#REF!</f>
        <v>#REF!</v>
      </c>
      <c r="B210" s="178" t="e">
        <f>Nasazení!#REF!</f>
        <v>#REF!</v>
      </c>
      <c r="C210" t="e">
        <f t="shared" si="3"/>
        <v>#REF!</v>
      </c>
    </row>
    <row r="211" spans="1:3">
      <c r="A211" s="176">
        <f>Nasazení!B243</f>
        <v>0</v>
      </c>
      <c r="B211" s="178">
        <f>Nasazení!C243</f>
        <v>0</v>
      </c>
      <c r="C211" t="str">
        <f t="shared" si="3"/>
        <v>X</v>
      </c>
    </row>
    <row r="212" spans="1:3">
      <c r="A212" s="176" t="str">
        <f ca="1">Nasazení!B186</f>
        <v/>
      </c>
      <c r="B212" s="178" t="str">
        <f ca="1">Nasazení!C186</f>
        <v/>
      </c>
      <c r="C212" t="str">
        <f t="shared" ca="1" si="3"/>
        <v>X</v>
      </c>
    </row>
    <row r="213" spans="1:3">
      <c r="A213" s="176">
        <f>Nasazení!B195</f>
        <v>0</v>
      </c>
      <c r="B213" s="178">
        <f>Nasazení!C195</f>
        <v>0</v>
      </c>
      <c r="C213" t="str">
        <f t="shared" si="3"/>
        <v>X</v>
      </c>
    </row>
    <row r="214" spans="1:3">
      <c r="A214" s="176">
        <f>Nasazení!B242</f>
        <v>0</v>
      </c>
      <c r="B214" s="178">
        <f>Nasazení!C242</f>
        <v>0</v>
      </c>
      <c r="C214" t="str">
        <f t="shared" si="3"/>
        <v>X</v>
      </c>
    </row>
    <row r="215" spans="1:3">
      <c r="A215" s="176" t="str">
        <f ca="1">Nasazení!B185</f>
        <v/>
      </c>
      <c r="B215" s="178" t="str">
        <f ca="1">Nasazení!C185</f>
        <v/>
      </c>
      <c r="C215" t="str">
        <f t="shared" ca="1" si="3"/>
        <v>X</v>
      </c>
    </row>
    <row r="216" spans="1:3">
      <c r="A216" s="176">
        <f>Nasazení!B196</f>
        <v>0</v>
      </c>
      <c r="B216" s="178">
        <f>Nasazení!C196</f>
        <v>0</v>
      </c>
      <c r="C216" t="str">
        <f t="shared" si="3"/>
        <v>X</v>
      </c>
    </row>
    <row r="217" spans="1:3">
      <c r="A217" s="176">
        <f>Nasazení!B241</f>
        <v>0</v>
      </c>
      <c r="B217" s="178">
        <f>Nasazení!C241</f>
        <v>0</v>
      </c>
      <c r="C217" t="str">
        <f t="shared" si="3"/>
        <v>X</v>
      </c>
    </row>
    <row r="218" spans="1:3">
      <c r="A218" s="176" t="str">
        <f ca="1">Nasazení!B184</f>
        <v/>
      </c>
      <c r="B218" s="178" t="str">
        <f ca="1">Nasazení!C184</f>
        <v/>
      </c>
      <c r="C218" t="str">
        <f t="shared" ca="1" si="3"/>
        <v>X</v>
      </c>
    </row>
    <row r="219" spans="1:3">
      <c r="A219" s="176">
        <f>Nasazení!B197</f>
        <v>0</v>
      </c>
      <c r="B219" s="178">
        <f>Nasazení!C197</f>
        <v>0</v>
      </c>
      <c r="C219" t="str">
        <f t="shared" si="3"/>
        <v>X</v>
      </c>
    </row>
    <row r="220" spans="1:3">
      <c r="A220" s="176">
        <f>Nasazení!B240</f>
        <v>0</v>
      </c>
      <c r="B220" s="178">
        <f>Nasazení!C240</f>
        <v>0</v>
      </c>
      <c r="C220" t="str">
        <f t="shared" si="3"/>
        <v>X</v>
      </c>
    </row>
    <row r="221" spans="1:3">
      <c r="A221" s="176" t="str">
        <f ca="1">Nasazení!B183</f>
        <v/>
      </c>
      <c r="B221" s="178" t="str">
        <f ca="1">Nasazení!C183</f>
        <v/>
      </c>
      <c r="C221" t="str">
        <f t="shared" ca="1" si="3"/>
        <v>X</v>
      </c>
    </row>
    <row r="222" spans="1:3">
      <c r="A222" s="176">
        <f>Nasazení!B198</f>
        <v>0</v>
      </c>
      <c r="B222" s="178">
        <f>Nasazení!C198</f>
        <v>0</v>
      </c>
      <c r="C222" t="str">
        <f t="shared" si="3"/>
        <v>X</v>
      </c>
    </row>
    <row r="223" spans="1:3">
      <c r="A223" s="176">
        <f>Nasazení!B239</f>
        <v>0</v>
      </c>
      <c r="B223" s="178">
        <f>Nasazení!C239</f>
        <v>0</v>
      </c>
      <c r="C223" t="str">
        <f t="shared" si="3"/>
        <v>X</v>
      </c>
    </row>
    <row r="224" spans="1:3">
      <c r="A224" s="176" t="str">
        <f ca="1">Nasazení!B182</f>
        <v/>
      </c>
      <c r="B224" s="178" t="str">
        <f ca="1">Nasazení!C182</f>
        <v/>
      </c>
      <c r="C224" t="str">
        <f t="shared" ca="1" si="3"/>
        <v>X</v>
      </c>
    </row>
    <row r="225" spans="1:3">
      <c r="A225" s="176">
        <f>Nasazení!B199</f>
        <v>0</v>
      </c>
      <c r="B225" s="178">
        <f>Nasazení!C199</f>
        <v>0</v>
      </c>
      <c r="C225" t="str">
        <f t="shared" si="3"/>
        <v>X</v>
      </c>
    </row>
    <row r="226" spans="1:3">
      <c r="A226" s="176">
        <f>Nasazení!B238</f>
        <v>0</v>
      </c>
      <c r="B226" s="178">
        <f>Nasazení!C238</f>
        <v>0</v>
      </c>
      <c r="C226" t="str">
        <f t="shared" si="3"/>
        <v>X</v>
      </c>
    </row>
    <row r="227" spans="1:3">
      <c r="A227" s="176" t="str">
        <f ca="1">Nasazení!B181</f>
        <v/>
      </c>
      <c r="B227" s="178" t="str">
        <f ca="1">Nasazení!C181</f>
        <v/>
      </c>
      <c r="C227" t="str">
        <f t="shared" ca="1" si="3"/>
        <v>X</v>
      </c>
    </row>
    <row r="228" spans="1:3">
      <c r="A228" s="176">
        <f>Nasazení!B200</f>
        <v>0</v>
      </c>
      <c r="B228" s="178">
        <f>Nasazení!C200</f>
        <v>0</v>
      </c>
      <c r="C228" t="str">
        <f t="shared" si="3"/>
        <v>X</v>
      </c>
    </row>
    <row r="229" spans="1:3">
      <c r="A229" s="176">
        <f>Nasazení!B237</f>
        <v>0</v>
      </c>
      <c r="B229" s="178">
        <f>Nasazení!C237</f>
        <v>0</v>
      </c>
      <c r="C229" t="str">
        <f t="shared" si="3"/>
        <v>X</v>
      </c>
    </row>
    <row r="230" spans="1:3">
      <c r="A230" s="176" t="str">
        <f ca="1">Nasazení!B180</f>
        <v/>
      </c>
      <c r="B230" s="178" t="str">
        <f ca="1">Nasazení!C180</f>
        <v/>
      </c>
      <c r="C230" t="str">
        <f t="shared" ca="1" si="3"/>
        <v>X</v>
      </c>
    </row>
    <row r="231" spans="1:3">
      <c r="A231" s="176">
        <f>Nasazení!B201</f>
        <v>0</v>
      </c>
      <c r="B231" s="178">
        <f>Nasazení!C201</f>
        <v>0</v>
      </c>
      <c r="C231" t="str">
        <f t="shared" si="3"/>
        <v>X</v>
      </c>
    </row>
    <row r="232" spans="1:3">
      <c r="A232" s="176">
        <f>Nasazení!B236</f>
        <v>0</v>
      </c>
      <c r="B232" s="178">
        <f>Nasazení!C236</f>
        <v>0</v>
      </c>
      <c r="C232" t="str">
        <f t="shared" si="3"/>
        <v>X</v>
      </c>
    </row>
    <row r="233" spans="1:3">
      <c r="A233" s="176" t="str">
        <f ca="1">Nasazení!B179</f>
        <v/>
      </c>
      <c r="B233" s="178" t="str">
        <f ca="1">Nasazení!C179</f>
        <v/>
      </c>
      <c r="C233" t="str">
        <f t="shared" ca="1" si="3"/>
        <v>X</v>
      </c>
    </row>
    <row r="234" spans="1:3">
      <c r="A234" s="176">
        <f>Nasazení!B202</f>
        <v>0</v>
      </c>
      <c r="B234" s="178">
        <f>Nasazení!C202</f>
        <v>0</v>
      </c>
      <c r="C234" t="str">
        <f t="shared" si="3"/>
        <v>X</v>
      </c>
    </row>
    <row r="235" spans="1:3">
      <c r="A235" s="176">
        <f>Nasazení!B235</f>
        <v>0</v>
      </c>
      <c r="B235" s="178">
        <f>Nasazení!C235</f>
        <v>0</v>
      </c>
      <c r="C235" t="str">
        <f t="shared" si="3"/>
        <v>X</v>
      </c>
    </row>
    <row r="236" spans="1:3">
      <c r="A236" s="176">
        <f>Nasazení!B203</f>
        <v>0</v>
      </c>
      <c r="B236" s="178">
        <f>Nasazení!C203</f>
        <v>0</v>
      </c>
      <c r="C236" t="str">
        <f t="shared" si="3"/>
        <v>X</v>
      </c>
    </row>
    <row r="237" spans="1:3">
      <c r="A237" s="176">
        <f>Nasazení!B234</f>
        <v>0</v>
      </c>
      <c r="B237" s="178">
        <f>Nasazení!C234</f>
        <v>0</v>
      </c>
      <c r="C237" t="str">
        <f t="shared" si="3"/>
        <v>X</v>
      </c>
    </row>
    <row r="238" spans="1:3">
      <c r="A238" s="176">
        <f>Nasazení!B204</f>
        <v>0</v>
      </c>
      <c r="B238" s="178">
        <f>Nasazení!C204</f>
        <v>0</v>
      </c>
      <c r="C238" t="str">
        <f t="shared" si="3"/>
        <v>X</v>
      </c>
    </row>
    <row r="239" spans="1:3">
      <c r="A239" s="176">
        <f>Nasazení!B233</f>
        <v>0</v>
      </c>
      <c r="B239" s="178">
        <f>Nasazení!C233</f>
        <v>0</v>
      </c>
      <c r="C239" t="str">
        <f t="shared" si="3"/>
        <v>X</v>
      </c>
    </row>
    <row r="240" spans="1:3">
      <c r="A240" s="176">
        <f>Nasazení!B205</f>
        <v>0</v>
      </c>
      <c r="B240" s="178">
        <f>Nasazení!C205</f>
        <v>0</v>
      </c>
      <c r="C240" t="str">
        <f t="shared" si="3"/>
        <v>X</v>
      </c>
    </row>
    <row r="241" spans="1:3">
      <c r="A241" s="176">
        <f>Nasazení!B232</f>
        <v>0</v>
      </c>
      <c r="B241" s="178">
        <f>Nasazení!C232</f>
        <v>0</v>
      </c>
      <c r="C241" t="str">
        <f t="shared" si="3"/>
        <v>X</v>
      </c>
    </row>
    <row r="242" spans="1:3">
      <c r="A242" s="176">
        <f>Nasazení!B206</f>
        <v>0</v>
      </c>
      <c r="B242" s="178">
        <f>Nasazení!C206</f>
        <v>0</v>
      </c>
      <c r="C242" t="str">
        <f t="shared" si="3"/>
        <v>X</v>
      </c>
    </row>
    <row r="243" spans="1:3">
      <c r="A243" s="176">
        <f>Nasazení!B231</f>
        <v>0</v>
      </c>
      <c r="B243" s="178">
        <f>Nasazení!C231</f>
        <v>0</v>
      </c>
      <c r="C243" t="str">
        <f t="shared" si="3"/>
        <v>X</v>
      </c>
    </row>
    <row r="244" spans="1:3">
      <c r="A244" s="176">
        <f>Nasazení!B207</f>
        <v>0</v>
      </c>
      <c r="B244" s="178">
        <f>Nasazení!C207</f>
        <v>0</v>
      </c>
      <c r="C244" t="str">
        <f t="shared" si="3"/>
        <v>X</v>
      </c>
    </row>
    <row r="245" spans="1:3">
      <c r="A245" s="176">
        <f>Nasazení!B230</f>
        <v>0</v>
      </c>
      <c r="B245" s="178">
        <f>Nasazení!C230</f>
        <v>0</v>
      </c>
      <c r="C245" t="str">
        <f t="shared" si="3"/>
        <v>X</v>
      </c>
    </row>
    <row r="246" spans="1:3">
      <c r="A246" s="176">
        <f>Nasazení!B208</f>
        <v>0</v>
      </c>
      <c r="B246" s="178">
        <f>Nasazení!C208</f>
        <v>0</v>
      </c>
      <c r="C246" t="str">
        <f t="shared" si="3"/>
        <v>X</v>
      </c>
    </row>
    <row r="247" spans="1:3">
      <c r="A247" s="176">
        <f>Nasazení!B229</f>
        <v>0</v>
      </c>
      <c r="B247" s="178">
        <f>Nasazení!C229</f>
        <v>0</v>
      </c>
      <c r="C247" t="str">
        <f t="shared" si="3"/>
        <v>X</v>
      </c>
    </row>
    <row r="248" spans="1:3">
      <c r="A248" s="176">
        <f>Nasazení!B209</f>
        <v>0</v>
      </c>
      <c r="B248" s="178">
        <f>Nasazení!C209</f>
        <v>0</v>
      </c>
      <c r="C248" t="str">
        <f t="shared" si="3"/>
        <v>X</v>
      </c>
    </row>
    <row r="249" spans="1:3">
      <c r="A249" s="176">
        <f>Nasazení!B228</f>
        <v>0</v>
      </c>
      <c r="B249" s="178">
        <f>Nasazení!C228</f>
        <v>0</v>
      </c>
      <c r="C249" t="str">
        <f t="shared" si="3"/>
        <v>X</v>
      </c>
    </row>
    <row r="250" spans="1:3">
      <c r="A250" s="176">
        <f>Nasazení!B210</f>
        <v>0</v>
      </c>
      <c r="B250" s="178">
        <f>Nasazení!C210</f>
        <v>0</v>
      </c>
      <c r="C250" t="str">
        <f t="shared" si="3"/>
        <v>X</v>
      </c>
    </row>
    <row r="251" spans="1:3">
      <c r="A251" s="176">
        <f>Nasazení!B227</f>
        <v>0</v>
      </c>
      <c r="B251" s="178">
        <f>Nasazení!C227</f>
        <v>0</v>
      </c>
      <c r="C251" t="str">
        <f t="shared" si="3"/>
        <v>X</v>
      </c>
    </row>
    <row r="252" spans="1:3">
      <c r="A252" s="176">
        <f>Nasazení!B211</f>
        <v>0</v>
      </c>
      <c r="B252" s="178">
        <f>Nasazení!C211</f>
        <v>0</v>
      </c>
      <c r="C252" t="str">
        <f t="shared" si="3"/>
        <v>X</v>
      </c>
    </row>
    <row r="253" spans="1:3">
      <c r="A253" s="176">
        <f>Nasazení!B226</f>
        <v>0</v>
      </c>
      <c r="B253" s="178">
        <f>Nasazení!C226</f>
        <v>0</v>
      </c>
      <c r="C253" t="str">
        <f t="shared" si="3"/>
        <v>X</v>
      </c>
    </row>
    <row r="254" spans="1:3">
      <c r="A254" s="176">
        <f>Nasazení!B212</f>
        <v>0</v>
      </c>
      <c r="B254" s="178">
        <f>Nasazení!C212</f>
        <v>0</v>
      </c>
      <c r="C254" t="str">
        <f t="shared" si="3"/>
        <v>X</v>
      </c>
    </row>
    <row r="255" spans="1:3">
      <c r="A255" s="176">
        <f>Nasazení!B225</f>
        <v>0</v>
      </c>
      <c r="B255" s="178">
        <f>Nasazení!C225</f>
        <v>0</v>
      </c>
      <c r="C255" t="str">
        <f t="shared" si="3"/>
        <v>X</v>
      </c>
    </row>
    <row r="256" spans="1:3">
      <c r="A256" s="176">
        <f>Nasazení!B250</f>
        <v>0</v>
      </c>
      <c r="B256" s="178">
        <f>Nasazení!C250</f>
        <v>0</v>
      </c>
      <c r="C256" t="str">
        <f t="shared" si="3"/>
        <v>X</v>
      </c>
    </row>
    <row r="257" spans="1:3">
      <c r="A257" s="176">
        <f>Nasazení!B249</f>
        <v>0</v>
      </c>
      <c r="B257" s="178">
        <f>Nasazení!C249</f>
        <v>0</v>
      </c>
      <c r="C257" t="str">
        <f t="shared" si="3"/>
        <v>X</v>
      </c>
    </row>
    <row r="258" spans="1:3">
      <c r="A258" s="176">
        <f>Nasazení!B248</f>
        <v>0</v>
      </c>
      <c r="B258" s="178">
        <f>Nasazení!C248</f>
        <v>0</v>
      </c>
      <c r="C258" t="str">
        <f t="shared" si="3"/>
        <v>X</v>
      </c>
    </row>
  </sheetData>
  <sheetProtection password="CA1B" sheet="1" formatCells="0" formatColumns="0" formatRows="0"/>
  <pageMargins left="0.78749999999999998" right="0.78749999999999998" top="0.209722222222222" bottom="0.62986111111111098" header="0.51180555555555496" footer="0.51180555555555496"/>
  <pageSetup paperSize="9"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30"/>
  <sheetViews>
    <sheetView zoomScaleNormal="100" workbookViewId="0">
      <pane xSplit="4" ySplit="2" topLeftCell="E3" activePane="bottomRight" state="frozen"/>
      <selection pane="topRight" activeCell="E1" sqref="E1"/>
      <selection pane="bottomLeft" activeCell="A3" sqref="A3"/>
      <selection pane="bottomRight" activeCell="E3" sqref="E3"/>
    </sheetView>
  </sheetViews>
  <sheetFormatPr defaultColWidth="8.7109375" defaultRowHeight="12.75"/>
  <cols>
    <col min="4" max="4" width="1.5703125" customWidth="1"/>
    <col min="5" max="5" width="38.28515625" customWidth="1"/>
    <col min="6" max="6" width="13.28515625" customWidth="1"/>
    <col min="8" max="8" width="11.42578125" customWidth="1"/>
  </cols>
  <sheetData>
    <row r="2" spans="1:5" ht="26.25">
      <c r="B2" s="179" t="s">
        <v>1632</v>
      </c>
      <c r="C2" s="180"/>
      <c r="D2" s="180"/>
      <c r="E2" s="181"/>
    </row>
    <row r="3" spans="1:5">
      <c r="C3" s="5" t="s">
        <v>1633</v>
      </c>
    </row>
    <row r="5" spans="1:5" ht="15.75">
      <c r="B5" s="182" t="s">
        <v>1634</v>
      </c>
    </row>
    <row r="6" spans="1:5">
      <c r="C6" s="5" t="s">
        <v>1635</v>
      </c>
      <c r="E6" s="183"/>
    </row>
    <row r="7" spans="1:5" ht="15.75">
      <c r="A7" s="5"/>
      <c r="C7" s="5" t="s">
        <v>1636</v>
      </c>
      <c r="E7" s="184"/>
    </row>
    <row r="8" spans="1:5" ht="15.75">
      <c r="A8" s="5"/>
      <c r="C8" s="5" t="s">
        <v>1637</v>
      </c>
      <c r="E8" s="185"/>
    </row>
    <row r="9" spans="1:5">
      <c r="C9" s="5" t="s">
        <v>1638</v>
      </c>
      <c r="E9" s="183"/>
    </row>
    <row r="10" spans="1:5" ht="15.75">
      <c r="C10" s="5" t="s">
        <v>1639</v>
      </c>
      <c r="E10" s="186"/>
    </row>
    <row r="11" spans="1:5">
      <c r="C11" s="5" t="s">
        <v>1640</v>
      </c>
      <c r="E11" s="183"/>
    </row>
    <row r="12" spans="1:5">
      <c r="C12" s="5" t="s">
        <v>1641</v>
      </c>
      <c r="E12" s="183"/>
    </row>
    <row r="13" spans="1:5">
      <c r="C13" s="5" t="s">
        <v>1642</v>
      </c>
      <c r="E13" s="183"/>
    </row>
    <row r="14" spans="1:5">
      <c r="C14" s="5" t="s">
        <v>1643</v>
      </c>
      <c r="E14" s="183"/>
    </row>
    <row r="15" spans="1:5">
      <c r="C15" s="5" t="s">
        <v>1644</v>
      </c>
      <c r="E15" s="183"/>
    </row>
    <row r="16" spans="1:5">
      <c r="C16" s="5" t="s">
        <v>1645</v>
      </c>
      <c r="E16" s="183"/>
    </row>
    <row r="17" spans="3:5">
      <c r="C17" s="5" t="s">
        <v>1646</v>
      </c>
      <c r="E17" s="183"/>
    </row>
    <row r="18" spans="3:5">
      <c r="C18" s="5" t="s">
        <v>1647</v>
      </c>
      <c r="E18" s="183"/>
    </row>
    <row r="19" spans="3:5">
      <c r="C19" s="5" t="s">
        <v>1648</v>
      </c>
      <c r="E19" s="183"/>
    </row>
    <row r="20" spans="3:5">
      <c r="C20" s="5" t="s">
        <v>1649</v>
      </c>
      <c r="E20" s="183"/>
    </row>
    <row r="21" spans="3:5">
      <c r="C21" s="5"/>
      <c r="E21" s="183"/>
    </row>
    <row r="22" spans="3:5">
      <c r="C22" s="5" t="s">
        <v>1650</v>
      </c>
      <c r="E22" s="183"/>
    </row>
    <row r="23" spans="3:5">
      <c r="C23" s="5"/>
      <c r="E23" s="183"/>
    </row>
    <row r="24" spans="3:5">
      <c r="C24" s="5" t="s">
        <v>1651</v>
      </c>
      <c r="E24" s="183"/>
    </row>
    <row r="25" spans="3:5">
      <c r="C25" s="5"/>
      <c r="E25" s="183"/>
    </row>
    <row r="26" spans="3:5">
      <c r="C26" s="5" t="s">
        <v>1652</v>
      </c>
      <c r="E26" s="183"/>
    </row>
    <row r="27" spans="3:5">
      <c r="C27" s="5"/>
      <c r="E27" s="183"/>
    </row>
    <row r="28" spans="3:5">
      <c r="C28" s="5" t="s">
        <v>1653</v>
      </c>
      <c r="E28" s="183"/>
    </row>
    <row r="29" spans="3:5">
      <c r="C29" s="5"/>
      <c r="E29" s="183"/>
    </row>
    <row r="30" spans="3:5">
      <c r="C30" s="5" t="s">
        <v>1654</v>
      </c>
      <c r="E30" s="183"/>
    </row>
  </sheetData>
  <pageMargins left="0.7" right="0.7" top="0.78749999999999998" bottom="0.78749999999999998"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7</TotalTime>
  <Application>Microsoft Excel</Application>
  <DocSecurity>0</DocSecurity>
  <ScaleCrop>false</ScaleCrop>
  <HeadingPairs>
    <vt:vector size="4" baseType="variant">
      <vt:variant>
        <vt:lpstr>listy</vt:lpstr>
      </vt:variant>
      <vt:variant>
        <vt:i4>61</vt:i4>
      </vt:variant>
      <vt:variant>
        <vt:lpstr>Pojmenované oblasti</vt:lpstr>
      </vt:variant>
      <vt:variant>
        <vt:i4>17</vt:i4>
      </vt:variant>
    </vt:vector>
  </HeadingPairs>
  <TitlesOfParts>
    <vt:vector size="78"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Skupiny!_FiltrDatabaze</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 Pavel Vlk</dc:creator>
  <dc:description/>
  <cp:lastModifiedBy>Uživatel systému Windows</cp:lastModifiedBy>
  <cp:revision>1</cp:revision>
  <cp:lastPrinted>2005-05-26T14:46:20Z</cp:lastPrinted>
  <dcterms:created xsi:type="dcterms:W3CDTF">1998-08-08T11:38:32Z</dcterms:created>
  <dcterms:modified xsi:type="dcterms:W3CDTF">2020-06-23T09:06:16Z</dcterms:modified>
  <dc:language>cs-CZ</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ČAPEK - Czech republic</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y fmtid="{D5CDD505-2E9C-101B-9397-08002B2CF9AE}" pid="9" name="category">
    <vt:lpwstr>PETANQUE</vt:lpwstr>
  </property>
</Properties>
</file>